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usepa-my.sharepoint.com/personal/myer_mark_epa_gov/Documents/Desktop/DBP PDFs for Tagging/DBP_ModelingFilesforLocking/"/>
    </mc:Choice>
  </mc:AlternateContent>
  <xr:revisionPtr revIDLastSave="127" documentId="8_{EE25DB4B-6981-41B8-83CE-32C017630C35}" xr6:coauthVersionLast="47" xr6:coauthVersionMax="47" xr10:uidLastSave="{4506704F-0E72-4462-80A7-DF362EFC5FB9}"/>
  <bookViews>
    <workbookView xWindow="60" yWindow="1725" windowWidth="38685" windowHeight="15285" tabRatio="824" xr2:uid="{120DC0ED-22FC-462E-B919-E1C547F9611B}"/>
  </bookViews>
  <sheets>
    <sheet name="Cover Page" sheetId="44" r:id="rId1"/>
    <sheet name="Read Me" sheetId="43" r:id="rId2"/>
    <sheet name="Calculation Summary" sheetId="45" r:id="rId3"/>
    <sheet name="Dashboard" sheetId="31" r:id="rId4"/>
    <sheet name="RR" sheetId="40" r:id="rId5"/>
    <sheet name="Inhalation Exposure" sheetId="37" r:id="rId6"/>
    <sheet name="Aggregate RR" sheetId="47" r:id="rId7"/>
    <sheet name="Dermal Exposure" sheetId="41" r:id="rId8"/>
    <sheet name="Tables for Report" sheetId="48" r:id="rId9"/>
    <sheet name="Tables for RE" sheetId="49" r:id="rId10"/>
    <sheet name="Hazard Values" sheetId="39" r:id="rId11"/>
    <sheet name="List Values" sheetId="35" r:id="rId12"/>
    <sheet name="Exposure Factors" sheetId="38" r:id="rId13"/>
  </sheet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localSheetId="2" hidden="1">100</definedName>
    <definedName name="_AtRisk_SimSetting_ConvergenceTestingPeriod" hidden="1">10</definedName>
    <definedName name="_AtRisk_SimSetting_ConvergenceTolerance" localSheetId="2" hidden="1">0.03</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'Aggregate RR'!$A$17:$Y$49</definedName>
    <definedName name="_xlnm._FilterDatabase" localSheetId="11" hidden="1">'List Values'!$B$1:$B$15</definedName>
    <definedName name="_xlnm._FilterDatabase" localSheetId="9" hidden="1">'Tables for RE'!$C$108:$Q$204</definedName>
    <definedName name="AH1_cm2">'Exposure Factors'!$C$5</definedName>
    <definedName name="AH1_cm2_F">'Exposure Factors'!$D$5</definedName>
    <definedName name="AH2_cm2">'Exposure Factors'!$C$6</definedName>
    <definedName name="AH2_cm2_F">'Exposure Factors'!$D$6</definedName>
    <definedName name="AT">'List Values'!$H$12</definedName>
    <definedName name="AT_AC">'List Values'!$J$42</definedName>
    <definedName name="AT_ADC_high">'List Values'!$H$20</definedName>
    <definedName name="AT_ADC_mid">'List Values'!$H$19</definedName>
    <definedName name="AT_LADC">'List Values'!$H$21</definedName>
    <definedName name="BW_default">'Exposure Factors'!$C$4</definedName>
    <definedName name="BW_F">'Exposure Factors'!$D$4</definedName>
    <definedName name="ED_10">'List Values'!$H$11</definedName>
    <definedName name="ED_8">'List Values'!$H$10</definedName>
    <definedName name="EF">'List Values'!$H$13</definedName>
    <definedName name="EFID">'List Values'!$H$14</definedName>
    <definedName name="ID">'List Values'!$H$15</definedName>
    <definedName name="LT">'List Values'!$H$18</definedName>
    <definedName name="Mol_Vol">'List Values'!$G$7</definedName>
    <definedName name="MW">'List Values'!$G$6</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 hidden="1">8</definedName>
    <definedName name="RiskHasSettings" hidden="1">8</definedName>
    <definedName name="RiskMinimizeOnStart" hidden="1">FALSE</definedName>
    <definedName name="RiskMonitorConvergence" hidden="1">FALSE</definedName>
    <definedName name="RiskMultipleCPUSupportEnabled" localSheetId="2" hidden="1">FALSE</definedName>
    <definedName name="RiskMultipleCPUSupportEnabled" hidden="1">FALSE</definedName>
    <definedName name="RiskNumIterations" localSheetId="2" hidden="1">100000</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2" hidden="1">FALSE</definedName>
    <definedName name="RiskUseMultipleCPUs" hidden="1">FALSE</definedName>
    <definedName name="solver_adj" localSheetId="6" hidden="1">'Aggregate RR'!#REF!</definedName>
    <definedName name="solver_adj" localSheetId="4" hidden="1">RR!#REF!</definedName>
    <definedName name="solver_cvg" localSheetId="6" hidden="1">0.0001</definedName>
    <definedName name="solver_cvg" localSheetId="4" hidden="1">0.0001</definedName>
    <definedName name="solver_drv" localSheetId="6" hidden="1">1</definedName>
    <definedName name="solver_drv" localSheetId="4" hidden="1">1</definedName>
    <definedName name="solver_eng" localSheetId="6" hidden="1">1</definedName>
    <definedName name="solver_eng" localSheetId="4" hidden="1">1</definedName>
    <definedName name="solver_est" localSheetId="6" hidden="1">1</definedName>
    <definedName name="solver_est" localSheetId="4" hidden="1">1</definedName>
    <definedName name="solver_itr" localSheetId="6" hidden="1">2147483647</definedName>
    <definedName name="solver_itr" localSheetId="4" hidden="1">2147483647</definedName>
    <definedName name="solver_mip" localSheetId="6" hidden="1">2147483647</definedName>
    <definedName name="solver_mip" localSheetId="4" hidden="1">2147483647</definedName>
    <definedName name="solver_mni" localSheetId="6" hidden="1">30</definedName>
    <definedName name="solver_mni" localSheetId="4" hidden="1">30</definedName>
    <definedName name="solver_mrt" localSheetId="6" hidden="1">0.075</definedName>
    <definedName name="solver_mrt" localSheetId="4" hidden="1">0.075</definedName>
    <definedName name="solver_msl" localSheetId="6" hidden="1">2</definedName>
    <definedName name="solver_msl" localSheetId="4" hidden="1">2</definedName>
    <definedName name="solver_neg" localSheetId="6" hidden="1">1</definedName>
    <definedName name="solver_neg" localSheetId="4" hidden="1">1</definedName>
    <definedName name="solver_nod" localSheetId="6" hidden="1">2147483647</definedName>
    <definedName name="solver_nod" localSheetId="4" hidden="1">2147483647</definedName>
    <definedName name="solver_num" localSheetId="6" hidden="1">0</definedName>
    <definedName name="solver_num" localSheetId="4" hidden="1">0</definedName>
    <definedName name="solver_nwt" localSheetId="6" hidden="1">1</definedName>
    <definedName name="solver_nwt" localSheetId="4" hidden="1">1</definedName>
    <definedName name="solver_opt" localSheetId="6" hidden="1">'Aggregate RR'!#REF!</definedName>
    <definedName name="solver_opt" localSheetId="4" hidden="1">RR!#REF!</definedName>
    <definedName name="solver_pre" localSheetId="6" hidden="1">0.000001</definedName>
    <definedName name="solver_pre" localSheetId="4" hidden="1">0.000001</definedName>
    <definedName name="solver_rbv" localSheetId="6" hidden="1">1</definedName>
    <definedName name="solver_rbv" localSheetId="4" hidden="1">1</definedName>
    <definedName name="solver_rlx" localSheetId="6" hidden="1">2</definedName>
    <definedName name="solver_rlx" localSheetId="4" hidden="1">2</definedName>
    <definedName name="solver_rsd" localSheetId="6" hidden="1">0</definedName>
    <definedName name="solver_rsd" localSheetId="4" hidden="1">0</definedName>
    <definedName name="solver_scl" localSheetId="6" hidden="1">1</definedName>
    <definedName name="solver_scl" localSheetId="4" hidden="1">1</definedName>
    <definedName name="solver_sho" localSheetId="6" hidden="1">2</definedName>
    <definedName name="solver_sho" localSheetId="4" hidden="1">2</definedName>
    <definedName name="solver_ssz" localSheetId="6" hidden="1">100</definedName>
    <definedName name="solver_ssz" localSheetId="4" hidden="1">100</definedName>
    <definedName name="solver_tim" localSheetId="6" hidden="1">2147483647</definedName>
    <definedName name="solver_tim" localSheetId="4" hidden="1">2147483647</definedName>
    <definedName name="solver_tol" localSheetId="6" hidden="1">0.01</definedName>
    <definedName name="solver_tol" localSheetId="4" hidden="1">0.01</definedName>
    <definedName name="solver_typ" localSheetId="6" hidden="1">3</definedName>
    <definedName name="solver_typ" localSheetId="4" hidden="1">3</definedName>
    <definedName name="solver_val" localSheetId="6" hidden="1">1</definedName>
    <definedName name="solver_val" localSheetId="4" hidden="1">1</definedName>
    <definedName name="solver_ver" localSheetId="6" hidden="1">3</definedName>
    <definedName name="solver_ver" localSheetId="4" hidden="1">3</definedName>
    <definedName name="WorkBreathRate">'Exposure Factors'!$C$10</definedName>
    <definedName name="WY_high">'List Values'!$H$17</definedName>
    <definedName name="WY_mid">'List Values'!$H$16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48" l="1"/>
  <c r="C109" i="49" a="1"/>
  <c r="C109" i="49"/>
  <c r="F18" i="31"/>
  <c r="C17" i="49" a="1"/>
  <c r="C17" i="49" s="1"/>
  <c r="M22" i="37" l="1"/>
  <c r="L22" i="37"/>
  <c r="M21" i="37"/>
  <c r="L21" i="37"/>
  <c r="M20" i="37"/>
  <c r="L20" i="37"/>
  <c r="M19" i="37"/>
  <c r="L19" i="37"/>
  <c r="M18" i="37"/>
  <c r="L18" i="37"/>
  <c r="M17" i="37"/>
  <c r="L17" i="37"/>
  <c r="N17" i="37" s="1"/>
  <c r="M16" i="37"/>
  <c r="L16" i="37"/>
  <c r="M15" i="37"/>
  <c r="L15" i="37"/>
  <c r="M14" i="37"/>
  <c r="L14" i="37"/>
  <c r="N14" i="37" s="1"/>
  <c r="O25" i="37" l="1"/>
  <c r="O24" i="37"/>
  <c r="O23" i="37"/>
  <c r="O22" i="37"/>
  <c r="O21" i="37"/>
  <c r="O20" i="37"/>
  <c r="O19" i="37"/>
  <c r="O18" i="37"/>
  <c r="O17" i="37"/>
  <c r="O16" i="37"/>
  <c r="O15" i="37"/>
  <c r="O14" i="37"/>
  <c r="N25" i="37"/>
  <c r="N24" i="37"/>
  <c r="N23" i="37"/>
  <c r="N22" i="37"/>
  <c r="N21" i="37"/>
  <c r="N20" i="37"/>
  <c r="N19" i="37"/>
  <c r="N18" i="37"/>
  <c r="N16" i="37"/>
  <c r="P16" i="37" s="1"/>
  <c r="N15" i="37"/>
  <c r="C110" i="49" l="1" a="1"/>
  <c r="C110" i="49" s="1"/>
  <c r="C111" i="49" a="1"/>
  <c r="C111" i="49" s="1"/>
  <c r="C112" i="49" a="1"/>
  <c r="C112" i="49" s="1"/>
  <c r="C113" i="49" a="1"/>
  <c r="C113" i="49" s="1"/>
  <c r="C114" i="49" a="1"/>
  <c r="C114" i="49" s="1"/>
  <c r="C115" i="49" a="1"/>
  <c r="C115" i="49" s="1"/>
  <c r="C116" i="49" a="1"/>
  <c r="C116" i="49" s="1"/>
  <c r="C117" i="49" a="1"/>
  <c r="C117" i="49" s="1"/>
  <c r="C118" i="49" a="1"/>
  <c r="C118" i="49" s="1"/>
  <c r="C119" i="49" a="1"/>
  <c r="C119" i="49" s="1"/>
  <c r="C120" i="49" a="1"/>
  <c r="C120" i="49" s="1"/>
  <c r="C121" i="49" a="1"/>
  <c r="C121" i="49" s="1"/>
  <c r="C122" i="49" a="1"/>
  <c r="C122" i="49" s="1"/>
  <c r="C123" i="49" a="1"/>
  <c r="C123" i="49" s="1"/>
  <c r="C124" i="49" a="1"/>
  <c r="C124" i="49" s="1"/>
  <c r="C125" i="49" a="1"/>
  <c r="C125" i="49" s="1"/>
  <c r="C126" i="49" a="1"/>
  <c r="C126" i="49" s="1"/>
  <c r="C127" i="49" a="1"/>
  <c r="C127" i="49" s="1"/>
  <c r="C128" i="49" a="1"/>
  <c r="C128" i="49" s="1"/>
  <c r="C129" i="49" a="1"/>
  <c r="C129" i="49" s="1"/>
  <c r="C130" i="49" a="1"/>
  <c r="C130" i="49" s="1"/>
  <c r="C131" i="49" a="1"/>
  <c r="C131" i="49" s="1"/>
  <c r="C132" i="49" a="1"/>
  <c r="C132" i="49" s="1"/>
  <c r="C133" i="49" a="1"/>
  <c r="C133" i="49" s="1"/>
  <c r="C134" i="49" a="1"/>
  <c r="C134" i="49" s="1"/>
  <c r="C135" i="49" a="1"/>
  <c r="C135" i="49" s="1"/>
  <c r="C136" i="49" a="1"/>
  <c r="C136" i="49" s="1"/>
  <c r="C137" i="49" a="1"/>
  <c r="C137" i="49" s="1"/>
  <c r="C138" i="49" a="1"/>
  <c r="C138" i="49" s="1"/>
  <c r="C139" i="49" a="1"/>
  <c r="C139" i="49" s="1"/>
  <c r="C140" i="49" a="1"/>
  <c r="C140" i="49" s="1"/>
  <c r="C141" i="49" a="1"/>
  <c r="C141" i="49" s="1"/>
  <c r="C142" i="49" a="1"/>
  <c r="C142" i="49" s="1"/>
  <c r="C143" i="49" a="1"/>
  <c r="C143" i="49" s="1"/>
  <c r="C144" i="49" a="1"/>
  <c r="C144" i="49" s="1"/>
  <c r="C145" i="49" a="1"/>
  <c r="C145" i="49" s="1"/>
  <c r="C146" i="49" a="1"/>
  <c r="C146" i="49" s="1"/>
  <c r="C147" i="49" a="1"/>
  <c r="C147" i="49" s="1"/>
  <c r="C148" i="49" a="1"/>
  <c r="C148" i="49" s="1"/>
  <c r="C149" i="49" a="1"/>
  <c r="C149" i="49" s="1"/>
  <c r="C150" i="49" a="1"/>
  <c r="C150" i="49" s="1"/>
  <c r="C151" i="49" a="1"/>
  <c r="C151" i="49" s="1"/>
  <c r="C152" i="49" a="1"/>
  <c r="C152" i="49" s="1"/>
  <c r="C153" i="49" a="1"/>
  <c r="C153" i="49" s="1"/>
  <c r="C154" i="49" a="1"/>
  <c r="C154" i="49" s="1"/>
  <c r="C155" i="49" a="1"/>
  <c r="C155" i="49" s="1"/>
  <c r="C156" i="49" a="1"/>
  <c r="C156" i="49" s="1"/>
  <c r="C157" i="49" a="1"/>
  <c r="C157" i="49" s="1"/>
  <c r="C158" i="49" a="1"/>
  <c r="C158" i="49" s="1"/>
  <c r="C159" i="49" a="1"/>
  <c r="C159" i="49" s="1"/>
  <c r="C160" i="49" a="1"/>
  <c r="C160" i="49" s="1"/>
  <c r="C161" i="49" a="1"/>
  <c r="C161" i="49" s="1"/>
  <c r="C162" i="49" a="1"/>
  <c r="C162" i="49" s="1"/>
  <c r="C163" i="49" a="1"/>
  <c r="C163" i="49" s="1"/>
  <c r="C164" i="49" a="1"/>
  <c r="C164" i="49" s="1"/>
  <c r="C165" i="49" a="1"/>
  <c r="C165" i="49" s="1"/>
  <c r="C166" i="49" a="1"/>
  <c r="C166" i="49" s="1"/>
  <c r="C167" i="49" a="1"/>
  <c r="C167" i="49" s="1"/>
  <c r="C168" i="49" a="1"/>
  <c r="C168" i="49" s="1"/>
  <c r="C169" i="49" a="1"/>
  <c r="C169" i="49" s="1"/>
  <c r="C170" i="49" a="1"/>
  <c r="C170" i="49" s="1"/>
  <c r="C171" i="49" a="1"/>
  <c r="C171" i="49" s="1"/>
  <c r="C172" i="49" a="1"/>
  <c r="C172" i="49" s="1"/>
  <c r="C173" i="49" a="1"/>
  <c r="C173" i="49" s="1"/>
  <c r="C174" i="49" a="1"/>
  <c r="C174" i="49" s="1"/>
  <c r="C175" i="49" a="1"/>
  <c r="C175" i="49" s="1"/>
  <c r="C176" i="49" a="1"/>
  <c r="C176" i="49" s="1"/>
  <c r="C177" i="49" a="1"/>
  <c r="C177" i="49" s="1"/>
  <c r="C178" i="49" a="1"/>
  <c r="C178" i="49" s="1"/>
  <c r="C179" i="49" a="1"/>
  <c r="C179" i="49" s="1"/>
  <c r="C180" i="49" a="1"/>
  <c r="C180" i="49" s="1"/>
  <c r="C181" i="49" a="1"/>
  <c r="C181" i="49" s="1"/>
  <c r="C182" i="49" a="1"/>
  <c r="C182" i="49" s="1"/>
  <c r="C183" i="49" a="1"/>
  <c r="C183" i="49" s="1"/>
  <c r="C184" i="49" a="1"/>
  <c r="C184" i="49" s="1"/>
  <c r="C185" i="49" a="1"/>
  <c r="C185" i="49" s="1"/>
  <c r="C186" i="49" a="1"/>
  <c r="C186" i="49" s="1"/>
  <c r="C187" i="49" a="1"/>
  <c r="C187" i="49" s="1"/>
  <c r="C188" i="49" a="1"/>
  <c r="C188" i="49" s="1"/>
  <c r="C189" i="49" a="1"/>
  <c r="C189" i="49" s="1"/>
  <c r="C190" i="49" a="1"/>
  <c r="C190" i="49" s="1"/>
  <c r="C191" i="49" a="1"/>
  <c r="C191" i="49" s="1"/>
  <c r="C192" i="49" a="1"/>
  <c r="C192" i="49" s="1"/>
  <c r="C193" i="49" a="1"/>
  <c r="C193" i="49" s="1"/>
  <c r="C194" i="49" a="1"/>
  <c r="C194" i="49" s="1"/>
  <c r="C195" i="49" a="1"/>
  <c r="C195" i="49" s="1"/>
  <c r="C196" i="49" a="1"/>
  <c r="C196" i="49" s="1"/>
  <c r="C197" i="49" a="1"/>
  <c r="C197" i="49" s="1"/>
  <c r="C198" i="49" a="1"/>
  <c r="C198" i="49" s="1"/>
  <c r="C199" i="49" a="1"/>
  <c r="C199" i="49" s="1"/>
  <c r="C200" i="49" a="1"/>
  <c r="C200" i="49" s="1"/>
  <c r="C201" i="49" a="1"/>
  <c r="C201" i="49" s="1"/>
  <c r="C202" i="49" a="1"/>
  <c r="C202" i="49" s="1"/>
  <c r="C203" i="49" a="1"/>
  <c r="C203" i="49" s="1"/>
  <c r="C204" i="49" a="1"/>
  <c r="C204" i="49" s="1"/>
  <c r="C6" i="49" a="1"/>
  <c r="C6" i="49" s="1"/>
  <c r="C7" i="49" a="1"/>
  <c r="C7" i="49" s="1"/>
  <c r="C8" i="49" a="1"/>
  <c r="C8" i="49" s="1"/>
  <c r="C9" i="49" a="1"/>
  <c r="C9" i="49" s="1"/>
  <c r="C10" i="49" a="1"/>
  <c r="C10" i="49" s="1"/>
  <c r="C11" i="49" a="1"/>
  <c r="C11" i="49" s="1"/>
  <c r="C12" i="49" a="1"/>
  <c r="C12" i="49" s="1"/>
  <c r="C13" i="49" a="1"/>
  <c r="C13" i="49" s="1"/>
  <c r="C14" i="49" a="1"/>
  <c r="C14" i="49" s="1"/>
  <c r="C15" i="49" a="1"/>
  <c r="C15" i="49" s="1"/>
  <c r="C16" i="49" a="1"/>
  <c r="C16" i="49" s="1"/>
  <c r="C18" i="49" a="1"/>
  <c r="C18" i="49" s="1"/>
  <c r="C19" i="49" a="1"/>
  <c r="C19" i="49" s="1"/>
  <c r="C20" i="49" a="1"/>
  <c r="C20" i="49" s="1"/>
  <c r="C21" i="49" a="1"/>
  <c r="C21" i="49" s="1"/>
  <c r="C22" i="49" a="1"/>
  <c r="C22" i="49" s="1"/>
  <c r="C23" i="49" a="1"/>
  <c r="C23" i="49" s="1"/>
  <c r="C24" i="49" a="1"/>
  <c r="C24" i="49" s="1"/>
  <c r="C25" i="49" a="1"/>
  <c r="C25" i="49" s="1"/>
  <c r="C26" i="49" a="1"/>
  <c r="C26" i="49" s="1"/>
  <c r="C27" i="49" a="1"/>
  <c r="C27" i="49" s="1"/>
  <c r="C28" i="49" a="1"/>
  <c r="C28" i="49" s="1"/>
  <c r="C29" i="49" a="1"/>
  <c r="C29" i="49" s="1"/>
  <c r="C30" i="49" a="1"/>
  <c r="C30" i="49" s="1"/>
  <c r="C31" i="49" a="1"/>
  <c r="C31" i="49" s="1"/>
  <c r="C32" i="49" a="1"/>
  <c r="C32" i="49" s="1"/>
  <c r="C33" i="49" a="1"/>
  <c r="C33" i="49" s="1"/>
  <c r="C34" i="49" a="1"/>
  <c r="C34" i="49" s="1"/>
  <c r="C35" i="49" a="1"/>
  <c r="C35" i="49" s="1"/>
  <c r="C36" i="49" a="1"/>
  <c r="C36" i="49" s="1"/>
  <c r="C37" i="49" a="1"/>
  <c r="C37" i="49" s="1"/>
  <c r="C38" i="49" a="1"/>
  <c r="C38" i="49" s="1"/>
  <c r="C39" i="49" a="1"/>
  <c r="C39" i="49" s="1"/>
  <c r="C40" i="49" a="1"/>
  <c r="C40" i="49" s="1"/>
  <c r="C41" i="49" a="1"/>
  <c r="C41" i="49" s="1"/>
  <c r="C42" i="49" a="1"/>
  <c r="C42" i="49" s="1"/>
  <c r="C43" i="49" a="1"/>
  <c r="C43" i="49" s="1"/>
  <c r="C44" i="49" a="1"/>
  <c r="C44" i="49" s="1"/>
  <c r="C45" i="49" a="1"/>
  <c r="C45" i="49" s="1"/>
  <c r="C46" i="49" a="1"/>
  <c r="C46" i="49" s="1"/>
  <c r="C47" i="49" a="1"/>
  <c r="C47" i="49" s="1"/>
  <c r="C48" i="49" a="1"/>
  <c r="C48" i="49" s="1"/>
  <c r="C49" i="49" a="1"/>
  <c r="C49" i="49" s="1"/>
  <c r="C50" i="49" a="1"/>
  <c r="C50" i="49" s="1"/>
  <c r="C51" i="49" a="1"/>
  <c r="C51" i="49" s="1"/>
  <c r="C52" i="49" a="1"/>
  <c r="C52" i="49" s="1"/>
  <c r="C53" i="49" a="1"/>
  <c r="C53" i="49" s="1"/>
  <c r="C54" i="49" a="1"/>
  <c r="C54" i="49" s="1"/>
  <c r="C55" i="49" a="1"/>
  <c r="C55" i="49" s="1"/>
  <c r="C56" i="49" a="1"/>
  <c r="C56" i="49" s="1"/>
  <c r="C57" i="49" a="1"/>
  <c r="C57" i="49" s="1"/>
  <c r="C58" i="49" a="1"/>
  <c r="C58" i="49" s="1"/>
  <c r="C59" i="49" a="1"/>
  <c r="C59" i="49" s="1"/>
  <c r="C60" i="49" a="1"/>
  <c r="C60" i="49" s="1"/>
  <c r="C61" i="49" a="1"/>
  <c r="C61" i="49" s="1"/>
  <c r="C62" i="49" a="1"/>
  <c r="C62" i="49" s="1"/>
  <c r="C63" i="49" a="1"/>
  <c r="C63" i="49" s="1"/>
  <c r="C64" i="49" a="1"/>
  <c r="C64" i="49" s="1"/>
  <c r="C65" i="49" a="1"/>
  <c r="C65" i="49" s="1"/>
  <c r="C66" i="49" a="1"/>
  <c r="C66" i="49" s="1"/>
  <c r="C67" i="49" a="1"/>
  <c r="C67" i="49" s="1"/>
  <c r="C68" i="49" a="1"/>
  <c r="C68" i="49" s="1"/>
  <c r="C69" i="49" a="1"/>
  <c r="C69" i="49" s="1"/>
  <c r="C70" i="49" a="1"/>
  <c r="C70" i="49" s="1"/>
  <c r="C71" i="49" a="1"/>
  <c r="C71" i="49" s="1"/>
  <c r="C72" i="49" a="1"/>
  <c r="C72" i="49" s="1"/>
  <c r="C73" i="49" a="1"/>
  <c r="C73" i="49" s="1"/>
  <c r="C74" i="49" a="1"/>
  <c r="C74" i="49" s="1"/>
  <c r="C75" i="49" a="1"/>
  <c r="C75" i="49" s="1"/>
  <c r="C76" i="49" a="1"/>
  <c r="C76" i="49" s="1"/>
  <c r="C77" i="49" a="1"/>
  <c r="C77" i="49" s="1"/>
  <c r="C78" i="49" a="1"/>
  <c r="C78" i="49" s="1"/>
  <c r="C79" i="49" a="1"/>
  <c r="C79" i="49" s="1"/>
  <c r="C80" i="49" a="1"/>
  <c r="C80" i="49" s="1"/>
  <c r="C81" i="49" a="1"/>
  <c r="C81" i="49" s="1"/>
  <c r="C82" i="49" a="1"/>
  <c r="C82" i="49" s="1"/>
  <c r="C83" i="49" a="1"/>
  <c r="C83" i="49" s="1"/>
  <c r="C84" i="49" a="1"/>
  <c r="C84" i="49" s="1"/>
  <c r="C85" i="49" a="1"/>
  <c r="C85" i="49" s="1"/>
  <c r="C86" i="49" a="1"/>
  <c r="C86" i="49" s="1"/>
  <c r="C87" i="49" a="1"/>
  <c r="C87" i="49" s="1"/>
  <c r="C88" i="49" a="1"/>
  <c r="C88" i="49" s="1"/>
  <c r="C89" i="49" a="1"/>
  <c r="C89" i="49" s="1"/>
  <c r="C90" i="49" a="1"/>
  <c r="C90" i="49" s="1"/>
  <c r="C91" i="49" a="1"/>
  <c r="C91" i="49" s="1"/>
  <c r="C92" i="49" a="1"/>
  <c r="C92" i="49" s="1"/>
  <c r="C93" i="49" a="1"/>
  <c r="C93" i="49" s="1"/>
  <c r="C94" i="49" a="1"/>
  <c r="C94" i="49" s="1"/>
  <c r="C95" i="49" a="1"/>
  <c r="C95" i="49" s="1"/>
  <c r="C96" i="49" a="1"/>
  <c r="C96" i="49" s="1"/>
  <c r="C97" i="49" a="1"/>
  <c r="C97" i="49" s="1"/>
  <c r="C98" i="49" a="1"/>
  <c r="C98" i="49" s="1"/>
  <c r="C99" i="49" a="1"/>
  <c r="C99" i="49" s="1"/>
  <c r="C100" i="49" a="1"/>
  <c r="C100" i="49" s="1"/>
  <c r="C5" i="49" a="1"/>
  <c r="C5" i="49" s="1"/>
  <c r="J43" i="41"/>
  <c r="J44" i="41"/>
  <c r="L44" i="41" s="1"/>
  <c r="J45" i="41"/>
  <c r="P45" i="41" s="1"/>
  <c r="K43" i="41"/>
  <c r="Q43" i="41" s="1"/>
  <c r="K44" i="41"/>
  <c r="Q44" i="41" s="1"/>
  <c r="K45" i="41"/>
  <c r="O45" i="41" s="1"/>
  <c r="M49" i="37"/>
  <c r="O49" i="37" s="1"/>
  <c r="L49" i="37"/>
  <c r="N49" i="37" s="1"/>
  <c r="M48" i="37"/>
  <c r="O48" i="37" s="1"/>
  <c r="L48" i="37"/>
  <c r="N48" i="37" s="1"/>
  <c r="M47" i="37"/>
  <c r="O47" i="37" s="1"/>
  <c r="L47" i="37"/>
  <c r="N47" i="37" s="1"/>
  <c r="M43" i="37"/>
  <c r="O43" i="37" s="1"/>
  <c r="L43" i="37"/>
  <c r="N43" i="37" s="1"/>
  <c r="M42" i="37"/>
  <c r="O42" i="37" s="1"/>
  <c r="L42" i="37"/>
  <c r="N42" i="37" s="1"/>
  <c r="M41" i="37"/>
  <c r="O41" i="37" s="1"/>
  <c r="L41" i="37"/>
  <c r="N41" i="37" s="1"/>
  <c r="M40" i="37"/>
  <c r="O40" i="37" s="1"/>
  <c r="L40" i="37"/>
  <c r="N40" i="37" s="1"/>
  <c r="M39" i="37"/>
  <c r="O39" i="37" s="1"/>
  <c r="L39" i="37"/>
  <c r="N39" i="37" s="1"/>
  <c r="M38" i="37"/>
  <c r="O38" i="37" s="1"/>
  <c r="Q38" i="37" s="1"/>
  <c r="L38" i="37"/>
  <c r="N38" i="37" s="1"/>
  <c r="M37" i="37"/>
  <c r="O37" i="37" s="1"/>
  <c r="L37" i="37"/>
  <c r="N37" i="37" s="1"/>
  <c r="M36" i="37"/>
  <c r="O36" i="37" s="1"/>
  <c r="L36" i="37"/>
  <c r="N36" i="37" s="1"/>
  <c r="M35" i="37"/>
  <c r="O35" i="37" s="1"/>
  <c r="L35" i="37"/>
  <c r="N35" i="37" s="1"/>
  <c r="M34" i="37"/>
  <c r="O34" i="37" s="1"/>
  <c r="L34" i="37"/>
  <c r="N34" i="37" s="1"/>
  <c r="M33" i="37"/>
  <c r="O33" i="37" s="1"/>
  <c r="L33" i="37"/>
  <c r="N33" i="37" s="1"/>
  <c r="M32" i="37"/>
  <c r="O32" i="37" s="1"/>
  <c r="L32" i="37"/>
  <c r="N32" i="37" s="1"/>
  <c r="M31" i="37"/>
  <c r="L31" i="37"/>
  <c r="N31" i="37" s="1"/>
  <c r="M30" i="37"/>
  <c r="O30" i="37" s="1"/>
  <c r="L30" i="37"/>
  <c r="M29" i="37"/>
  <c r="O29" i="37" s="1"/>
  <c r="Q29" i="37" s="1"/>
  <c r="L29" i="37"/>
  <c r="M28" i="37"/>
  <c r="O28" i="37" s="1"/>
  <c r="L28" i="37"/>
  <c r="N28" i="37" s="1"/>
  <c r="M27" i="37"/>
  <c r="O27" i="37" s="1"/>
  <c r="L27" i="37"/>
  <c r="N27" i="37" s="1"/>
  <c r="M26" i="37"/>
  <c r="O26" i="37" s="1"/>
  <c r="L26" i="37"/>
  <c r="N26" i="37" s="1"/>
  <c r="L6" i="37"/>
  <c r="N6" i="37" s="1"/>
  <c r="M6" i="37"/>
  <c r="O6" i="37" s="1"/>
  <c r="L7" i="37"/>
  <c r="N7" i="37" s="1"/>
  <c r="M7" i="37"/>
  <c r="O7" i="37" s="1"/>
  <c r="L8" i="37"/>
  <c r="N8" i="37" s="1"/>
  <c r="M8" i="37"/>
  <c r="O8" i="37" s="1"/>
  <c r="L9" i="37"/>
  <c r="N9" i="37" s="1"/>
  <c r="M9" i="37"/>
  <c r="O9" i="37" s="1"/>
  <c r="L10" i="37"/>
  <c r="N10" i="37" s="1"/>
  <c r="M10" i="37"/>
  <c r="O10" i="37" s="1"/>
  <c r="L11" i="37"/>
  <c r="N11" i="37" s="1"/>
  <c r="F17" i="49" s="1"/>
  <c r="M11" i="37"/>
  <c r="O11" i="37" s="1"/>
  <c r="L12" i="37"/>
  <c r="N12" i="37" s="1"/>
  <c r="M12" i="37"/>
  <c r="O12" i="37" s="1"/>
  <c r="L13" i="37"/>
  <c r="N13" i="37" s="1"/>
  <c r="M13" i="37"/>
  <c r="O13" i="37" s="1"/>
  <c r="M5" i="37"/>
  <c r="O5" i="37" s="1"/>
  <c r="L5" i="37"/>
  <c r="N5" i="37" s="1"/>
  <c r="P43" i="41" l="1"/>
  <c r="P44" i="41"/>
  <c r="N44" i="41"/>
  <c r="O43" i="41"/>
  <c r="M43" i="41"/>
  <c r="O44" i="41"/>
  <c r="N29" i="37"/>
  <c r="T29" i="37" s="1"/>
  <c r="N30" i="37"/>
  <c r="T30" i="37" s="1"/>
  <c r="O31" i="37"/>
  <c r="Q31" i="37" s="1"/>
  <c r="S29" i="37"/>
  <c r="Q30" i="37"/>
  <c r="S30" i="37"/>
  <c r="U30" i="37"/>
  <c r="M44" i="41"/>
  <c r="Q45" i="41"/>
  <c r="L45" i="41"/>
  <c r="N45" i="41"/>
  <c r="L43" i="41"/>
  <c r="N43" i="41"/>
  <c r="M45" i="41"/>
  <c r="T31" i="37"/>
  <c r="R31" i="37"/>
  <c r="P31" i="37"/>
  <c r="U29" i="37"/>
  <c r="P29" i="37" l="1"/>
  <c r="S31" i="37"/>
  <c r="U31" i="37"/>
  <c r="R29" i="37"/>
  <c r="P30" i="37"/>
  <c r="R30" i="37"/>
  <c r="K52" i="37"/>
  <c r="J52" i="37"/>
  <c r="L52" i="37" s="1"/>
  <c r="N52" i="37" s="1"/>
  <c r="K51" i="37"/>
  <c r="J51" i="37"/>
  <c r="K50" i="37"/>
  <c r="J50" i="37"/>
  <c r="L50" i="37" s="1"/>
  <c r="N50" i="37" s="1"/>
  <c r="K46" i="37"/>
  <c r="J46" i="37"/>
  <c r="L46" i="37" s="1"/>
  <c r="N46" i="37" s="1"/>
  <c r="K45" i="37"/>
  <c r="J45" i="37"/>
  <c r="K44" i="37"/>
  <c r="J44" i="37"/>
  <c r="L44" i="37" s="1"/>
  <c r="N44" i="37" s="1"/>
  <c r="L51" i="37" l="1"/>
  <c r="N51" i="37" s="1"/>
  <c r="M44" i="37"/>
  <c r="O44" i="37" s="1"/>
  <c r="M51" i="37"/>
  <c r="O51" i="37" s="1"/>
  <c r="L45" i="37"/>
  <c r="N45" i="37" s="1"/>
  <c r="M45" i="37"/>
  <c r="O45" i="37" s="1"/>
  <c r="M52" i="37"/>
  <c r="O52" i="37" s="1"/>
  <c r="F100" i="49" s="1"/>
  <c r="F95" i="49"/>
  <c r="F99" i="49"/>
  <c r="M46" i="37"/>
  <c r="O46" i="37" s="1"/>
  <c r="M50" i="37"/>
  <c r="O50" i="37" s="1"/>
  <c r="F16" i="49"/>
  <c r="F31" i="49"/>
  <c r="F32" i="49"/>
  <c r="F33" i="49"/>
  <c r="F34" i="49"/>
  <c r="F35" i="49"/>
  <c r="F36" i="49"/>
  <c r="F37" i="49"/>
  <c r="F38" i="49"/>
  <c r="F39" i="49"/>
  <c r="F40" i="49"/>
  <c r="F42" i="49"/>
  <c r="F44" i="49"/>
  <c r="F46" i="49"/>
  <c r="F48" i="49"/>
  <c r="F50" i="49"/>
  <c r="F52" i="49"/>
  <c r="F54" i="49"/>
  <c r="F56" i="49"/>
  <c r="F58" i="49"/>
  <c r="F71" i="49"/>
  <c r="F72" i="49"/>
  <c r="F73" i="49"/>
  <c r="F74" i="49"/>
  <c r="F75" i="49"/>
  <c r="F76" i="49"/>
  <c r="F77" i="49"/>
  <c r="F78" i="49"/>
  <c r="F79" i="49"/>
  <c r="F80" i="49"/>
  <c r="F81" i="49"/>
  <c r="F82" i="49"/>
  <c r="F84" i="49"/>
  <c r="F86" i="49"/>
  <c r="F88" i="49"/>
  <c r="F94" i="49"/>
  <c r="F96" i="49" l="1"/>
  <c r="F90" i="49"/>
  <c r="F98" i="49"/>
  <c r="F92" i="49"/>
  <c r="F97" i="49"/>
  <c r="F70" i="49"/>
  <c r="F62" i="49"/>
  <c r="F30" i="49"/>
  <c r="F22" i="49"/>
  <c r="F14" i="49"/>
  <c r="F6" i="49"/>
  <c r="F5" i="49"/>
  <c r="F93" i="49"/>
  <c r="F85" i="49"/>
  <c r="F69" i="49"/>
  <c r="F61" i="49"/>
  <c r="F53" i="49"/>
  <c r="F45" i="49"/>
  <c r="F29" i="49"/>
  <c r="F21" i="49"/>
  <c r="F13" i="49"/>
  <c r="F68" i="49"/>
  <c r="F60" i="49"/>
  <c r="F28" i="49"/>
  <c r="F20" i="49"/>
  <c r="F12" i="49"/>
  <c r="F91" i="49"/>
  <c r="F83" i="49"/>
  <c r="F67" i="49"/>
  <c r="F59" i="49"/>
  <c r="F51" i="49"/>
  <c r="F43" i="49"/>
  <c r="F27" i="49"/>
  <c r="F19" i="49"/>
  <c r="F11" i="49"/>
  <c r="F66" i="49"/>
  <c r="F26" i="49"/>
  <c r="F18" i="49"/>
  <c r="F10" i="49"/>
  <c r="F89" i="49"/>
  <c r="F65" i="49"/>
  <c r="F57" i="49"/>
  <c r="F49" i="49"/>
  <c r="F41" i="49"/>
  <c r="F25" i="49"/>
  <c r="F9" i="49"/>
  <c r="F64" i="49"/>
  <c r="F24" i="49"/>
  <c r="F8" i="49"/>
  <c r="F87" i="49"/>
  <c r="F63" i="49"/>
  <c r="F55" i="49"/>
  <c r="F47" i="49"/>
  <c r="F23" i="49"/>
  <c r="F15" i="49"/>
  <c r="F7" i="49"/>
  <c r="K4" i="41"/>
  <c r="K5" i="41"/>
  <c r="K6" i="41"/>
  <c r="K7" i="41"/>
  <c r="K8" i="41"/>
  <c r="K9" i="41"/>
  <c r="K10" i="41"/>
  <c r="K11" i="41"/>
  <c r="K12" i="41"/>
  <c r="K13" i="41"/>
  <c r="K14" i="41"/>
  <c r="K15" i="41"/>
  <c r="K16" i="41"/>
  <c r="K17" i="41"/>
  <c r="K18" i="41"/>
  <c r="K22" i="41"/>
  <c r="K23" i="41"/>
  <c r="K24" i="41"/>
  <c r="K19" i="41"/>
  <c r="K20" i="41"/>
  <c r="K21" i="41"/>
  <c r="K27" i="41"/>
  <c r="K28" i="41"/>
  <c r="K29" i="41"/>
  <c r="K25" i="41"/>
  <c r="K26" i="41"/>
  <c r="K30" i="41"/>
  <c r="K31" i="41"/>
  <c r="K32" i="41"/>
  <c r="K33" i="41"/>
  <c r="K34" i="41"/>
  <c r="K35" i="41"/>
  <c r="K36" i="41"/>
  <c r="K37" i="41"/>
  <c r="J96" i="49" s="1"/>
  <c r="K38" i="41"/>
  <c r="J98" i="49" s="1"/>
  <c r="K39" i="41"/>
  <c r="J100" i="49" s="1"/>
  <c r="N100" i="49" s="1"/>
  <c r="K40" i="41"/>
  <c r="K41" i="41"/>
  <c r="K42" i="41"/>
  <c r="J4" i="41"/>
  <c r="J5" i="49" s="1"/>
  <c r="J5" i="41"/>
  <c r="J6" i="41"/>
  <c r="J7" i="41"/>
  <c r="J8" i="41"/>
  <c r="J17" i="49" s="1"/>
  <c r="J9" i="41"/>
  <c r="J10" i="41"/>
  <c r="J11" i="41"/>
  <c r="J12" i="41"/>
  <c r="J13" i="41"/>
  <c r="J14" i="41"/>
  <c r="J15" i="41"/>
  <c r="J16" i="41"/>
  <c r="J17" i="41"/>
  <c r="J18" i="41"/>
  <c r="J22" i="41"/>
  <c r="J23" i="41"/>
  <c r="J24" i="41"/>
  <c r="J19" i="41"/>
  <c r="J20" i="41"/>
  <c r="J21" i="41"/>
  <c r="J27" i="41"/>
  <c r="J28" i="41"/>
  <c r="J29" i="41"/>
  <c r="J25" i="41"/>
  <c r="J26" i="41"/>
  <c r="J30" i="41"/>
  <c r="J31" i="41"/>
  <c r="J32" i="41"/>
  <c r="J33" i="41"/>
  <c r="J34" i="41"/>
  <c r="N10" i="48" s="1"/>
  <c r="M10" i="48" s="1"/>
  <c r="J35" i="41"/>
  <c r="J36" i="41"/>
  <c r="J37" i="41"/>
  <c r="J95" i="49" s="1"/>
  <c r="N95" i="49" s="1"/>
  <c r="J38" i="41"/>
  <c r="J97" i="49" s="1"/>
  <c r="J39" i="41"/>
  <c r="J99" i="49" s="1"/>
  <c r="N99" i="49" s="1"/>
  <c r="J40" i="41"/>
  <c r="J41" i="41"/>
  <c r="J42" i="41"/>
  <c r="N13" i="48" l="1"/>
  <c r="M19" i="48" s="1"/>
  <c r="N14" i="48"/>
  <c r="M14" i="48" s="1"/>
  <c r="M23" i="48" s="1"/>
  <c r="N12" i="48"/>
  <c r="M12" i="48" s="1"/>
  <c r="N28" i="48" s="1"/>
  <c r="N11" i="48"/>
  <c r="N24" i="48" s="1"/>
  <c r="N15" i="48"/>
  <c r="N97" i="49"/>
  <c r="N98" i="49"/>
  <c r="N96" i="49"/>
  <c r="N19" i="48"/>
  <c r="N18" i="48"/>
  <c r="N5" i="49"/>
  <c r="L15" i="41"/>
  <c r="M15" i="41"/>
  <c r="O15" i="41"/>
  <c r="Q15" i="41"/>
  <c r="P12" i="41"/>
  <c r="O12" i="41"/>
  <c r="L12" i="41"/>
  <c r="M12" i="41"/>
  <c r="N12" i="41"/>
  <c r="M24" i="48" l="1"/>
  <c r="N23" i="48"/>
  <c r="M13" i="48"/>
  <c r="M18" i="48" s="1"/>
  <c r="N29" i="48"/>
  <c r="M29" i="48"/>
  <c r="M15" i="48"/>
  <c r="M28" i="48" s="1"/>
  <c r="Q12" i="41"/>
  <c r="N15" i="41"/>
  <c r="P15" i="41"/>
  <c r="P106" i="49"/>
  <c r="O106" i="49"/>
  <c r="N106" i="49"/>
  <c r="L106" i="49"/>
  <c r="K106" i="49"/>
  <c r="J106" i="49"/>
  <c r="H106" i="49"/>
  <c r="G106" i="49"/>
  <c r="F106" i="49"/>
  <c r="R10" i="40"/>
  <c r="I10" i="40"/>
  <c r="S10" i="31"/>
  <c r="C10" i="31"/>
  <c r="P17" i="37"/>
  <c r="G29" i="49" s="1"/>
  <c r="P18" i="37"/>
  <c r="G31" i="49" s="1"/>
  <c r="S17" i="37"/>
  <c r="H30" i="49" s="1"/>
  <c r="U18" i="37"/>
  <c r="I32" i="49" s="1"/>
  <c r="L13" i="41"/>
  <c r="L14" i="41"/>
  <c r="Q28" i="41"/>
  <c r="P6" i="41"/>
  <c r="N7" i="41"/>
  <c r="P8" i="41"/>
  <c r="N9" i="41"/>
  <c r="N10" i="41"/>
  <c r="N11" i="41"/>
  <c r="N16" i="41"/>
  <c r="N17" i="41"/>
  <c r="P18" i="41"/>
  <c r="N19" i="41"/>
  <c r="N20" i="41"/>
  <c r="N21" i="41"/>
  <c r="N27" i="41"/>
  <c r="N28" i="41"/>
  <c r="N29" i="41"/>
  <c r="P25" i="41"/>
  <c r="N26" i="41"/>
  <c r="L30" i="41"/>
  <c r="N31" i="41"/>
  <c r="N32" i="41"/>
  <c r="N33" i="41"/>
  <c r="N34" i="41"/>
  <c r="N35" i="41"/>
  <c r="N36" i="41"/>
  <c r="N37" i="41"/>
  <c r="L95" i="49" s="1"/>
  <c r="N38" i="41"/>
  <c r="L97" i="49" s="1"/>
  <c r="P39" i="41"/>
  <c r="M99" i="49" s="1"/>
  <c r="N40" i="41"/>
  <c r="N41" i="41"/>
  <c r="L42" i="41"/>
  <c r="N5" i="41"/>
  <c r="P4" i="41"/>
  <c r="M5" i="49" s="1"/>
  <c r="P7" i="37"/>
  <c r="G9" i="49" s="1"/>
  <c r="P9" i="37"/>
  <c r="G13" i="49" s="1"/>
  <c r="R10" i="37"/>
  <c r="H15" i="49" s="1"/>
  <c r="P13" i="37"/>
  <c r="G21" i="49" s="1"/>
  <c r="P15" i="37"/>
  <c r="G25" i="49" s="1"/>
  <c r="R16" i="37"/>
  <c r="H27" i="49" s="1"/>
  <c r="P20" i="37"/>
  <c r="G35" i="49" s="1"/>
  <c r="R21" i="37"/>
  <c r="H37" i="49" s="1"/>
  <c r="T23" i="37"/>
  <c r="R24" i="37"/>
  <c r="P25" i="37"/>
  <c r="R26" i="37"/>
  <c r="P32" i="37"/>
  <c r="R34" i="37"/>
  <c r="R35" i="37"/>
  <c r="R36" i="37"/>
  <c r="R37" i="37"/>
  <c r="P40" i="37"/>
  <c r="T42" i="37"/>
  <c r="R44" i="37"/>
  <c r="T45" i="37"/>
  <c r="P48" i="37"/>
  <c r="R50" i="37"/>
  <c r="R52" i="37"/>
  <c r="Q8" i="37"/>
  <c r="G12" i="49" s="1"/>
  <c r="S9" i="37"/>
  <c r="H14" i="49" s="1"/>
  <c r="U10" i="37"/>
  <c r="I16" i="49" s="1"/>
  <c r="S11" i="37"/>
  <c r="H18" i="49" s="1"/>
  <c r="S12" i="37"/>
  <c r="H20" i="49" s="1"/>
  <c r="Q13" i="37"/>
  <c r="G22" i="49" s="1"/>
  <c r="S15" i="37"/>
  <c r="H26" i="49" s="1"/>
  <c r="Q16" i="37"/>
  <c r="G28" i="49" s="1"/>
  <c r="U21" i="37"/>
  <c r="I38" i="49" s="1"/>
  <c r="S22" i="37"/>
  <c r="H40" i="49" s="1"/>
  <c r="S23" i="37"/>
  <c r="Q24" i="37"/>
  <c r="S25" i="37"/>
  <c r="U26" i="37"/>
  <c r="S27" i="37"/>
  <c r="S28" i="37"/>
  <c r="U32" i="37"/>
  <c r="S34" i="37"/>
  <c r="Q35" i="37"/>
  <c r="S36" i="37"/>
  <c r="S37" i="37"/>
  <c r="S40" i="37"/>
  <c r="H76" i="49" s="1"/>
  <c r="S42" i="37"/>
  <c r="Q43" i="37"/>
  <c r="S44" i="37"/>
  <c r="S45" i="37"/>
  <c r="S48" i="37"/>
  <c r="H86" i="49" s="1"/>
  <c r="S50" i="37"/>
  <c r="Q51" i="37"/>
  <c r="S52" i="37"/>
  <c r="S6" i="37"/>
  <c r="H8" i="49" s="1"/>
  <c r="S7" i="37"/>
  <c r="H10" i="49" s="1"/>
  <c r="P5" i="37"/>
  <c r="G5" i="49" s="1"/>
  <c r="H56" i="49" l="1"/>
  <c r="H53" i="49"/>
  <c r="H58" i="49"/>
  <c r="H96" i="49"/>
  <c r="H52" i="49"/>
  <c r="H95" i="49"/>
  <c r="P95" i="49" s="1"/>
  <c r="I60" i="49"/>
  <c r="H70" i="49"/>
  <c r="H64" i="49"/>
  <c r="H69" i="49"/>
  <c r="H63" i="49"/>
  <c r="G59" i="49"/>
  <c r="H92" i="49"/>
  <c r="T51" i="37"/>
  <c r="I97" i="49" s="1"/>
  <c r="R8" i="37"/>
  <c r="H11" i="49" s="1"/>
  <c r="T43" i="37"/>
  <c r="S20" i="37"/>
  <c r="H36" i="49" s="1"/>
  <c r="N24" i="41"/>
  <c r="P23" i="41"/>
  <c r="N22" i="41"/>
  <c r="O42" i="41"/>
  <c r="Q42" i="41"/>
  <c r="O41" i="41"/>
  <c r="Q41" i="41"/>
  <c r="Q40" i="41"/>
  <c r="Q39" i="41"/>
  <c r="M100" i="49" s="1"/>
  <c r="Q38" i="41"/>
  <c r="M98" i="49" s="1"/>
  <c r="Q37" i="41"/>
  <c r="M96" i="49" s="1"/>
  <c r="M36" i="41"/>
  <c r="Q36" i="41"/>
  <c r="O35" i="41"/>
  <c r="Q35" i="41"/>
  <c r="Q14" i="48" s="1"/>
  <c r="M27" i="48" s="1"/>
  <c r="O34" i="41"/>
  <c r="Q34" i="41"/>
  <c r="Q33" i="41"/>
  <c r="M32" i="41"/>
  <c r="Q32" i="41"/>
  <c r="O31" i="41"/>
  <c r="Q31" i="41"/>
  <c r="O30" i="41"/>
  <c r="Q30" i="41"/>
  <c r="Q26" i="41"/>
  <c r="Q25" i="41"/>
  <c r="M29" i="41"/>
  <c r="Q29" i="41"/>
  <c r="O27" i="41"/>
  <c r="Q27" i="41"/>
  <c r="O21" i="41"/>
  <c r="Q21" i="41"/>
  <c r="Q20" i="41"/>
  <c r="O19" i="41"/>
  <c r="Q19" i="41"/>
  <c r="Q24" i="41"/>
  <c r="Q23" i="41"/>
  <c r="O22" i="41"/>
  <c r="Q22" i="41"/>
  <c r="Q18" i="41"/>
  <c r="O17" i="41"/>
  <c r="Q17" i="41"/>
  <c r="Q16" i="41"/>
  <c r="O11" i="41"/>
  <c r="Q11" i="41"/>
  <c r="Q10" i="41"/>
  <c r="O9" i="41"/>
  <c r="Q9" i="41"/>
  <c r="O8" i="41"/>
  <c r="Q8" i="41"/>
  <c r="Q7" i="41"/>
  <c r="Q6" i="41"/>
  <c r="Q5" i="41"/>
  <c r="O4" i="41"/>
  <c r="Q4" i="41"/>
  <c r="O14" i="41"/>
  <c r="Q14" i="41"/>
  <c r="M13" i="41"/>
  <c r="Q13" i="41"/>
  <c r="V10" i="40"/>
  <c r="M12" i="31"/>
  <c r="T11" i="40"/>
  <c r="M13" i="31"/>
  <c r="T10" i="40"/>
  <c r="Q46" i="37"/>
  <c r="R22" i="37"/>
  <c r="H39" i="49" s="1"/>
  <c r="S38" i="37"/>
  <c r="R27" i="37"/>
  <c r="H55" i="49" s="1"/>
  <c r="T38" i="37"/>
  <c r="R46" i="37"/>
  <c r="H99" i="49" s="1"/>
  <c r="R11" i="37"/>
  <c r="H17" i="49" s="1"/>
  <c r="T17" i="37"/>
  <c r="I29" i="49" s="1"/>
  <c r="R17" i="37"/>
  <c r="H29" i="49" s="1"/>
  <c r="S18" i="37"/>
  <c r="H32" i="49" s="1"/>
  <c r="Q18" i="37"/>
  <c r="G32" i="49" s="1"/>
  <c r="Q17" i="37"/>
  <c r="G30" i="49" s="1"/>
  <c r="Q19" i="37"/>
  <c r="G34" i="49" s="1"/>
  <c r="T19" i="37"/>
  <c r="I33" i="49" s="1"/>
  <c r="P19" i="37"/>
  <c r="G33" i="49" s="1"/>
  <c r="S19" i="37"/>
  <c r="H34" i="49" s="1"/>
  <c r="R19" i="37"/>
  <c r="H33" i="49" s="1"/>
  <c r="U17" i="37"/>
  <c r="I30" i="49" s="1"/>
  <c r="T18" i="37"/>
  <c r="I31" i="49" s="1"/>
  <c r="T47" i="37"/>
  <c r="P33" i="37"/>
  <c r="P14" i="37"/>
  <c r="G23" i="49" s="1"/>
  <c r="P6" i="37"/>
  <c r="G7" i="49" s="1"/>
  <c r="T28" i="37"/>
  <c r="T12" i="37"/>
  <c r="I19" i="49" s="1"/>
  <c r="U39" i="37"/>
  <c r="U49" i="37"/>
  <c r="R18" i="37"/>
  <c r="H31" i="49" s="1"/>
  <c r="U19" i="37"/>
  <c r="I34" i="49" s="1"/>
  <c r="R39" i="37"/>
  <c r="H73" i="49" s="1"/>
  <c r="S47" i="37"/>
  <c r="S33" i="37"/>
  <c r="H46" i="49"/>
  <c r="S14" i="37"/>
  <c r="H24" i="49" s="1"/>
  <c r="R41" i="37"/>
  <c r="R49" i="37"/>
  <c r="S41" i="37"/>
  <c r="N8" i="41"/>
  <c r="O13" i="41"/>
  <c r="N14" i="41"/>
  <c r="N13" i="41"/>
  <c r="P14" i="41"/>
  <c r="M22" i="41"/>
  <c r="O5" i="41"/>
  <c r="P13" i="41"/>
  <c r="M16" i="41"/>
  <c r="M7" i="41"/>
  <c r="M40" i="41"/>
  <c r="O40" i="41"/>
  <c r="M14" i="41"/>
  <c r="M26" i="41"/>
  <c r="O26" i="41"/>
  <c r="M24" i="41"/>
  <c r="O7" i="41"/>
  <c r="N25" i="41"/>
  <c r="M23" i="41"/>
  <c r="M39" i="41"/>
  <c r="K100" i="49" s="1"/>
  <c r="M33" i="41"/>
  <c r="M6" i="41"/>
  <c r="N23" i="41"/>
  <c r="N39" i="41"/>
  <c r="L99" i="49" s="1"/>
  <c r="M25" i="41"/>
  <c r="N6" i="41"/>
  <c r="M38" i="41"/>
  <c r="K98" i="49" s="1"/>
  <c r="M11" i="41"/>
  <c r="O38" i="41"/>
  <c r="L98" i="49" s="1"/>
  <c r="O18" i="41"/>
  <c r="O20" i="41"/>
  <c r="N18" i="41"/>
  <c r="P40" i="41"/>
  <c r="P16" i="41"/>
  <c r="P7" i="41"/>
  <c r="P33" i="41"/>
  <c r="P26" i="41"/>
  <c r="N4" i="41"/>
  <c r="L5" i="49" s="1"/>
  <c r="P24" i="41"/>
  <c r="P12" i="48"/>
  <c r="O28" i="41"/>
  <c r="P38" i="41"/>
  <c r="M97" i="49" s="1"/>
  <c r="P32" i="41"/>
  <c r="P29" i="41"/>
  <c r="P22" i="41"/>
  <c r="P11" i="41"/>
  <c r="P11" i="48"/>
  <c r="O37" i="41"/>
  <c r="L96" i="49" s="1"/>
  <c r="O10" i="41"/>
  <c r="P37" i="41"/>
  <c r="M95" i="49" s="1"/>
  <c r="P28" i="41"/>
  <c r="P10" i="41"/>
  <c r="P5" i="41"/>
  <c r="P36" i="41"/>
  <c r="P27" i="41"/>
  <c r="P35" i="41"/>
  <c r="P31" i="41"/>
  <c r="P21" i="41"/>
  <c r="P9" i="41"/>
  <c r="P42" i="41"/>
  <c r="P30" i="41"/>
  <c r="P20" i="41"/>
  <c r="P41" i="41"/>
  <c r="P34" i="41"/>
  <c r="P19" i="41"/>
  <c r="P17" i="41"/>
  <c r="O36" i="41"/>
  <c r="N42" i="41"/>
  <c r="N30" i="41"/>
  <c r="L40" i="41"/>
  <c r="L26" i="41"/>
  <c r="O32" i="41"/>
  <c r="L24" i="41"/>
  <c r="O29" i="41"/>
  <c r="L18" i="41"/>
  <c r="O24" i="41"/>
  <c r="L20" i="41"/>
  <c r="L16" i="41"/>
  <c r="L8" i="41"/>
  <c r="O16" i="41"/>
  <c r="L7" i="41"/>
  <c r="M27" i="41"/>
  <c r="L41" i="41"/>
  <c r="L34" i="41"/>
  <c r="L19" i="41"/>
  <c r="L17" i="41"/>
  <c r="M37" i="41"/>
  <c r="K96" i="49" s="1"/>
  <c r="M28" i="41"/>
  <c r="M10" i="41"/>
  <c r="M5" i="41"/>
  <c r="O39" i="41"/>
  <c r="L100" i="49" s="1"/>
  <c r="O33" i="41"/>
  <c r="O25" i="41"/>
  <c r="O23" i="41"/>
  <c r="O6" i="41"/>
  <c r="L39" i="41"/>
  <c r="K99" i="49" s="1"/>
  <c r="L33" i="41"/>
  <c r="L25" i="41"/>
  <c r="L23" i="41"/>
  <c r="L6" i="41"/>
  <c r="M35" i="41"/>
  <c r="M31" i="41"/>
  <c r="M21" i="41"/>
  <c r="M9" i="41"/>
  <c r="L38" i="41"/>
  <c r="K97" i="49" s="1"/>
  <c r="L32" i="41"/>
  <c r="L29" i="41"/>
  <c r="L22" i="41"/>
  <c r="L11" i="41"/>
  <c r="M42" i="41"/>
  <c r="M30" i="41"/>
  <c r="M20" i="41"/>
  <c r="M18" i="41"/>
  <c r="M8" i="41"/>
  <c r="L37" i="41"/>
  <c r="K95" i="49" s="1"/>
  <c r="L28" i="41"/>
  <c r="L10" i="41"/>
  <c r="L5" i="41"/>
  <c r="M41" i="41"/>
  <c r="M34" i="41"/>
  <c r="M19" i="41"/>
  <c r="M17" i="41"/>
  <c r="L36" i="41"/>
  <c r="L27" i="41"/>
  <c r="L4" i="41"/>
  <c r="L35" i="41"/>
  <c r="L31" i="41"/>
  <c r="L21" i="41"/>
  <c r="L9" i="41"/>
  <c r="M4" i="41"/>
  <c r="U14" i="37"/>
  <c r="I24" i="49" s="1"/>
  <c r="U47" i="37"/>
  <c r="T20" i="37"/>
  <c r="I35" i="49" s="1"/>
  <c r="P35" i="37"/>
  <c r="G65" i="49" s="1"/>
  <c r="R25" i="37"/>
  <c r="T48" i="37"/>
  <c r="I91" i="49" s="1"/>
  <c r="U33" i="37"/>
  <c r="S13" i="37"/>
  <c r="H22" i="49" s="1"/>
  <c r="Q20" i="37"/>
  <c r="G36" i="49" s="1"/>
  <c r="T34" i="37"/>
  <c r="R7" i="37"/>
  <c r="H9" i="49" s="1"/>
  <c r="T39" i="37"/>
  <c r="T24" i="37"/>
  <c r="P50" i="37"/>
  <c r="P34" i="37"/>
  <c r="Q45" i="37"/>
  <c r="G98" i="49" s="1"/>
  <c r="T7" i="37"/>
  <c r="I9" i="49" s="1"/>
  <c r="U13" i="37"/>
  <c r="I22" i="49" s="1"/>
  <c r="T21" i="37"/>
  <c r="I37" i="49" s="1"/>
  <c r="U24" i="37"/>
  <c r="T41" i="37"/>
  <c r="R48" i="37"/>
  <c r="P49" i="37"/>
  <c r="P24" i="37"/>
  <c r="T8" i="37"/>
  <c r="I11" i="49" s="1"/>
  <c r="U41" i="37"/>
  <c r="P23" i="37"/>
  <c r="Q37" i="37"/>
  <c r="Q14" i="37"/>
  <c r="G24" i="49" s="1"/>
  <c r="U8" i="37"/>
  <c r="I12" i="49" s="1"/>
  <c r="R15" i="37"/>
  <c r="H25" i="49" s="1"/>
  <c r="T25" i="37"/>
  <c r="T35" i="37"/>
  <c r="R42" i="37"/>
  <c r="T49" i="37"/>
  <c r="P42" i="37"/>
  <c r="G27" i="49"/>
  <c r="Q36" i="37"/>
  <c r="R9" i="37"/>
  <c r="H13" i="49" s="1"/>
  <c r="T15" i="37"/>
  <c r="I25" i="49" s="1"/>
  <c r="T26" i="37"/>
  <c r="T37" i="37"/>
  <c r="T50" i="37"/>
  <c r="P41" i="37"/>
  <c r="Q33" i="37"/>
  <c r="Q9" i="37"/>
  <c r="G14" i="49" s="1"/>
  <c r="T9" i="37"/>
  <c r="I13" i="49" s="1"/>
  <c r="T16" i="37"/>
  <c r="I27" i="49" s="1"/>
  <c r="U28" i="37"/>
  <c r="U37" i="37"/>
  <c r="U45" i="37"/>
  <c r="P51" i="37"/>
  <c r="P39" i="37"/>
  <c r="P8" i="37"/>
  <c r="G11" i="49" s="1"/>
  <c r="Q32" i="37"/>
  <c r="Q6" i="37"/>
  <c r="G8" i="49" s="1"/>
  <c r="T10" i="37"/>
  <c r="I15" i="49" s="1"/>
  <c r="U16" i="37"/>
  <c r="I28" i="49" s="1"/>
  <c r="R23" i="37"/>
  <c r="H47" i="49" s="1"/>
  <c r="S32" i="37"/>
  <c r="R38" i="37"/>
  <c r="H71" i="49" s="1"/>
  <c r="S46" i="37"/>
  <c r="H100" i="49" s="1"/>
  <c r="Q41" i="37"/>
  <c r="P38" i="37"/>
  <c r="Q25" i="37"/>
  <c r="U6" i="37"/>
  <c r="I8" i="49" s="1"/>
  <c r="U12" i="37"/>
  <c r="I20" i="49" s="1"/>
  <c r="R20" i="37"/>
  <c r="H35" i="49" s="1"/>
  <c r="U46" i="37"/>
  <c r="P47" i="37"/>
  <c r="Q49" i="37"/>
  <c r="G88" i="49" s="1"/>
  <c r="T22" i="37"/>
  <c r="I39" i="49" s="1"/>
  <c r="T27" i="37"/>
  <c r="T32" i="37"/>
  <c r="T40" i="37"/>
  <c r="T44" i="37"/>
  <c r="P11" i="37"/>
  <c r="G17" i="49" s="1"/>
  <c r="Q48" i="37"/>
  <c r="U7" i="37"/>
  <c r="I10" i="49" s="1"/>
  <c r="U9" i="37"/>
  <c r="I14" i="49" s="1"/>
  <c r="U11" i="37"/>
  <c r="I18" i="49" s="1"/>
  <c r="U15" i="37"/>
  <c r="I26" i="49" s="1"/>
  <c r="U36" i="37"/>
  <c r="U42" i="37"/>
  <c r="I80" i="49" s="1"/>
  <c r="P45" i="37"/>
  <c r="P37" i="37"/>
  <c r="G75" i="49" s="1"/>
  <c r="P26" i="37"/>
  <c r="P21" i="37"/>
  <c r="G37" i="49" s="1"/>
  <c r="P10" i="37"/>
  <c r="G15" i="49" s="1"/>
  <c r="Q47" i="37"/>
  <c r="Q39" i="37"/>
  <c r="Q28" i="37"/>
  <c r="G58" i="49" s="1"/>
  <c r="Q12" i="37"/>
  <c r="G20" i="49" s="1"/>
  <c r="R6" i="37"/>
  <c r="H7" i="49" s="1"/>
  <c r="R12" i="37"/>
  <c r="H19" i="49" s="1"/>
  <c r="R14" i="37"/>
  <c r="H23" i="49" s="1"/>
  <c r="R28" i="37"/>
  <c r="H57" i="49" s="1"/>
  <c r="R33" i="37"/>
  <c r="R43" i="37"/>
  <c r="R45" i="37"/>
  <c r="R47" i="37"/>
  <c r="H89" i="49" s="1"/>
  <c r="R51" i="37"/>
  <c r="Q52" i="37"/>
  <c r="P28" i="37"/>
  <c r="P12" i="37"/>
  <c r="G19" i="49" s="1"/>
  <c r="T11" i="37"/>
  <c r="I17" i="49" s="1"/>
  <c r="T13" i="37"/>
  <c r="I21" i="49" s="1"/>
  <c r="T36" i="37"/>
  <c r="T46" i="37"/>
  <c r="T52" i="37"/>
  <c r="P46" i="37"/>
  <c r="P27" i="37"/>
  <c r="P22" i="37"/>
  <c r="G39" i="49" s="1"/>
  <c r="Q40" i="37"/>
  <c r="U20" i="37"/>
  <c r="I36" i="49" s="1"/>
  <c r="U22" i="37"/>
  <c r="I40" i="49" s="1"/>
  <c r="U23" i="37"/>
  <c r="I48" i="49" s="1"/>
  <c r="U25" i="37"/>
  <c r="U27" i="37"/>
  <c r="U34" i="37"/>
  <c r="U38" i="37"/>
  <c r="U40" i="37"/>
  <c r="U44" i="37"/>
  <c r="U48" i="37"/>
  <c r="I86" i="49" s="1"/>
  <c r="U50" i="37"/>
  <c r="U52" i="37"/>
  <c r="P52" i="37"/>
  <c r="P44" i="37"/>
  <c r="P36" i="37"/>
  <c r="G72" i="49"/>
  <c r="Q27" i="37"/>
  <c r="Q22" i="37"/>
  <c r="G40" i="49" s="1"/>
  <c r="Q11" i="37"/>
  <c r="G18" i="49" s="1"/>
  <c r="S8" i="37"/>
  <c r="H12" i="49" s="1"/>
  <c r="S10" i="37"/>
  <c r="H16" i="49" s="1"/>
  <c r="S16" i="37"/>
  <c r="H28" i="49" s="1"/>
  <c r="S21" i="37"/>
  <c r="H38" i="49" s="1"/>
  <c r="S24" i="37"/>
  <c r="H50" i="49" s="1"/>
  <c r="S26" i="37"/>
  <c r="S35" i="37"/>
  <c r="S39" i="37"/>
  <c r="H74" i="49" s="1"/>
  <c r="S43" i="37"/>
  <c r="H82" i="49" s="1"/>
  <c r="S49" i="37"/>
  <c r="S51" i="37"/>
  <c r="P43" i="37"/>
  <c r="Q26" i="37"/>
  <c r="G54" i="49" s="1"/>
  <c r="Q21" i="37"/>
  <c r="G38" i="49" s="1"/>
  <c r="Q10" i="37"/>
  <c r="G16" i="49" s="1"/>
  <c r="T6" i="37"/>
  <c r="I7" i="49" s="1"/>
  <c r="T14" i="37"/>
  <c r="I23" i="49" s="1"/>
  <c r="T33" i="37"/>
  <c r="Q44" i="37"/>
  <c r="U35" i="37"/>
  <c r="I66" i="49" s="1"/>
  <c r="U43" i="37"/>
  <c r="U51" i="37"/>
  <c r="R13" i="37"/>
  <c r="H21" i="49" s="1"/>
  <c r="H43" i="49"/>
  <c r="R32" i="37"/>
  <c r="R40" i="37"/>
  <c r="H75" i="49" s="1"/>
  <c r="Q50" i="37"/>
  <c r="Q42" i="37"/>
  <c r="G80" i="49" s="1"/>
  <c r="Q34" i="37"/>
  <c r="Q23" i="37"/>
  <c r="Q15" i="37"/>
  <c r="G26" i="49" s="1"/>
  <c r="Q7" i="37"/>
  <c r="G10" i="49" s="1"/>
  <c r="Q12" i="48" l="1"/>
  <c r="N32" i="48" s="1"/>
  <c r="P15" i="48"/>
  <c r="M31" i="48" s="1"/>
  <c r="N26" i="48"/>
  <c r="N31" i="48"/>
  <c r="Q15" i="48"/>
  <c r="M32" i="48" s="1"/>
  <c r="O15" i="48"/>
  <c r="O10" i="48"/>
  <c r="O14" i="48"/>
  <c r="O12" i="48"/>
  <c r="Q10" i="48"/>
  <c r="O13" i="48"/>
  <c r="I57" i="49"/>
  <c r="G56" i="49"/>
  <c r="I53" i="49"/>
  <c r="H54" i="49"/>
  <c r="I55" i="49"/>
  <c r="G46" i="49"/>
  <c r="I58" i="49"/>
  <c r="P13" i="48"/>
  <c r="G55" i="49"/>
  <c r="G57" i="49"/>
  <c r="H93" i="49"/>
  <c r="I56" i="49"/>
  <c r="G53" i="49"/>
  <c r="I54" i="49"/>
  <c r="G97" i="49"/>
  <c r="O97" i="49" s="1"/>
  <c r="G44" i="49"/>
  <c r="I41" i="49"/>
  <c r="G45" i="49"/>
  <c r="I43" i="49"/>
  <c r="H45" i="49"/>
  <c r="G41" i="49"/>
  <c r="P10" i="48"/>
  <c r="Q13" i="48"/>
  <c r="H42" i="49"/>
  <c r="P96" i="49"/>
  <c r="O98" i="49"/>
  <c r="P100" i="49"/>
  <c r="P14" i="48"/>
  <c r="Q11" i="48"/>
  <c r="N27" i="48" s="1"/>
  <c r="O11" i="48"/>
  <c r="I51" i="49"/>
  <c r="I52" i="49"/>
  <c r="G48" i="49"/>
  <c r="G95" i="49"/>
  <c r="O95" i="49" s="1"/>
  <c r="H97" i="49"/>
  <c r="P97" i="49" s="1"/>
  <c r="I95" i="49"/>
  <c r="Q95" i="49" s="1"/>
  <c r="H41" i="49"/>
  <c r="G50" i="49"/>
  <c r="H44" i="49"/>
  <c r="G42" i="49"/>
  <c r="G89" i="49"/>
  <c r="I45" i="49"/>
  <c r="G47" i="49"/>
  <c r="Q97" i="49"/>
  <c r="I70" i="49"/>
  <c r="I64" i="49"/>
  <c r="G93" i="49"/>
  <c r="G67" i="49"/>
  <c r="G61" i="49"/>
  <c r="I67" i="49"/>
  <c r="I61" i="49"/>
  <c r="H65" i="49"/>
  <c r="H59" i="49"/>
  <c r="G99" i="49"/>
  <c r="O99" i="49" s="1"/>
  <c r="H66" i="49"/>
  <c r="H60" i="49"/>
  <c r="G68" i="49"/>
  <c r="G62" i="49"/>
  <c r="H91" i="49"/>
  <c r="G69" i="49"/>
  <c r="G63" i="49"/>
  <c r="I68" i="49"/>
  <c r="I62" i="49"/>
  <c r="I89" i="49"/>
  <c r="P13" i="31"/>
  <c r="I65" i="49"/>
  <c r="I59" i="49"/>
  <c r="I98" i="49"/>
  <c r="Q98" i="49" s="1"/>
  <c r="I47" i="49"/>
  <c r="H67" i="49"/>
  <c r="H61" i="49"/>
  <c r="I99" i="49"/>
  <c r="Q99" i="49" s="1"/>
  <c r="I93" i="49"/>
  <c r="I50" i="49"/>
  <c r="I44" i="49"/>
  <c r="I49" i="49"/>
  <c r="H68" i="49"/>
  <c r="H62" i="49"/>
  <c r="H48" i="49"/>
  <c r="H49" i="49"/>
  <c r="G52" i="49"/>
  <c r="H51" i="49"/>
  <c r="G100" i="49"/>
  <c r="O100" i="49" s="1"/>
  <c r="I85" i="49"/>
  <c r="G49" i="49"/>
  <c r="G43" i="49"/>
  <c r="G70" i="49"/>
  <c r="G64" i="49"/>
  <c r="I46" i="49"/>
  <c r="I42" i="49"/>
  <c r="G66" i="49"/>
  <c r="G60" i="49"/>
  <c r="I69" i="49"/>
  <c r="I63" i="49"/>
  <c r="H98" i="49"/>
  <c r="P98" i="49" s="1"/>
  <c r="G91" i="49"/>
  <c r="G51" i="49"/>
  <c r="H84" i="49"/>
  <c r="I82" i="49"/>
  <c r="I90" i="49"/>
  <c r="I96" i="49"/>
  <c r="Q96" i="49" s="1"/>
  <c r="G71" i="49"/>
  <c r="H78" i="49"/>
  <c r="G90" i="49"/>
  <c r="G96" i="49"/>
  <c r="O96" i="49" s="1"/>
  <c r="P99" i="49"/>
  <c r="I94" i="49"/>
  <c r="I100" i="49"/>
  <c r="Q100" i="49" s="1"/>
  <c r="H88" i="49"/>
  <c r="I76" i="49"/>
  <c r="G76" i="49"/>
  <c r="G73" i="49"/>
  <c r="G92" i="49"/>
  <c r="I84" i="49"/>
  <c r="I71" i="49"/>
  <c r="G84" i="49"/>
  <c r="G74" i="49"/>
  <c r="I75" i="49"/>
  <c r="I74" i="49"/>
  <c r="I92" i="49"/>
  <c r="G77" i="49"/>
  <c r="G83" i="49"/>
  <c r="G79" i="49"/>
  <c r="G85" i="49"/>
  <c r="I77" i="49"/>
  <c r="I83" i="49"/>
  <c r="H72" i="49"/>
  <c r="H80" i="49"/>
  <c r="G82" i="49"/>
  <c r="H79" i="49"/>
  <c r="H85" i="49"/>
  <c r="I73" i="49"/>
  <c r="G94" i="49"/>
  <c r="I78" i="49"/>
  <c r="H81" i="49"/>
  <c r="H87" i="49"/>
  <c r="G86" i="49"/>
  <c r="G78" i="49"/>
  <c r="G81" i="49"/>
  <c r="G87" i="49"/>
  <c r="I72" i="49"/>
  <c r="H94" i="49"/>
  <c r="I81" i="49"/>
  <c r="I87" i="49"/>
  <c r="I79" i="49"/>
  <c r="H77" i="49"/>
  <c r="H83" i="49"/>
  <c r="I88" i="49"/>
  <c r="H90" i="49"/>
  <c r="V11" i="40"/>
  <c r="N12" i="31"/>
  <c r="P12" i="31"/>
  <c r="O12" i="31"/>
  <c r="O13" i="31"/>
  <c r="N13" i="31"/>
  <c r="U10" i="40"/>
  <c r="W11" i="40"/>
  <c r="U11" i="40"/>
  <c r="W10" i="40"/>
  <c r="M26" i="48" l="1"/>
  <c r="N22" i="48"/>
  <c r="M20" i="48"/>
  <c r="N30" i="48"/>
  <c r="N20" i="48"/>
  <c r="M30" i="48"/>
  <c r="M21" i="48"/>
  <c r="M25" i="48"/>
  <c r="N21" i="48"/>
  <c r="M22" i="48"/>
  <c r="N25" i="48"/>
  <c r="Q107" i="49"/>
  <c r="P107" i="49"/>
  <c r="O107" i="49"/>
  <c r="N107" i="49"/>
  <c r="M107" i="49"/>
  <c r="L107" i="49"/>
  <c r="K107" i="49"/>
  <c r="J107" i="49"/>
  <c r="I107" i="49"/>
  <c r="H107" i="49"/>
  <c r="G107" i="49"/>
  <c r="F107" i="49"/>
  <c r="F183" i="49" s="1"/>
  <c r="J200" i="49" l="1"/>
  <c r="J202" i="49"/>
  <c r="J204" i="49"/>
  <c r="J199" i="49"/>
  <c r="J201" i="49"/>
  <c r="J203" i="49"/>
  <c r="L200" i="49"/>
  <c r="L202" i="49"/>
  <c r="L204" i="49"/>
  <c r="L199" i="49"/>
  <c r="L201" i="49"/>
  <c r="L203" i="49"/>
  <c r="F199" i="49"/>
  <c r="F201" i="49"/>
  <c r="F203" i="49"/>
  <c r="F200" i="49"/>
  <c r="F202" i="49"/>
  <c r="F204" i="49"/>
  <c r="O199" i="49"/>
  <c r="O201" i="49"/>
  <c r="O203" i="49"/>
  <c r="O200" i="49"/>
  <c r="O202" i="49"/>
  <c r="O204" i="49"/>
  <c r="H199" i="49"/>
  <c r="H201" i="49"/>
  <c r="H203" i="49"/>
  <c r="H200" i="49"/>
  <c r="H202" i="49"/>
  <c r="H204" i="49"/>
  <c r="P199" i="49"/>
  <c r="P201" i="49"/>
  <c r="P203" i="49"/>
  <c r="P200" i="49"/>
  <c r="P202" i="49"/>
  <c r="P204" i="49"/>
  <c r="K200" i="49"/>
  <c r="K202" i="49"/>
  <c r="K204" i="49"/>
  <c r="K199" i="49"/>
  <c r="K201" i="49"/>
  <c r="K203" i="49"/>
  <c r="M201" i="49"/>
  <c r="M200" i="49"/>
  <c r="M202" i="49"/>
  <c r="M204" i="49"/>
  <c r="M199" i="49"/>
  <c r="M203" i="49"/>
  <c r="N199" i="49"/>
  <c r="N201" i="49"/>
  <c r="N203" i="49"/>
  <c r="N200" i="49"/>
  <c r="N202" i="49"/>
  <c r="N204" i="49"/>
  <c r="G199" i="49"/>
  <c r="G201" i="49"/>
  <c r="G203" i="49"/>
  <c r="G200" i="49"/>
  <c r="G202" i="49"/>
  <c r="G204" i="49"/>
  <c r="I199" i="49"/>
  <c r="I201" i="49"/>
  <c r="I203" i="49"/>
  <c r="I204" i="49"/>
  <c r="I200" i="49"/>
  <c r="I202" i="49"/>
  <c r="Q200" i="49"/>
  <c r="Q199" i="49"/>
  <c r="Q201" i="49"/>
  <c r="Q203" i="49"/>
  <c r="Q202" i="49"/>
  <c r="Q204" i="49"/>
  <c r="J51" i="49"/>
  <c r="J155" i="49" s="1"/>
  <c r="K51" i="49"/>
  <c r="K155" i="49" s="1"/>
  <c r="L51" i="49"/>
  <c r="L155" i="49" s="1"/>
  <c r="M51" i="49"/>
  <c r="M155" i="49" s="1"/>
  <c r="L19" i="49"/>
  <c r="J19" i="49"/>
  <c r="J123" i="49" s="1"/>
  <c r="K19" i="49"/>
  <c r="K123" i="49" s="1"/>
  <c r="M19" i="49"/>
  <c r="M123" i="49" s="1"/>
  <c r="J46" i="49"/>
  <c r="K46" i="49"/>
  <c r="M46" i="49"/>
  <c r="L46" i="49"/>
  <c r="J30" i="49"/>
  <c r="L30" i="49"/>
  <c r="M30" i="49"/>
  <c r="K30" i="49"/>
  <c r="J68" i="49"/>
  <c r="M68" i="49"/>
  <c r="M172" i="49" s="1"/>
  <c r="L68" i="49"/>
  <c r="K68" i="49"/>
  <c r="K172" i="49" s="1"/>
  <c r="L79" i="49"/>
  <c r="J79" i="49"/>
  <c r="J183" i="49" s="1"/>
  <c r="M79" i="49"/>
  <c r="K79" i="49"/>
  <c r="M84" i="49"/>
  <c r="J84" i="49"/>
  <c r="K84" i="49"/>
  <c r="L84" i="49"/>
  <c r="G188" i="49"/>
  <c r="M18" i="49"/>
  <c r="J18" i="49"/>
  <c r="L18" i="49"/>
  <c r="K18" i="49"/>
  <c r="J10" i="49"/>
  <c r="J114" i="49" s="1"/>
  <c r="K10" i="49"/>
  <c r="K114" i="49" s="1"/>
  <c r="L10" i="49"/>
  <c r="L114" i="49" s="1"/>
  <c r="M10" i="49"/>
  <c r="M114" i="49" s="1"/>
  <c r="L53" i="49"/>
  <c r="J53" i="49"/>
  <c r="J157" i="49" s="1"/>
  <c r="K53" i="49"/>
  <c r="M53" i="49"/>
  <c r="J45" i="49"/>
  <c r="J149" i="49" s="1"/>
  <c r="M45" i="49"/>
  <c r="M149" i="49" s="1"/>
  <c r="K45" i="49"/>
  <c r="K149" i="49" s="1"/>
  <c r="L45" i="49"/>
  <c r="L149" i="49" s="1"/>
  <c r="L37" i="49"/>
  <c r="J37" i="49"/>
  <c r="J141" i="49" s="1"/>
  <c r="K37" i="49"/>
  <c r="M37" i="49"/>
  <c r="J29" i="49"/>
  <c r="J133" i="49" s="1"/>
  <c r="K29" i="49"/>
  <c r="K133" i="49" s="1"/>
  <c r="M29" i="49"/>
  <c r="L29" i="49"/>
  <c r="L67" i="49"/>
  <c r="J67" i="49"/>
  <c r="J171" i="49" s="1"/>
  <c r="M67" i="49"/>
  <c r="K67" i="49"/>
  <c r="K171" i="49" s="1"/>
  <c r="L59" i="49"/>
  <c r="J59" i="49"/>
  <c r="J163" i="49" s="1"/>
  <c r="M59" i="49"/>
  <c r="K59" i="49"/>
  <c r="J78" i="49"/>
  <c r="M78" i="49"/>
  <c r="L78" i="49"/>
  <c r="K78" i="49"/>
  <c r="M70" i="49"/>
  <c r="J70" i="49"/>
  <c r="J174" i="49" s="1"/>
  <c r="L70" i="49"/>
  <c r="K70" i="49"/>
  <c r="J91" i="49"/>
  <c r="J195" i="49" s="1"/>
  <c r="F195" i="49"/>
  <c r="G195" i="49"/>
  <c r="L91" i="49"/>
  <c r="L195" i="49" s="1"/>
  <c r="H195" i="49"/>
  <c r="I195" i="49"/>
  <c r="K91" i="49"/>
  <c r="K195" i="49" s="1"/>
  <c r="M91" i="49"/>
  <c r="M195" i="49" s="1"/>
  <c r="J43" i="49"/>
  <c r="J147" i="49" s="1"/>
  <c r="M43" i="49"/>
  <c r="M147" i="49" s="1"/>
  <c r="L43" i="49"/>
  <c r="K43" i="49"/>
  <c r="M11" i="49"/>
  <c r="M115" i="49" s="1"/>
  <c r="J11" i="49"/>
  <c r="J115" i="49" s="1"/>
  <c r="K11" i="49"/>
  <c r="L11" i="49"/>
  <c r="J54" i="49"/>
  <c r="M54" i="49"/>
  <c r="K54" i="49"/>
  <c r="L54" i="49"/>
  <c r="J38" i="49"/>
  <c r="L38" i="49"/>
  <c r="M38" i="49"/>
  <c r="K38" i="49"/>
  <c r="J60" i="49"/>
  <c r="M60" i="49"/>
  <c r="L60" i="49"/>
  <c r="K60" i="49"/>
  <c r="K71" i="49"/>
  <c r="K175" i="49" s="1"/>
  <c r="J71" i="49"/>
  <c r="J175" i="49" s="1"/>
  <c r="L71" i="49"/>
  <c r="M71" i="49"/>
  <c r="F196" i="49"/>
  <c r="H196" i="49"/>
  <c r="J92" i="49"/>
  <c r="J196" i="49" s="1"/>
  <c r="G196" i="49"/>
  <c r="M92" i="49"/>
  <c r="M196" i="49" s="1"/>
  <c r="L92" i="49"/>
  <c r="L196" i="49" s="1"/>
  <c r="K92" i="49"/>
  <c r="K196" i="49" s="1"/>
  <c r="I196" i="49"/>
  <c r="M17" i="49"/>
  <c r="M121" i="49" s="1"/>
  <c r="J121" i="49"/>
  <c r="L17" i="49"/>
  <c r="K17" i="49"/>
  <c r="K121" i="49" s="1"/>
  <c r="K9" i="49"/>
  <c r="K113" i="49" s="1"/>
  <c r="L9" i="49"/>
  <c r="L113" i="49" s="1"/>
  <c r="M9" i="49"/>
  <c r="M113" i="49" s="1"/>
  <c r="J9" i="49"/>
  <c r="J113" i="49" s="1"/>
  <c r="J52" i="49"/>
  <c r="K52" i="49"/>
  <c r="M52" i="49"/>
  <c r="L52" i="49"/>
  <c r="J44" i="49"/>
  <c r="K44" i="49"/>
  <c r="L44" i="49"/>
  <c r="M44" i="49"/>
  <c r="J36" i="49"/>
  <c r="K36" i="49"/>
  <c r="M36" i="49"/>
  <c r="L36" i="49"/>
  <c r="J28" i="49"/>
  <c r="J132" i="49" s="1"/>
  <c r="K28" i="49"/>
  <c r="K132" i="49" s="1"/>
  <c r="L28" i="49"/>
  <c r="L132" i="49" s="1"/>
  <c r="M28" i="49"/>
  <c r="M132" i="49" s="1"/>
  <c r="J66" i="49"/>
  <c r="J170" i="49" s="1"/>
  <c r="K66" i="49"/>
  <c r="K170" i="49" s="1"/>
  <c r="M66" i="49"/>
  <c r="M170" i="49" s="1"/>
  <c r="L66" i="49"/>
  <c r="J58" i="49"/>
  <c r="L58" i="49"/>
  <c r="M58" i="49"/>
  <c r="K58" i="49"/>
  <c r="J77" i="49"/>
  <c r="J181" i="49" s="1"/>
  <c r="L77" i="49"/>
  <c r="K77" i="49"/>
  <c r="M77" i="49"/>
  <c r="J90" i="49"/>
  <c r="J194" i="49" s="1"/>
  <c r="F194" i="49"/>
  <c r="H194" i="49"/>
  <c r="I194" i="49"/>
  <c r="M90" i="49"/>
  <c r="M194" i="49" s="1"/>
  <c r="G194" i="49"/>
  <c r="L90" i="49"/>
  <c r="L194" i="49" s="1"/>
  <c r="K90" i="49"/>
  <c r="K194" i="49" s="1"/>
  <c r="L35" i="49"/>
  <c r="J35" i="49"/>
  <c r="J139" i="49" s="1"/>
  <c r="M35" i="49"/>
  <c r="M139" i="49" s="1"/>
  <c r="K35" i="49"/>
  <c r="K5" i="49"/>
  <c r="O5" i="49" s="1"/>
  <c r="J57" i="49"/>
  <c r="J161" i="49" s="1"/>
  <c r="L57" i="49"/>
  <c r="L161" i="49" s="1"/>
  <c r="M57" i="49"/>
  <c r="M161" i="49" s="1"/>
  <c r="K57" i="49"/>
  <c r="K161" i="49" s="1"/>
  <c r="L15" i="49"/>
  <c r="L119" i="49" s="1"/>
  <c r="M15" i="49"/>
  <c r="M119" i="49" s="1"/>
  <c r="J15" i="49"/>
  <c r="J119" i="49" s="1"/>
  <c r="K15" i="49"/>
  <c r="K119" i="49" s="1"/>
  <c r="L7" i="49"/>
  <c r="J7" i="49"/>
  <c r="M7" i="49"/>
  <c r="K7" i="49"/>
  <c r="J50" i="49"/>
  <c r="K50" i="49"/>
  <c r="M50" i="49"/>
  <c r="L50" i="49"/>
  <c r="M42" i="49"/>
  <c r="J42" i="49"/>
  <c r="L42" i="49"/>
  <c r="K42" i="49"/>
  <c r="J34" i="49"/>
  <c r="J138" i="49" s="1"/>
  <c r="K34" i="49"/>
  <c r="K138" i="49" s="1"/>
  <c r="L34" i="49"/>
  <c r="L138" i="49" s="1"/>
  <c r="M34" i="49"/>
  <c r="M138" i="49" s="1"/>
  <c r="J26" i="49"/>
  <c r="L26" i="49"/>
  <c r="K26" i="49"/>
  <c r="M26" i="49"/>
  <c r="J64" i="49"/>
  <c r="M64" i="49"/>
  <c r="L64" i="49"/>
  <c r="K64" i="49"/>
  <c r="J83" i="49"/>
  <c r="J187" i="49" s="1"/>
  <c r="K83" i="49"/>
  <c r="L83" i="49"/>
  <c r="M83" i="49"/>
  <c r="M75" i="49"/>
  <c r="M179" i="49" s="1"/>
  <c r="L75" i="49"/>
  <c r="J75" i="49"/>
  <c r="J179" i="49" s="1"/>
  <c r="K75" i="49"/>
  <c r="J88" i="49"/>
  <c r="J192" i="49" s="1"/>
  <c r="K88" i="49"/>
  <c r="L88" i="49"/>
  <c r="M88" i="49"/>
  <c r="L27" i="49"/>
  <c r="L131" i="49" s="1"/>
  <c r="M27" i="49"/>
  <c r="M131" i="49" s="1"/>
  <c r="J27" i="49"/>
  <c r="J131" i="49" s="1"/>
  <c r="K27" i="49"/>
  <c r="K131" i="49" s="1"/>
  <c r="J23" i="49"/>
  <c r="J127" i="49" s="1"/>
  <c r="L23" i="49"/>
  <c r="K23" i="49"/>
  <c r="M23" i="49"/>
  <c r="M127" i="49" s="1"/>
  <c r="J14" i="49"/>
  <c r="L14" i="49"/>
  <c r="K14" i="49"/>
  <c r="M14" i="49"/>
  <c r="J6" i="49"/>
  <c r="M6" i="49"/>
  <c r="L6" i="49"/>
  <c r="K6" i="49"/>
  <c r="J49" i="49"/>
  <c r="J153" i="49" s="1"/>
  <c r="K49" i="49"/>
  <c r="L49" i="49"/>
  <c r="L153" i="49" s="1"/>
  <c r="M49" i="49"/>
  <c r="M153" i="49" s="1"/>
  <c r="J41" i="49"/>
  <c r="J145" i="49" s="1"/>
  <c r="M41" i="49"/>
  <c r="M145" i="49" s="1"/>
  <c r="L41" i="49"/>
  <c r="K41" i="49"/>
  <c r="L33" i="49"/>
  <c r="L137" i="49" s="1"/>
  <c r="J33" i="49"/>
  <c r="J137" i="49" s="1"/>
  <c r="K33" i="49"/>
  <c r="K137" i="49" s="1"/>
  <c r="M33" i="49"/>
  <c r="M137" i="49" s="1"/>
  <c r="J25" i="49"/>
  <c r="J129" i="49" s="1"/>
  <c r="L25" i="49"/>
  <c r="M25" i="49"/>
  <c r="M129" i="49" s="1"/>
  <c r="K25" i="49"/>
  <c r="K129" i="49" s="1"/>
  <c r="J63" i="49"/>
  <c r="J167" i="49" s="1"/>
  <c r="L63" i="49"/>
  <c r="L167" i="49" s="1"/>
  <c r="M63" i="49"/>
  <c r="M167" i="49" s="1"/>
  <c r="K63" i="49"/>
  <c r="K167" i="49" s="1"/>
  <c r="J82" i="49"/>
  <c r="L82" i="49"/>
  <c r="M82" i="49"/>
  <c r="K82" i="49"/>
  <c r="J74" i="49"/>
  <c r="K74" i="49"/>
  <c r="M74" i="49"/>
  <c r="L74" i="49"/>
  <c r="L87" i="49"/>
  <c r="L191" i="49" s="1"/>
  <c r="M87" i="49"/>
  <c r="J87" i="49"/>
  <c r="J191" i="49" s="1"/>
  <c r="K87" i="49"/>
  <c r="J16" i="49"/>
  <c r="J120" i="49" s="1"/>
  <c r="K16" i="49"/>
  <c r="K120" i="49" s="1"/>
  <c r="L16" i="49"/>
  <c r="L120" i="49" s="1"/>
  <c r="M16" i="49"/>
  <c r="M120" i="49" s="1"/>
  <c r="M65" i="49"/>
  <c r="J65" i="49"/>
  <c r="J169" i="49" s="1"/>
  <c r="F169" i="49"/>
  <c r="K65" i="49"/>
  <c r="K169" i="49" s="1"/>
  <c r="L65" i="49"/>
  <c r="F193" i="49"/>
  <c r="L89" i="49"/>
  <c r="L193" i="49" s="1"/>
  <c r="J89" i="49"/>
  <c r="J193" i="49" s="1"/>
  <c r="G193" i="49"/>
  <c r="I193" i="49"/>
  <c r="K89" i="49"/>
  <c r="K193" i="49" s="1"/>
  <c r="H193" i="49"/>
  <c r="M89" i="49"/>
  <c r="M193" i="49" s="1"/>
  <c r="L21" i="49"/>
  <c r="L125" i="49" s="1"/>
  <c r="M21" i="49"/>
  <c r="M125" i="49" s="1"/>
  <c r="J21" i="49"/>
  <c r="J125" i="49" s="1"/>
  <c r="K21" i="49"/>
  <c r="K125" i="49" s="1"/>
  <c r="L13" i="49"/>
  <c r="J13" i="49"/>
  <c r="J117" i="49" s="1"/>
  <c r="M13" i="49"/>
  <c r="K13" i="49"/>
  <c r="J56" i="49"/>
  <c r="L56" i="49"/>
  <c r="M56" i="49"/>
  <c r="K56" i="49"/>
  <c r="J48" i="49"/>
  <c r="M48" i="49"/>
  <c r="K48" i="49"/>
  <c r="L48" i="49"/>
  <c r="J40" i="49"/>
  <c r="M40" i="49"/>
  <c r="L40" i="49"/>
  <c r="K40" i="49"/>
  <c r="J32" i="49"/>
  <c r="M32" i="49"/>
  <c r="L32" i="49"/>
  <c r="K32" i="49"/>
  <c r="J24" i="49"/>
  <c r="K24" i="49"/>
  <c r="M24" i="49"/>
  <c r="L24" i="49"/>
  <c r="M62" i="49"/>
  <c r="J62" i="49"/>
  <c r="K62" i="49"/>
  <c r="L62" i="49"/>
  <c r="L81" i="49"/>
  <c r="J81" i="49"/>
  <c r="J185" i="49" s="1"/>
  <c r="K81" i="49"/>
  <c r="M81" i="49"/>
  <c r="M185" i="49" s="1"/>
  <c r="L73" i="49"/>
  <c r="J73" i="49"/>
  <c r="J177" i="49" s="1"/>
  <c r="K73" i="49"/>
  <c r="K177" i="49" s="1"/>
  <c r="M73" i="49"/>
  <c r="M177" i="49" s="1"/>
  <c r="F198" i="49"/>
  <c r="J94" i="49"/>
  <c r="J198" i="49" s="1"/>
  <c r="G198" i="49"/>
  <c r="M94" i="49"/>
  <c r="M198" i="49" s="1"/>
  <c r="H198" i="49"/>
  <c r="I198" i="49"/>
  <c r="K94" i="49"/>
  <c r="K198" i="49" s="1"/>
  <c r="L94" i="49"/>
  <c r="L198" i="49" s="1"/>
  <c r="J86" i="49"/>
  <c r="M86" i="49"/>
  <c r="K86" i="49"/>
  <c r="L86" i="49"/>
  <c r="J8" i="49"/>
  <c r="L8" i="49"/>
  <c r="L112" i="49" s="1"/>
  <c r="K8" i="49"/>
  <c r="M8" i="49"/>
  <c r="K76" i="49"/>
  <c r="J76" i="49"/>
  <c r="L76" i="49"/>
  <c r="M76" i="49"/>
  <c r="J22" i="49"/>
  <c r="J126" i="49" s="1"/>
  <c r="K22" i="49"/>
  <c r="K126" i="49" s="1"/>
  <c r="L22" i="49"/>
  <c r="L126" i="49" s="1"/>
  <c r="M22" i="49"/>
  <c r="M126" i="49" s="1"/>
  <c r="J20" i="49"/>
  <c r="K20" i="49"/>
  <c r="M20" i="49"/>
  <c r="L20" i="49"/>
  <c r="J12" i="49"/>
  <c r="L12" i="49"/>
  <c r="M12" i="49"/>
  <c r="K12" i="49"/>
  <c r="L55" i="49"/>
  <c r="J55" i="49"/>
  <c r="J159" i="49" s="1"/>
  <c r="K55" i="49"/>
  <c r="M55" i="49"/>
  <c r="J47" i="49"/>
  <c r="J151" i="49" s="1"/>
  <c r="K47" i="49"/>
  <c r="K151" i="49" s="1"/>
  <c r="M47" i="49"/>
  <c r="M151" i="49" s="1"/>
  <c r="L47" i="49"/>
  <c r="L151" i="49" s="1"/>
  <c r="M39" i="49"/>
  <c r="M143" i="49" s="1"/>
  <c r="J39" i="49"/>
  <c r="J143" i="49" s="1"/>
  <c r="K39" i="49"/>
  <c r="K143" i="49" s="1"/>
  <c r="L39" i="49"/>
  <c r="L143" i="49" s="1"/>
  <c r="K31" i="49"/>
  <c r="K135" i="49" s="1"/>
  <c r="J31" i="49"/>
  <c r="J135" i="49" s="1"/>
  <c r="L31" i="49"/>
  <c r="M31" i="49"/>
  <c r="M69" i="49"/>
  <c r="M173" i="49" s="1"/>
  <c r="J69" i="49"/>
  <c r="J173" i="49" s="1"/>
  <c r="K69" i="49"/>
  <c r="K173" i="49" s="1"/>
  <c r="L69" i="49"/>
  <c r="L173" i="49" s="1"/>
  <c r="J61" i="49"/>
  <c r="J165" i="49" s="1"/>
  <c r="L61" i="49"/>
  <c r="M61" i="49"/>
  <c r="K61" i="49"/>
  <c r="J80" i="49"/>
  <c r="J184" i="49" s="1"/>
  <c r="K80" i="49"/>
  <c r="M80" i="49"/>
  <c r="L80" i="49"/>
  <c r="J72" i="49"/>
  <c r="M72" i="49"/>
  <c r="L72" i="49"/>
  <c r="K72" i="49"/>
  <c r="J93" i="49"/>
  <c r="J197" i="49" s="1"/>
  <c r="L93" i="49"/>
  <c r="L197" i="49" s="1"/>
  <c r="F197" i="49"/>
  <c r="G197" i="49"/>
  <c r="H197" i="49"/>
  <c r="M93" i="49"/>
  <c r="M197" i="49" s="1"/>
  <c r="I197" i="49"/>
  <c r="K93" i="49"/>
  <c r="K197" i="49" s="1"/>
  <c r="L85" i="49"/>
  <c r="J85" i="49"/>
  <c r="J189" i="49" s="1"/>
  <c r="M85" i="49"/>
  <c r="K85" i="49"/>
  <c r="M175" i="49" l="1"/>
  <c r="K127" i="49"/>
  <c r="M117" i="49"/>
  <c r="L181" i="49"/>
  <c r="M186" i="49"/>
  <c r="M141" i="49"/>
  <c r="K153" i="49"/>
  <c r="K185" i="49"/>
  <c r="L186" i="49"/>
  <c r="L185" i="49"/>
  <c r="K192" i="49"/>
  <c r="L183" i="49"/>
  <c r="L179" i="49"/>
  <c r="M191" i="49"/>
  <c r="K179" i="49"/>
  <c r="K182" i="49"/>
  <c r="M192" i="49"/>
  <c r="K191" i="49"/>
  <c r="M184" i="49"/>
  <c r="L192" i="49"/>
  <c r="M169" i="49"/>
  <c r="M171" i="49"/>
  <c r="L123" i="49"/>
  <c r="L121" i="49"/>
  <c r="M187" i="49"/>
  <c r="M189" i="49"/>
  <c r="L139" i="49"/>
  <c r="L141" i="49"/>
  <c r="K145" i="49"/>
  <c r="K147" i="49"/>
  <c r="K181" i="49"/>
  <c r="K183" i="49"/>
  <c r="L169" i="49"/>
  <c r="L171" i="49"/>
  <c r="L115" i="49"/>
  <c r="L117" i="49"/>
  <c r="L147" i="49"/>
  <c r="L145" i="49"/>
  <c r="L129" i="49"/>
  <c r="L127" i="49"/>
  <c r="K163" i="49"/>
  <c r="K165" i="49"/>
  <c r="K157" i="49"/>
  <c r="K159" i="49"/>
  <c r="M183" i="49"/>
  <c r="M181" i="49"/>
  <c r="L133" i="49"/>
  <c r="L135" i="49"/>
  <c r="K139" i="49"/>
  <c r="K141" i="49"/>
  <c r="L182" i="49"/>
  <c r="L184" i="49"/>
  <c r="M159" i="49"/>
  <c r="M157" i="49"/>
  <c r="L163" i="49"/>
  <c r="K187" i="49"/>
  <c r="K189" i="49"/>
  <c r="M133" i="49"/>
  <c r="M135" i="49"/>
  <c r="L157" i="49"/>
  <c r="L159" i="49"/>
  <c r="L177" i="49"/>
  <c r="L175" i="49"/>
  <c r="K115" i="49"/>
  <c r="K117" i="49"/>
  <c r="L187" i="49"/>
  <c r="L189" i="49"/>
  <c r="M165" i="49"/>
  <c r="M163" i="49"/>
  <c r="L170" i="49"/>
  <c r="L172" i="49"/>
  <c r="L165" i="49" l="1"/>
  <c r="L33" i="31" l="1"/>
  <c r="N15" i="39"/>
  <c r="D33" i="31"/>
  <c r="J178" i="49"/>
  <c r="J166" i="49"/>
  <c r="J182" i="49" l="1"/>
  <c r="J172" i="49"/>
  <c r="J148" i="49"/>
  <c r="J146" i="49"/>
  <c r="J158" i="49"/>
  <c r="J160" i="49"/>
  <c r="J164" i="49"/>
  <c r="N17" i="49"/>
  <c r="N121" i="49" s="1"/>
  <c r="F121" i="49"/>
  <c r="T5" i="37"/>
  <c r="I5" i="49" s="1"/>
  <c r="Q5" i="49" s="1"/>
  <c r="M164" i="49" l="1"/>
  <c r="M166" i="49"/>
  <c r="K164" i="49"/>
  <c r="K166" i="49"/>
  <c r="L176" i="49"/>
  <c r="L178" i="49"/>
  <c r="K176" i="49"/>
  <c r="K178" i="49"/>
  <c r="M176" i="49"/>
  <c r="M178" i="49"/>
  <c r="L164" i="49"/>
  <c r="L166" i="49"/>
  <c r="M158" i="49"/>
  <c r="M160" i="49"/>
  <c r="K158" i="49"/>
  <c r="K160" i="49"/>
  <c r="L160" i="49"/>
  <c r="L158" i="49"/>
  <c r="K146" i="49"/>
  <c r="K148" i="49"/>
  <c r="M146" i="49"/>
  <c r="M148" i="49"/>
  <c r="L146" i="49"/>
  <c r="L148" i="49"/>
  <c r="N11" i="49"/>
  <c r="N115" i="49" s="1"/>
  <c r="F115" i="49"/>
  <c r="Q11" i="49"/>
  <c r="Q115" i="49" s="1"/>
  <c r="I115" i="49"/>
  <c r="R5" i="37" l="1"/>
  <c r="H5" i="49" s="1"/>
  <c r="P5" i="49" s="1"/>
  <c r="E68" i="31"/>
  <c r="F190" i="49" l="1"/>
  <c r="N88" i="49"/>
  <c r="N192" i="49" s="1"/>
  <c r="F182" i="49"/>
  <c r="F170" i="49"/>
  <c r="N70" i="49"/>
  <c r="N174" i="49" s="1"/>
  <c r="F186" i="49"/>
  <c r="F172" i="49"/>
  <c r="N68" i="49"/>
  <c r="N172" i="49" s="1"/>
  <c r="N60" i="49"/>
  <c r="N164" i="49" s="1"/>
  <c r="F164" i="49"/>
  <c r="N92" i="49"/>
  <c r="N196" i="49" s="1"/>
  <c r="F166" i="49"/>
  <c r="N62" i="49"/>
  <c r="N166" i="49" s="1"/>
  <c r="F168" i="49"/>
  <c r="F184" i="49"/>
  <c r="N80" i="49"/>
  <c r="N184" i="49" s="1"/>
  <c r="N90" i="49"/>
  <c r="N194" i="49" s="1"/>
  <c r="F122" i="49"/>
  <c r="N28" i="49"/>
  <c r="N132" i="49" s="1"/>
  <c r="F132" i="49"/>
  <c r="F142" i="49"/>
  <c r="F124" i="49"/>
  <c r="F152" i="49"/>
  <c r="F144" i="49"/>
  <c r="F188" i="49"/>
  <c r="N22" i="49"/>
  <c r="N126" i="49" s="1"/>
  <c r="F126" i="49"/>
  <c r="N42" i="49"/>
  <c r="N146" i="49" s="1"/>
  <c r="F146" i="49"/>
  <c r="F134" i="49"/>
  <c r="F176" i="49"/>
  <c r="P11" i="49"/>
  <c r="P115" i="49" s="1"/>
  <c r="H115" i="49"/>
  <c r="F156" i="49"/>
  <c r="N54" i="49"/>
  <c r="N158" i="49" s="1"/>
  <c r="F158" i="49"/>
  <c r="N74" i="49"/>
  <c r="N178" i="49" s="1"/>
  <c r="F178" i="49"/>
  <c r="O11" i="49"/>
  <c r="O115" i="49" s="1"/>
  <c r="G115" i="49"/>
  <c r="F118" i="49"/>
  <c r="N16" i="49"/>
  <c r="N120" i="49" s="1"/>
  <c r="F120" i="49"/>
  <c r="N56" i="49"/>
  <c r="N160" i="49" s="1"/>
  <c r="F160" i="49"/>
  <c r="F180" i="49"/>
  <c r="F116" i="49"/>
  <c r="N44" i="49"/>
  <c r="N148" i="49" s="1"/>
  <c r="F148" i="49"/>
  <c r="N34" i="49"/>
  <c r="N138" i="49" s="1"/>
  <c r="F138" i="49"/>
  <c r="F128" i="49"/>
  <c r="F162" i="49"/>
  <c r="F154" i="49"/>
  <c r="F136" i="49"/>
  <c r="F130" i="49"/>
  <c r="F140" i="49"/>
  <c r="F112" i="49"/>
  <c r="S5" i="37"/>
  <c r="H6" i="49" s="1"/>
  <c r="H110" i="49" s="1"/>
  <c r="U5" i="37"/>
  <c r="I6" i="49" s="1"/>
  <c r="F111" i="49" l="1"/>
  <c r="N66" i="49"/>
  <c r="N170" i="49" s="1"/>
  <c r="F192" i="49"/>
  <c r="F174" i="49"/>
  <c r="F185" i="49"/>
  <c r="N79" i="49"/>
  <c r="N183" i="49" s="1"/>
  <c r="N78" i="49"/>
  <c r="N182" i="49" s="1"/>
  <c r="N69" i="49"/>
  <c r="N173" i="49" s="1"/>
  <c r="N67" i="49"/>
  <c r="N171" i="49" s="1"/>
  <c r="N77" i="49"/>
  <c r="N181" i="49" s="1"/>
  <c r="F181" i="49"/>
  <c r="N61" i="49"/>
  <c r="N165" i="49" s="1"/>
  <c r="F165" i="49"/>
  <c r="F163" i="49"/>
  <c r="N59" i="49"/>
  <c r="N163" i="49" s="1"/>
  <c r="N89" i="49"/>
  <c r="N193" i="49" s="1"/>
  <c r="N93" i="49"/>
  <c r="N197" i="49" s="1"/>
  <c r="N63" i="49"/>
  <c r="N167" i="49" s="1"/>
  <c r="F167" i="49"/>
  <c r="N91" i="49"/>
  <c r="N195" i="49" s="1"/>
  <c r="N65" i="49"/>
  <c r="N169" i="49" s="1"/>
  <c r="N75" i="49"/>
  <c r="N179" i="49" s="1"/>
  <c r="F179" i="49"/>
  <c r="N55" i="49"/>
  <c r="N159" i="49" s="1"/>
  <c r="F159" i="49"/>
  <c r="N33" i="49"/>
  <c r="N137" i="49" s="1"/>
  <c r="F137" i="49"/>
  <c r="N15" i="49"/>
  <c r="N119" i="49" s="1"/>
  <c r="F119" i="49"/>
  <c r="N73" i="49"/>
  <c r="N177" i="49" s="1"/>
  <c r="F177" i="49"/>
  <c r="N53" i="49"/>
  <c r="N157" i="49" s="1"/>
  <c r="F157" i="49"/>
  <c r="N31" i="49"/>
  <c r="N135" i="49" s="1"/>
  <c r="F135" i="49"/>
  <c r="N13" i="49"/>
  <c r="N117" i="49" s="1"/>
  <c r="F117" i="49"/>
  <c r="N71" i="49"/>
  <c r="N175" i="49" s="1"/>
  <c r="F175" i="49"/>
  <c r="N51" i="49"/>
  <c r="N155" i="49" s="1"/>
  <c r="F155" i="49"/>
  <c r="N29" i="49"/>
  <c r="N133" i="49" s="1"/>
  <c r="F133" i="49"/>
  <c r="I116" i="49"/>
  <c r="N85" i="49"/>
  <c r="N189" i="49" s="1"/>
  <c r="F189" i="49"/>
  <c r="N49" i="49"/>
  <c r="N153" i="49" s="1"/>
  <c r="F153" i="49"/>
  <c r="N21" i="49"/>
  <c r="N125" i="49" s="1"/>
  <c r="F125" i="49"/>
  <c r="H116" i="49"/>
  <c r="N83" i="49"/>
  <c r="N187" i="49" s="1"/>
  <c r="F187" i="49"/>
  <c r="N47" i="49"/>
  <c r="N151" i="49" s="1"/>
  <c r="F151" i="49"/>
  <c r="N19" i="49"/>
  <c r="N123" i="49" s="1"/>
  <c r="F123" i="49"/>
  <c r="N41" i="49"/>
  <c r="N145" i="49" s="1"/>
  <c r="F145" i="49"/>
  <c r="N37" i="49"/>
  <c r="N141" i="49" s="1"/>
  <c r="F141" i="49"/>
  <c r="N27" i="49"/>
  <c r="N131" i="49" s="1"/>
  <c r="F131" i="49"/>
  <c r="F150" i="49"/>
  <c r="N43" i="49"/>
  <c r="N147" i="49" s="1"/>
  <c r="F147" i="49"/>
  <c r="N35" i="49"/>
  <c r="N139" i="49" s="1"/>
  <c r="F139" i="49"/>
  <c r="N25" i="49"/>
  <c r="N129" i="49" s="1"/>
  <c r="F129" i="49"/>
  <c r="H150" i="49"/>
  <c r="N87" i="49"/>
  <c r="N191" i="49" s="1"/>
  <c r="F191" i="49"/>
  <c r="N39" i="49"/>
  <c r="N143" i="49" s="1"/>
  <c r="F143" i="49"/>
  <c r="N57" i="49"/>
  <c r="N161" i="49" s="1"/>
  <c r="F161" i="49"/>
  <c r="N23" i="49"/>
  <c r="N127" i="49" s="1"/>
  <c r="F127" i="49"/>
  <c r="F110" i="49"/>
  <c r="N10" i="49"/>
  <c r="N114" i="49" s="1"/>
  <c r="F114" i="49"/>
  <c r="K10" i="31"/>
  <c r="D4" i="48"/>
  <c r="G15" i="48" l="1"/>
  <c r="V15" i="48" s="1"/>
  <c r="H14" i="48"/>
  <c r="I13" i="48"/>
  <c r="X13" i="48" s="1"/>
  <c r="F13" i="48"/>
  <c r="U13" i="48" s="1"/>
  <c r="H11" i="48"/>
  <c r="E12" i="48"/>
  <c r="I15" i="48"/>
  <c r="F15" i="48"/>
  <c r="U15" i="48" s="1"/>
  <c r="G14" i="48"/>
  <c r="V14" i="48" s="1"/>
  <c r="H13" i="48"/>
  <c r="I12" i="48"/>
  <c r="G12" i="48"/>
  <c r="V12" i="48" s="1"/>
  <c r="I10" i="48"/>
  <c r="X10" i="48" s="1"/>
  <c r="F11" i="48"/>
  <c r="U11" i="48" s="1"/>
  <c r="I14" i="48"/>
  <c r="E10" i="48"/>
  <c r="F18" i="48" s="1"/>
  <c r="E15" i="48"/>
  <c r="F14" i="48"/>
  <c r="U14" i="48" s="1"/>
  <c r="H12" i="48"/>
  <c r="I11" i="48"/>
  <c r="E14" i="48"/>
  <c r="E11" i="48"/>
  <c r="F23" i="48" s="1"/>
  <c r="F10" i="48"/>
  <c r="U10" i="48" s="1"/>
  <c r="E13" i="48"/>
  <c r="F12" i="48"/>
  <c r="U12" i="48" s="1"/>
  <c r="G11" i="48"/>
  <c r="V11" i="48" s="1"/>
  <c r="H10" i="48"/>
  <c r="G10" i="48"/>
  <c r="V10" i="48" s="1"/>
  <c r="H15" i="48"/>
  <c r="O11" i="31"/>
  <c r="N11" i="31"/>
  <c r="M11" i="31"/>
  <c r="P10" i="31"/>
  <c r="N10" i="31"/>
  <c r="O10" i="31"/>
  <c r="P11" i="31"/>
  <c r="M10" i="31"/>
  <c r="N81" i="49"/>
  <c r="N185" i="49" s="1"/>
  <c r="F173" i="49"/>
  <c r="F171" i="49"/>
  <c r="J109" i="49"/>
  <c r="P45" i="49"/>
  <c r="P149" i="49" s="1"/>
  <c r="H149" i="49"/>
  <c r="N45" i="49"/>
  <c r="N149" i="49" s="1"/>
  <c r="F149" i="49"/>
  <c r="N9" i="49"/>
  <c r="N113" i="49" s="1"/>
  <c r="F113" i="49"/>
  <c r="F109" i="49"/>
  <c r="E21" i="48" l="1"/>
  <c r="W13" i="48"/>
  <c r="U18" i="48"/>
  <c r="E18" i="48"/>
  <c r="F21" i="48"/>
  <c r="W10" i="48"/>
  <c r="V20" i="48" s="1"/>
  <c r="F31" i="48"/>
  <c r="W12" i="48"/>
  <c r="V28" i="48" s="1"/>
  <c r="F26" i="48"/>
  <c r="W11" i="48"/>
  <c r="V24" i="48" s="1"/>
  <c r="E26" i="48"/>
  <c r="W14" i="48"/>
  <c r="U24" i="48" s="1"/>
  <c r="E31" i="48"/>
  <c r="W15" i="48"/>
  <c r="U28" i="48" s="1"/>
  <c r="U21" i="48"/>
  <c r="E22" i="48"/>
  <c r="E30" i="48"/>
  <c r="E25" i="48"/>
  <c r="F32" i="48"/>
  <c r="X12" i="48"/>
  <c r="V29" i="48" s="1"/>
  <c r="E23" i="48"/>
  <c r="U22" i="48"/>
  <c r="U26" i="48"/>
  <c r="E28" i="48"/>
  <c r="E19" i="48"/>
  <c r="F30" i="48"/>
  <c r="E32" i="48"/>
  <c r="X15" i="48"/>
  <c r="U29" i="48" s="1"/>
  <c r="F22" i="48"/>
  <c r="V21" i="48"/>
  <c r="F27" i="48"/>
  <c r="X11" i="48"/>
  <c r="V25" i="48" s="1"/>
  <c r="E27" i="48"/>
  <c r="X14" i="48"/>
  <c r="U25" i="48" s="1"/>
  <c r="F20" i="48"/>
  <c r="F25" i="48"/>
  <c r="F24" i="48"/>
  <c r="V23" i="48"/>
  <c r="F28" i="48"/>
  <c r="V26" i="48"/>
  <c r="V18" i="48"/>
  <c r="V22" i="48"/>
  <c r="F29" i="48"/>
  <c r="V27" i="48"/>
  <c r="F19" i="48"/>
  <c r="V19" i="48"/>
  <c r="U23" i="48"/>
  <c r="E24" i="48"/>
  <c r="E29" i="48"/>
  <c r="U27" i="48"/>
  <c r="N109" i="49"/>
  <c r="J111" i="49"/>
  <c r="N7" i="49"/>
  <c r="N111" i="49" s="1"/>
  <c r="K111" i="49"/>
  <c r="K109" i="49"/>
  <c r="M111" i="49"/>
  <c r="M109" i="49"/>
  <c r="L109" i="49"/>
  <c r="L111" i="49"/>
  <c r="H46" i="47"/>
  <c r="H42" i="47"/>
  <c r="R25" i="40"/>
  <c r="H25" i="40"/>
  <c r="T33" i="31"/>
  <c r="M156" i="49" l="1"/>
  <c r="L156" i="49"/>
  <c r="K156" i="49"/>
  <c r="T71" i="31"/>
  <c r="L69" i="31"/>
  <c r="L68" i="31"/>
  <c r="E67" i="31"/>
  <c r="J156" i="49" l="1"/>
  <c r="N52" i="49"/>
  <c r="N156" i="49" s="1"/>
  <c r="J180" i="49" l="1"/>
  <c r="N76" i="49"/>
  <c r="N180" i="49" s="1"/>
  <c r="M168" i="49"/>
  <c r="L168" i="49"/>
  <c r="K168" i="49"/>
  <c r="K144" i="49"/>
  <c r="M144" i="49"/>
  <c r="L144" i="49"/>
  <c r="M162" i="49"/>
  <c r="L162" i="49"/>
  <c r="K162" i="49"/>
  <c r="M150" i="49"/>
  <c r="K150" i="49"/>
  <c r="P29" i="49"/>
  <c r="P133" i="49" s="1"/>
  <c r="H133" i="49"/>
  <c r="K174" i="49" l="1"/>
  <c r="K180" i="49"/>
  <c r="M174" i="49"/>
  <c r="M180" i="49"/>
  <c r="L174" i="49"/>
  <c r="L180" i="49"/>
  <c r="J150" i="49"/>
  <c r="N46" i="49"/>
  <c r="N150" i="49" s="1"/>
  <c r="M134" i="49"/>
  <c r="M136" i="49"/>
  <c r="J128" i="49"/>
  <c r="N24" i="49"/>
  <c r="N128" i="49" s="1"/>
  <c r="M182" i="49"/>
  <c r="M188" i="49"/>
  <c r="M190" i="49"/>
  <c r="K112" i="49"/>
  <c r="K110" i="49"/>
  <c r="K152" i="49"/>
  <c r="K154" i="49"/>
  <c r="J130" i="49"/>
  <c r="N26" i="49"/>
  <c r="N130" i="49" s="1"/>
  <c r="K134" i="49"/>
  <c r="K136" i="49"/>
  <c r="L130" i="49"/>
  <c r="L128" i="49"/>
  <c r="K184" i="49"/>
  <c r="K188" i="49"/>
  <c r="K190" i="49"/>
  <c r="J110" i="49"/>
  <c r="N6" i="49"/>
  <c r="N110" i="49" s="1"/>
  <c r="J186" i="49"/>
  <c r="N82" i="49"/>
  <c r="N186" i="49" s="1"/>
  <c r="J144" i="49"/>
  <c r="N40" i="49"/>
  <c r="N144" i="49" s="1"/>
  <c r="M152" i="49"/>
  <c r="M154" i="49"/>
  <c r="J136" i="49"/>
  <c r="N32" i="49"/>
  <c r="N136" i="49" s="1"/>
  <c r="J122" i="49"/>
  <c r="N18" i="49"/>
  <c r="N122" i="49" s="1"/>
  <c r="L188" i="49"/>
  <c r="L190" i="49"/>
  <c r="M110" i="49"/>
  <c r="M112" i="49"/>
  <c r="J162" i="49"/>
  <c r="N58" i="49"/>
  <c r="N162" i="49" s="1"/>
  <c r="K118" i="49"/>
  <c r="K116" i="49"/>
  <c r="L152" i="49"/>
  <c r="L154" i="49"/>
  <c r="J134" i="49"/>
  <c r="N30" i="49"/>
  <c r="N134" i="49" s="1"/>
  <c r="K124" i="49"/>
  <c r="K122" i="49"/>
  <c r="J190" i="49"/>
  <c r="N86" i="49"/>
  <c r="N190" i="49" s="1"/>
  <c r="L110" i="49"/>
  <c r="J116" i="49"/>
  <c r="N12" i="49"/>
  <c r="N116" i="49" s="1"/>
  <c r="K142" i="49"/>
  <c r="K140" i="49"/>
  <c r="L134" i="49"/>
  <c r="L136" i="49"/>
  <c r="J176" i="49"/>
  <c r="N72" i="49"/>
  <c r="N176" i="49" s="1"/>
  <c r="J112" i="49"/>
  <c r="N8" i="49"/>
  <c r="N112" i="49" s="1"/>
  <c r="M118" i="49"/>
  <c r="J142" i="49"/>
  <c r="N38" i="49"/>
  <c r="N142" i="49" s="1"/>
  <c r="K130" i="49"/>
  <c r="K128" i="49"/>
  <c r="M124" i="49"/>
  <c r="M122" i="49"/>
  <c r="N94" i="49"/>
  <c r="N198" i="49" s="1"/>
  <c r="J118" i="49"/>
  <c r="N14" i="49"/>
  <c r="N118" i="49" s="1"/>
  <c r="J168" i="49"/>
  <c r="N64" i="49"/>
  <c r="N168" i="49" s="1"/>
  <c r="M140" i="49"/>
  <c r="M142" i="49"/>
  <c r="J124" i="49"/>
  <c r="N20" i="49"/>
  <c r="N124" i="49" s="1"/>
  <c r="L150" i="49"/>
  <c r="P46" i="49"/>
  <c r="P150" i="49" s="1"/>
  <c r="M128" i="49"/>
  <c r="M130" i="49"/>
  <c r="L122" i="49"/>
  <c r="L124" i="49"/>
  <c r="K186" i="49"/>
  <c r="L118" i="49"/>
  <c r="J154" i="49"/>
  <c r="N50" i="49"/>
  <c r="N154" i="49" s="1"/>
  <c r="J140" i="49"/>
  <c r="N36" i="49"/>
  <c r="N140" i="49" s="1"/>
  <c r="J188" i="49"/>
  <c r="N84" i="49"/>
  <c r="N188" i="49" s="1"/>
  <c r="J152" i="49"/>
  <c r="N48" i="49"/>
  <c r="N152" i="49" s="1"/>
  <c r="L142" i="49"/>
  <c r="L140" i="49"/>
  <c r="J19" i="40"/>
  <c r="J20" i="40"/>
  <c r="J21" i="40"/>
  <c r="J22" i="40"/>
  <c r="J23" i="40"/>
  <c r="J24" i="40"/>
  <c r="L6" i="47"/>
  <c r="K15" i="47"/>
  <c r="K49" i="47"/>
  <c r="K48" i="47"/>
  <c r="K47" i="47"/>
  <c r="K45" i="47"/>
  <c r="K44" i="47"/>
  <c r="K43" i="47"/>
  <c r="K41" i="47"/>
  <c r="K40" i="47"/>
  <c r="K39" i="47"/>
  <c r="K37" i="47"/>
  <c r="K36" i="47"/>
  <c r="K35" i="47"/>
  <c r="K33" i="47"/>
  <c r="K32" i="47"/>
  <c r="K31" i="47"/>
  <c r="K29" i="47"/>
  <c r="K28" i="47"/>
  <c r="K27" i="47"/>
  <c r="K25" i="47"/>
  <c r="K24" i="47"/>
  <c r="K23" i="47"/>
  <c r="K21" i="47"/>
  <c r="K20" i="47"/>
  <c r="K19" i="47"/>
  <c r="X18" i="40"/>
  <c r="W18" i="40"/>
  <c r="V18" i="40"/>
  <c r="P18" i="40"/>
  <c r="O18" i="40"/>
  <c r="N18" i="40"/>
  <c r="M18" i="40"/>
  <c r="L18" i="40"/>
  <c r="Q17" i="47"/>
  <c r="P17" i="47"/>
  <c r="O17" i="47"/>
  <c r="N17" i="47"/>
  <c r="M17" i="47"/>
  <c r="U16" i="40"/>
  <c r="K16" i="40"/>
  <c r="L12" i="47"/>
  <c r="D18" i="31"/>
  <c r="T24" i="40"/>
  <c r="T23" i="40"/>
  <c r="T22" i="40"/>
  <c r="T21" i="40"/>
  <c r="T20" i="40"/>
  <c r="T19" i="40"/>
  <c r="N29" i="31"/>
  <c r="N28" i="31"/>
  <c r="N24" i="31"/>
  <c r="N23" i="31"/>
  <c r="N19" i="31"/>
  <c r="N18" i="31"/>
  <c r="N12" i="47" l="1"/>
  <c r="N13" i="47"/>
  <c r="Q12" i="47"/>
  <c r="P13" i="47"/>
  <c r="O13" i="47"/>
  <c r="P12" i="47"/>
  <c r="O12" i="47"/>
  <c r="Q13" i="47"/>
  <c r="L116" i="49"/>
  <c r="P12" i="49"/>
  <c r="P116" i="49" s="1"/>
  <c r="M116" i="49"/>
  <c r="Q12" i="49"/>
  <c r="Q116" i="49" s="1"/>
  <c r="Q88" i="49"/>
  <c r="Q192" i="49" s="1"/>
  <c r="G185" i="49"/>
  <c r="I165" i="49"/>
  <c r="Q61" i="49"/>
  <c r="Q165" i="49" s="1"/>
  <c r="G170" i="49"/>
  <c r="O66" i="49"/>
  <c r="O170" i="49" s="1"/>
  <c r="H163" i="49"/>
  <c r="P59" i="49"/>
  <c r="P163" i="49" s="1"/>
  <c r="P79" i="49"/>
  <c r="P183" i="49" s="1"/>
  <c r="H183" i="49"/>
  <c r="H166" i="49"/>
  <c r="P62" i="49"/>
  <c r="P166" i="49" s="1"/>
  <c r="G164" i="49"/>
  <c r="O60" i="49"/>
  <c r="O164" i="49" s="1"/>
  <c r="H167" i="49"/>
  <c r="P63" i="49"/>
  <c r="P167" i="49" s="1"/>
  <c r="Q64" i="49"/>
  <c r="Q168" i="49" s="1"/>
  <c r="I168" i="49"/>
  <c r="O40" i="49"/>
  <c r="O144" i="49" s="1"/>
  <c r="G144" i="49"/>
  <c r="Q26" i="49"/>
  <c r="Q130" i="49" s="1"/>
  <c r="I130" i="49"/>
  <c r="P55" i="49"/>
  <c r="P159" i="49" s="1"/>
  <c r="H159" i="49"/>
  <c r="P33" i="49"/>
  <c r="P137" i="49" s="1"/>
  <c r="H137" i="49"/>
  <c r="O13" i="49"/>
  <c r="O117" i="49" s="1"/>
  <c r="G117" i="49"/>
  <c r="P42" i="49"/>
  <c r="P146" i="49" s="1"/>
  <c r="H146" i="49"/>
  <c r="O38" i="49"/>
  <c r="O142" i="49" s="1"/>
  <c r="G142" i="49"/>
  <c r="O16" i="49"/>
  <c r="O120" i="49" s="1"/>
  <c r="G120" i="49"/>
  <c r="P75" i="49"/>
  <c r="P179" i="49" s="1"/>
  <c r="H179" i="49"/>
  <c r="O53" i="49"/>
  <c r="O157" i="49" s="1"/>
  <c r="G157" i="49"/>
  <c r="O31" i="49"/>
  <c r="O135" i="49" s="1"/>
  <c r="G135" i="49"/>
  <c r="O18" i="49"/>
  <c r="O122" i="49" s="1"/>
  <c r="G122" i="49"/>
  <c r="O34" i="49"/>
  <c r="O138" i="49" s="1"/>
  <c r="G138" i="49"/>
  <c r="Q14" i="49"/>
  <c r="Q118" i="49" s="1"/>
  <c r="I118" i="49"/>
  <c r="O73" i="49"/>
  <c r="O177" i="49" s="1"/>
  <c r="G177" i="49"/>
  <c r="O45" i="49"/>
  <c r="O149" i="49" s="1"/>
  <c r="G149" i="49"/>
  <c r="O51" i="49"/>
  <c r="O155" i="49" s="1"/>
  <c r="G155" i="49"/>
  <c r="O29" i="49"/>
  <c r="O133" i="49" s="1"/>
  <c r="G133" i="49"/>
  <c r="O15" i="49"/>
  <c r="O119" i="49" s="1"/>
  <c r="G119" i="49"/>
  <c r="P58" i="49"/>
  <c r="P162" i="49" s="1"/>
  <c r="H162" i="49"/>
  <c r="O32" i="49"/>
  <c r="O136" i="49" s="1"/>
  <c r="G136" i="49"/>
  <c r="O71" i="49"/>
  <c r="O175" i="49" s="1"/>
  <c r="G175" i="49"/>
  <c r="O43" i="49"/>
  <c r="O147" i="49" s="1"/>
  <c r="G147" i="49"/>
  <c r="Q49" i="49"/>
  <c r="Q153" i="49" s="1"/>
  <c r="I153" i="49"/>
  <c r="Q21" i="49"/>
  <c r="Q125" i="49" s="1"/>
  <c r="I125" i="49"/>
  <c r="Q36" i="49"/>
  <c r="Q140" i="49" s="1"/>
  <c r="I140" i="49"/>
  <c r="O76" i="49"/>
  <c r="O180" i="49" s="1"/>
  <c r="G180" i="49"/>
  <c r="O56" i="49"/>
  <c r="O160" i="49" s="1"/>
  <c r="G160" i="49"/>
  <c r="Q30" i="49"/>
  <c r="Q134" i="49" s="1"/>
  <c r="I134" i="49"/>
  <c r="Q41" i="49"/>
  <c r="Q145" i="49" s="1"/>
  <c r="I145" i="49"/>
  <c r="P47" i="49"/>
  <c r="P151" i="49" s="1"/>
  <c r="H151" i="49"/>
  <c r="P19" i="49"/>
  <c r="P123" i="49" s="1"/>
  <c r="H123" i="49"/>
  <c r="O28" i="49"/>
  <c r="O132" i="49" s="1"/>
  <c r="G132" i="49"/>
  <c r="O74" i="49"/>
  <c r="O178" i="49" s="1"/>
  <c r="G178" i="49"/>
  <c r="O46" i="49"/>
  <c r="O150" i="49" s="1"/>
  <c r="G150" i="49"/>
  <c r="Q52" i="49"/>
  <c r="Q156" i="49" s="1"/>
  <c r="I156" i="49"/>
  <c r="P22" i="49"/>
  <c r="P126" i="49" s="1"/>
  <c r="H126" i="49"/>
  <c r="P39" i="49"/>
  <c r="P143" i="49" s="1"/>
  <c r="H143" i="49"/>
  <c r="O27" i="49"/>
  <c r="O131" i="49" s="1"/>
  <c r="G131" i="49"/>
  <c r="O17" i="49"/>
  <c r="O121" i="49" s="1"/>
  <c r="G121" i="49"/>
  <c r="Q57" i="49"/>
  <c r="Q161" i="49" s="1"/>
  <c r="I161" i="49"/>
  <c r="Q72" i="49"/>
  <c r="Q176" i="49" s="1"/>
  <c r="I176" i="49"/>
  <c r="Q44" i="49"/>
  <c r="Q148" i="49" s="1"/>
  <c r="I148" i="49"/>
  <c r="P50" i="49"/>
  <c r="P154" i="49" s="1"/>
  <c r="H154" i="49"/>
  <c r="O20" i="49"/>
  <c r="O124" i="49" s="1"/>
  <c r="G124" i="49"/>
  <c r="O37" i="49"/>
  <c r="O141" i="49" s="1"/>
  <c r="G141" i="49"/>
  <c r="O25" i="49"/>
  <c r="O129" i="49" s="1"/>
  <c r="G129" i="49"/>
  <c r="Q23" i="49"/>
  <c r="Q127" i="49" s="1"/>
  <c r="P24" i="49"/>
  <c r="P128" i="49" s="1"/>
  <c r="P14" i="49" l="1"/>
  <c r="P118" i="49" s="1"/>
  <c r="O8" i="49"/>
  <c r="O112" i="49" s="1"/>
  <c r="Q13" i="49"/>
  <c r="Q117" i="49" s="1"/>
  <c r="I127" i="49"/>
  <c r="H128" i="49"/>
  <c r="O93" i="49"/>
  <c r="O197" i="49" s="1"/>
  <c r="O94" i="49"/>
  <c r="O198" i="49" s="1"/>
  <c r="G186" i="49"/>
  <c r="O82" i="49"/>
  <c r="O186" i="49" s="1"/>
  <c r="I184" i="49"/>
  <c r="Q80" i="49"/>
  <c r="Q184" i="49" s="1"/>
  <c r="H182" i="49"/>
  <c r="P78" i="49"/>
  <c r="P182" i="49" s="1"/>
  <c r="I181" i="49"/>
  <c r="Q77" i="49"/>
  <c r="Q181" i="49" s="1"/>
  <c r="P85" i="49"/>
  <c r="P189" i="49" s="1"/>
  <c r="Q94" i="49"/>
  <c r="Q198" i="49" s="1"/>
  <c r="I192" i="49"/>
  <c r="P80" i="49"/>
  <c r="P184" i="49" s="1"/>
  <c r="Q87" i="49"/>
  <c r="Q191" i="49" s="1"/>
  <c r="I186" i="49"/>
  <c r="G183" i="49"/>
  <c r="O92" i="49"/>
  <c r="O196" i="49" s="1"/>
  <c r="P84" i="49"/>
  <c r="P188" i="49" s="1"/>
  <c r="Q86" i="49"/>
  <c r="Q190" i="49" s="1"/>
  <c r="H192" i="49"/>
  <c r="O81" i="49"/>
  <c r="O185" i="49" s="1"/>
  <c r="Q91" i="49"/>
  <c r="Q195" i="49" s="1"/>
  <c r="I169" i="49"/>
  <c r="P66" i="49"/>
  <c r="P170" i="49" s="1"/>
  <c r="I170" i="49"/>
  <c r="I172" i="49"/>
  <c r="O70" i="49"/>
  <c r="O174" i="49" s="1"/>
  <c r="G173" i="49"/>
  <c r="O67" i="49"/>
  <c r="O171" i="49" s="1"/>
  <c r="G166" i="49"/>
  <c r="O62" i="49"/>
  <c r="O166" i="49" s="1"/>
  <c r="I171" i="49"/>
  <c r="Q67" i="49"/>
  <c r="Q171" i="49" s="1"/>
  <c r="H173" i="49"/>
  <c r="P69" i="49"/>
  <c r="P173" i="49" s="1"/>
  <c r="G167" i="49"/>
  <c r="O63" i="49"/>
  <c r="O167" i="49" s="1"/>
  <c r="I164" i="49"/>
  <c r="Q60" i="49"/>
  <c r="Q164" i="49" s="1"/>
  <c r="H168" i="49"/>
  <c r="P64" i="49"/>
  <c r="P168" i="49" s="1"/>
  <c r="H164" i="49"/>
  <c r="P60" i="49"/>
  <c r="P164" i="49" s="1"/>
  <c r="H186" i="49"/>
  <c r="P82" i="49"/>
  <c r="P186" i="49" s="1"/>
  <c r="H165" i="49"/>
  <c r="P61" i="49"/>
  <c r="P165" i="49" s="1"/>
  <c r="Q93" i="49"/>
  <c r="Q197" i="49" s="1"/>
  <c r="I166" i="49"/>
  <c r="Q62" i="49"/>
  <c r="Q166" i="49" s="1"/>
  <c r="H185" i="49"/>
  <c r="P81" i="49"/>
  <c r="P185" i="49" s="1"/>
  <c r="P77" i="49"/>
  <c r="P181" i="49" s="1"/>
  <c r="H181" i="49"/>
  <c r="G181" i="49"/>
  <c r="O77" i="49"/>
  <c r="O181" i="49" s="1"/>
  <c r="P65" i="49"/>
  <c r="P169" i="49" s="1"/>
  <c r="H169" i="49"/>
  <c r="Q81" i="49"/>
  <c r="Q185" i="49" s="1"/>
  <c r="I185" i="49"/>
  <c r="P91" i="49"/>
  <c r="P195" i="49" s="1"/>
  <c r="Q92" i="49"/>
  <c r="Q196" i="49" s="1"/>
  <c r="P90" i="49"/>
  <c r="P194" i="49" s="1"/>
  <c r="I183" i="49"/>
  <c r="Q79" i="49"/>
  <c r="Q183" i="49" s="1"/>
  <c r="G165" i="49"/>
  <c r="O61" i="49"/>
  <c r="O165" i="49" s="1"/>
  <c r="G163" i="49"/>
  <c r="O59" i="49"/>
  <c r="O163" i="49" s="1"/>
  <c r="I182" i="49"/>
  <c r="Q78" i="49"/>
  <c r="Q182" i="49" s="1"/>
  <c r="G168" i="49"/>
  <c r="O64" i="49"/>
  <c r="O168" i="49" s="1"/>
  <c r="Q89" i="49"/>
  <c r="Q193" i="49" s="1"/>
  <c r="H172" i="49"/>
  <c r="P68" i="49"/>
  <c r="P172" i="49" s="1"/>
  <c r="P92" i="49"/>
  <c r="P196" i="49" s="1"/>
  <c r="I174" i="49"/>
  <c r="Q70" i="49"/>
  <c r="Q174" i="49" s="1"/>
  <c r="G182" i="49"/>
  <c r="O78" i="49"/>
  <c r="O182" i="49" s="1"/>
  <c r="I167" i="49"/>
  <c r="Q63" i="49"/>
  <c r="Q167" i="49" s="1"/>
  <c r="P94" i="49"/>
  <c r="P198" i="49" s="1"/>
  <c r="I163" i="49"/>
  <c r="Q59" i="49"/>
  <c r="Q163" i="49" s="1"/>
  <c r="G184" i="49"/>
  <c r="O80" i="49"/>
  <c r="O184" i="49" s="1"/>
  <c r="Q42" i="49"/>
  <c r="Q146" i="49" s="1"/>
  <c r="I146" i="49"/>
  <c r="P54" i="49"/>
  <c r="P158" i="49" s="1"/>
  <c r="H158" i="49"/>
  <c r="P71" i="49"/>
  <c r="P175" i="49" s="1"/>
  <c r="H175" i="49"/>
  <c r="P15" i="49"/>
  <c r="P119" i="49" s="1"/>
  <c r="H119" i="49"/>
  <c r="P53" i="49"/>
  <c r="P157" i="49" s="1"/>
  <c r="H157" i="49"/>
  <c r="Q75" i="49"/>
  <c r="Q179" i="49" s="1"/>
  <c r="I179" i="49"/>
  <c r="Q20" i="49"/>
  <c r="Q124" i="49" s="1"/>
  <c r="I124" i="49"/>
  <c r="Q56" i="49"/>
  <c r="Q160" i="49" s="1"/>
  <c r="I160" i="49"/>
  <c r="Q32" i="49"/>
  <c r="Q136" i="49" s="1"/>
  <c r="I136" i="49"/>
  <c r="P36" i="49"/>
  <c r="P140" i="49" s="1"/>
  <c r="H140" i="49"/>
  <c r="P25" i="49"/>
  <c r="P129" i="49" s="1"/>
  <c r="H129" i="49"/>
  <c r="P49" i="49"/>
  <c r="P153" i="49" s="1"/>
  <c r="H153" i="49"/>
  <c r="Q71" i="49"/>
  <c r="Q175" i="49" s="1"/>
  <c r="I175" i="49"/>
  <c r="Q73" i="49"/>
  <c r="Q177" i="49" s="1"/>
  <c r="I177" i="49"/>
  <c r="O23" i="49"/>
  <c r="O127" i="49" s="1"/>
  <c r="G127" i="49"/>
  <c r="O57" i="49"/>
  <c r="O161" i="49" s="1"/>
  <c r="G161" i="49"/>
  <c r="O48" i="49"/>
  <c r="O152" i="49" s="1"/>
  <c r="G152" i="49"/>
  <c r="P18" i="49"/>
  <c r="P122" i="49" s="1"/>
  <c r="H122" i="49"/>
  <c r="O33" i="49"/>
  <c r="O137" i="49" s="1"/>
  <c r="G137" i="49"/>
  <c r="O30" i="49"/>
  <c r="O134" i="49" s="1"/>
  <c r="G134" i="49"/>
  <c r="O36" i="49"/>
  <c r="O140" i="49" s="1"/>
  <c r="G140" i="49"/>
  <c r="O72" i="49"/>
  <c r="O176" i="49" s="1"/>
  <c r="G176" i="49"/>
  <c r="O24" i="49"/>
  <c r="O128" i="49" s="1"/>
  <c r="G128" i="49"/>
  <c r="Q38" i="49"/>
  <c r="Q142" i="49" s="1"/>
  <c r="I142" i="49"/>
  <c r="P72" i="49"/>
  <c r="P176" i="49" s="1"/>
  <c r="H176" i="49"/>
  <c r="Q51" i="49"/>
  <c r="Q155" i="49" s="1"/>
  <c r="I155" i="49"/>
  <c r="P51" i="49"/>
  <c r="P155" i="49" s="1"/>
  <c r="H155" i="49"/>
  <c r="Q15" i="49"/>
  <c r="Q119" i="49" s="1"/>
  <c r="I119" i="49"/>
  <c r="O75" i="49"/>
  <c r="O179" i="49" s="1"/>
  <c r="G179" i="49"/>
  <c r="O21" i="49"/>
  <c r="O125" i="49" s="1"/>
  <c r="G125" i="49"/>
  <c r="Q35" i="49"/>
  <c r="Q139" i="49" s="1"/>
  <c r="I139" i="49"/>
  <c r="Q47" i="49"/>
  <c r="Q151" i="49" s="1"/>
  <c r="I151" i="49"/>
  <c r="Q24" i="49"/>
  <c r="Q128" i="49" s="1"/>
  <c r="I128" i="49"/>
  <c r="P17" i="49"/>
  <c r="P121" i="49" s="1"/>
  <c r="H121" i="49"/>
  <c r="P32" i="49"/>
  <c r="P136" i="49" s="1"/>
  <c r="H136" i="49"/>
  <c r="P38" i="49"/>
  <c r="P142" i="49" s="1"/>
  <c r="H142" i="49"/>
  <c r="P74" i="49"/>
  <c r="P178" i="49" s="1"/>
  <c r="H178" i="49"/>
  <c r="Q16" i="49"/>
  <c r="Q120" i="49" s="1"/>
  <c r="I120" i="49"/>
  <c r="P26" i="49"/>
  <c r="P130" i="49" s="1"/>
  <c r="H130" i="49"/>
  <c r="O42" i="49"/>
  <c r="O146" i="49" s="1"/>
  <c r="G146" i="49"/>
  <c r="Q74" i="49"/>
  <c r="Q178" i="49" s="1"/>
  <c r="I178" i="49"/>
  <c r="P57" i="49"/>
  <c r="P161" i="49" s="1"/>
  <c r="H161" i="49"/>
  <c r="Q31" i="49"/>
  <c r="Q135" i="49" s="1"/>
  <c r="I135" i="49"/>
  <c r="P87" i="49"/>
  <c r="P191" i="49" s="1"/>
  <c r="H191" i="49"/>
  <c r="O19" i="49"/>
  <c r="O123" i="49" s="1"/>
  <c r="G123" i="49"/>
  <c r="P35" i="49"/>
  <c r="P139" i="49" s="1"/>
  <c r="H139" i="49"/>
  <c r="P73" i="49"/>
  <c r="P177" i="49" s="1"/>
  <c r="H177" i="49"/>
  <c r="Q25" i="49"/>
  <c r="Q129" i="49" s="1"/>
  <c r="I129" i="49"/>
  <c r="P48" i="49"/>
  <c r="P152" i="49" s="1"/>
  <c r="H152" i="49"/>
  <c r="P37" i="49"/>
  <c r="P141" i="49" s="1"/>
  <c r="H141" i="49"/>
  <c r="Q19" i="49"/>
  <c r="Q123" i="49" s="1"/>
  <c r="I123" i="49"/>
  <c r="Q39" i="49"/>
  <c r="Q143" i="49" s="1"/>
  <c r="I143" i="49"/>
  <c r="O14" i="49"/>
  <c r="O118" i="49" s="1"/>
  <c r="G118" i="49"/>
  <c r="Q34" i="49"/>
  <c r="Q138" i="49" s="1"/>
  <c r="I138" i="49"/>
  <c r="Q40" i="49"/>
  <c r="Q144" i="49" s="1"/>
  <c r="I144" i="49"/>
  <c r="Q76" i="49"/>
  <c r="Q180" i="49" s="1"/>
  <c r="I180" i="49"/>
  <c r="Q28" i="49"/>
  <c r="Q132" i="49" s="1"/>
  <c r="I132" i="49"/>
  <c r="P44" i="49"/>
  <c r="P148" i="49" s="1"/>
  <c r="H148" i="49"/>
  <c r="P41" i="49"/>
  <c r="P145" i="49" s="1"/>
  <c r="H145" i="49"/>
  <c r="O83" i="49"/>
  <c r="O187" i="49" s="1"/>
  <c r="G187" i="49"/>
  <c r="O55" i="49"/>
  <c r="O159" i="49" s="1"/>
  <c r="G159" i="49"/>
  <c r="O41" i="49"/>
  <c r="O145" i="49" s="1"/>
  <c r="G145" i="49"/>
  <c r="O58" i="49"/>
  <c r="O162" i="49" s="1"/>
  <c r="G162" i="49"/>
  <c r="Q45" i="49"/>
  <c r="Q149" i="49" s="1"/>
  <c r="I149" i="49"/>
  <c r="Q55" i="49"/>
  <c r="Q159" i="49" s="1"/>
  <c r="I159" i="49"/>
  <c r="Q83" i="49"/>
  <c r="Q187" i="49" s="1"/>
  <c r="I187" i="49"/>
  <c r="P76" i="49"/>
  <c r="P180" i="49" s="1"/>
  <c r="H180" i="49"/>
  <c r="P16" i="49"/>
  <c r="P120" i="49" s="1"/>
  <c r="H120" i="49"/>
  <c r="O44" i="49"/>
  <c r="O148" i="49" s="1"/>
  <c r="G148" i="49"/>
  <c r="O50" i="49"/>
  <c r="O154" i="49" s="1"/>
  <c r="G154" i="49"/>
  <c r="Q46" i="49"/>
  <c r="Q150" i="49" s="1"/>
  <c r="I150" i="49"/>
  <c r="P21" i="49"/>
  <c r="P125" i="49" s="1"/>
  <c r="H125" i="49"/>
  <c r="Q43" i="49"/>
  <c r="Q147" i="49" s="1"/>
  <c r="I147" i="49"/>
  <c r="P43" i="49"/>
  <c r="P147" i="49" s="1"/>
  <c r="H147" i="49"/>
  <c r="Q37" i="49"/>
  <c r="Q141" i="49" s="1"/>
  <c r="I141" i="49"/>
  <c r="O85" i="49"/>
  <c r="O189" i="49" s="1"/>
  <c r="G189" i="49"/>
  <c r="Q17" i="49"/>
  <c r="Q121" i="49" s="1"/>
  <c r="I121" i="49"/>
  <c r="P34" i="49"/>
  <c r="P138" i="49" s="1"/>
  <c r="H138" i="49"/>
  <c r="O88" i="49"/>
  <c r="O192" i="49" s="1"/>
  <c r="G192" i="49"/>
  <c r="Q48" i="49"/>
  <c r="Q152" i="49" s="1"/>
  <c r="I152" i="49"/>
  <c r="Q50" i="49"/>
  <c r="Q154" i="49" s="1"/>
  <c r="I154" i="49"/>
  <c r="O54" i="49"/>
  <c r="O158" i="49" s="1"/>
  <c r="G158" i="49"/>
  <c r="P56" i="49"/>
  <c r="P160" i="49" s="1"/>
  <c r="H160" i="49"/>
  <c r="P31" i="49"/>
  <c r="P135" i="49" s="1"/>
  <c r="H135" i="49"/>
  <c r="O26" i="49"/>
  <c r="O130" i="49" s="1"/>
  <c r="G130" i="49"/>
  <c r="P20" i="49"/>
  <c r="P124" i="49" s="1"/>
  <c r="H124" i="49"/>
  <c r="Q58" i="49"/>
  <c r="Q162" i="49" s="1"/>
  <c r="I162" i="49"/>
  <c r="Q33" i="49"/>
  <c r="Q137" i="49" s="1"/>
  <c r="I137" i="49"/>
  <c r="P28" i="49"/>
  <c r="P132" i="49" s="1"/>
  <c r="H132" i="49"/>
  <c r="Q18" i="49"/>
  <c r="Q122" i="49" s="1"/>
  <c r="I122" i="49"/>
  <c r="P52" i="49"/>
  <c r="P156" i="49" s="1"/>
  <c r="H156" i="49"/>
  <c r="Q29" i="49"/>
  <c r="Q133" i="49" s="1"/>
  <c r="I133" i="49"/>
  <c r="Q53" i="49"/>
  <c r="Q157" i="49" s="1"/>
  <c r="I157" i="49"/>
  <c r="O39" i="49"/>
  <c r="O143" i="49" s="1"/>
  <c r="G143" i="49"/>
  <c r="O49" i="49"/>
  <c r="O153" i="49" s="1"/>
  <c r="G153" i="49"/>
  <c r="P30" i="49"/>
  <c r="P134" i="49" s="1"/>
  <c r="H134" i="49"/>
  <c r="Q22" i="49"/>
  <c r="Q126" i="49" s="1"/>
  <c r="I126" i="49"/>
  <c r="P40" i="49"/>
  <c r="P144" i="49" s="1"/>
  <c r="H144" i="49"/>
  <c r="P27" i="49"/>
  <c r="P131" i="49" s="1"/>
  <c r="H131" i="49"/>
  <c r="O52" i="49"/>
  <c r="O156" i="49" s="1"/>
  <c r="G156" i="49"/>
  <c r="Q84" i="49"/>
  <c r="Q188" i="49" s="1"/>
  <c r="I188" i="49"/>
  <c r="O22" i="49"/>
  <c r="O126" i="49" s="1"/>
  <c r="G126" i="49"/>
  <c r="Q54" i="49"/>
  <c r="Q158" i="49" s="1"/>
  <c r="I158" i="49"/>
  <c r="O86" i="49"/>
  <c r="O190" i="49" s="1"/>
  <c r="G190" i="49"/>
  <c r="P23" i="49"/>
  <c r="P127" i="49" s="1"/>
  <c r="H127" i="49"/>
  <c r="P13" i="49"/>
  <c r="P117" i="49" s="1"/>
  <c r="H117" i="49"/>
  <c r="Q27" i="49"/>
  <c r="Q131" i="49" s="1"/>
  <c r="I131" i="49"/>
  <c r="O35" i="49"/>
  <c r="O139" i="49" s="1"/>
  <c r="G139" i="49"/>
  <c r="O47" i="49"/>
  <c r="O151" i="49" s="1"/>
  <c r="G151" i="49"/>
  <c r="P7" i="49"/>
  <c r="P111" i="49" s="1"/>
  <c r="H111" i="49"/>
  <c r="Q8" i="49"/>
  <c r="Q112" i="49" s="1"/>
  <c r="I112" i="49"/>
  <c r="O10" i="49"/>
  <c r="O114" i="49" s="1"/>
  <c r="G114" i="49"/>
  <c r="O7" i="49"/>
  <c r="O111" i="49" s="1"/>
  <c r="G111" i="49"/>
  <c r="P33" i="31"/>
  <c r="P34" i="31"/>
  <c r="G112" i="49" l="1"/>
  <c r="I117" i="49"/>
  <c r="H118" i="49"/>
  <c r="Q7" i="49"/>
  <c r="Q111" i="49" s="1"/>
  <c r="I111" i="49"/>
  <c r="P8" i="49"/>
  <c r="P112" i="49" s="1"/>
  <c r="H112" i="49"/>
  <c r="Q82" i="49"/>
  <c r="Q186" i="49" s="1"/>
  <c r="H189" i="49"/>
  <c r="P88" i="49"/>
  <c r="P192" i="49" s="1"/>
  <c r="P89" i="49"/>
  <c r="P193" i="49" s="1"/>
  <c r="I190" i="49"/>
  <c r="Q65" i="49"/>
  <c r="Q169" i="49" s="1"/>
  <c r="O79" i="49"/>
  <c r="O183" i="49" s="1"/>
  <c r="Q90" i="49"/>
  <c r="Q194" i="49" s="1"/>
  <c r="H184" i="49"/>
  <c r="H188" i="49"/>
  <c r="G174" i="49"/>
  <c r="H170" i="49"/>
  <c r="I191" i="49"/>
  <c r="Q68" i="49"/>
  <c r="Q172" i="49" s="1"/>
  <c r="O69" i="49"/>
  <c r="O173" i="49" s="1"/>
  <c r="O89" i="49"/>
  <c r="O193" i="49" s="1"/>
  <c r="O84" i="49"/>
  <c r="O188" i="49" s="1"/>
  <c r="H190" i="49"/>
  <c r="P86" i="49"/>
  <c r="P190" i="49" s="1"/>
  <c r="P93" i="49"/>
  <c r="P197" i="49" s="1"/>
  <c r="O91" i="49"/>
  <c r="O195" i="49" s="1"/>
  <c r="O90" i="49"/>
  <c r="O194" i="49" s="1"/>
  <c r="Q85" i="49"/>
  <c r="Q189" i="49" s="1"/>
  <c r="I189" i="49"/>
  <c r="G171" i="49"/>
  <c r="P83" i="49"/>
  <c r="P187" i="49" s="1"/>
  <c r="H187" i="49"/>
  <c r="Q66" i="49"/>
  <c r="Q170" i="49" s="1"/>
  <c r="O87" i="49"/>
  <c r="O191" i="49" s="1"/>
  <c r="G191" i="49"/>
  <c r="I173" i="49"/>
  <c r="Q69" i="49"/>
  <c r="Q173" i="49" s="1"/>
  <c r="G172" i="49"/>
  <c r="O68" i="49"/>
  <c r="O172" i="49" s="1"/>
  <c r="H171" i="49"/>
  <c r="P67" i="49"/>
  <c r="P171" i="49" s="1"/>
  <c r="G169" i="49"/>
  <c r="O65" i="49"/>
  <c r="O169" i="49" s="1"/>
  <c r="H174" i="49"/>
  <c r="P70" i="49"/>
  <c r="P174" i="49" s="1"/>
  <c r="P10" i="49"/>
  <c r="P114" i="49" s="1"/>
  <c r="H114" i="49"/>
  <c r="P6" i="49"/>
  <c r="P110" i="49" s="1"/>
  <c r="P109" i="49"/>
  <c r="H109" i="49"/>
  <c r="O9" i="49"/>
  <c r="O113" i="49" s="1"/>
  <c r="G113" i="49"/>
  <c r="Q9" i="49"/>
  <c r="Q113" i="49" s="1"/>
  <c r="I113" i="49"/>
  <c r="Q10" i="49"/>
  <c r="Q114" i="49" s="1"/>
  <c r="I114" i="49"/>
  <c r="Q109" i="49"/>
  <c r="I109" i="49"/>
  <c r="P9" i="49"/>
  <c r="P113" i="49" s="1"/>
  <c r="H113" i="49"/>
  <c r="O109" i="49"/>
  <c r="G109" i="49"/>
  <c r="Q6" i="49"/>
  <c r="Q110" i="49" s="1"/>
  <c r="I110" i="49"/>
  <c r="O34" i="31"/>
  <c r="Q34" i="31"/>
  <c r="W26" i="40"/>
  <c r="V26" i="40"/>
  <c r="U26" i="40"/>
  <c r="X26" i="40"/>
  <c r="Q5" i="37" l="1"/>
  <c r="G6" i="49" l="1"/>
  <c r="G13" i="48"/>
  <c r="V13" i="48" s="1"/>
  <c r="U19" i="48" s="1"/>
  <c r="O12" i="49"/>
  <c r="O116" i="49" s="1"/>
  <c r="D4" i="47"/>
  <c r="N6" i="47" s="1"/>
  <c r="H20" i="35"/>
  <c r="H21" i="35"/>
  <c r="H19" i="35"/>
  <c r="U20" i="48" l="1"/>
  <c r="E20" i="48"/>
  <c r="G116" i="49"/>
  <c r="O6" i="49"/>
  <c r="O110" i="49" s="1"/>
  <c r="G110" i="49"/>
  <c r="Q7" i="47"/>
  <c r="P7" i="47"/>
  <c r="O7" i="47"/>
  <c r="N7" i="47"/>
  <c r="Q6" i="47"/>
  <c r="O6" i="47"/>
  <c r="P6" i="47"/>
  <c r="J38" i="47"/>
  <c r="H38" i="47"/>
  <c r="J34" i="47"/>
  <c r="H34" i="47"/>
  <c r="J30" i="47"/>
  <c r="H30" i="47"/>
  <c r="J26" i="47"/>
  <c r="H26" i="47"/>
  <c r="N48" i="47" l="1"/>
  <c r="Q47" i="47"/>
  <c r="P48" i="47"/>
  <c r="M46" i="47"/>
  <c r="N47" i="47"/>
  <c r="L47" i="47"/>
  <c r="O46" i="47"/>
  <c r="Q46" i="47"/>
  <c r="N46" i="47"/>
  <c r="L48" i="47"/>
  <c r="Q48" i="47"/>
  <c r="L46" i="47"/>
  <c r="O49" i="47"/>
  <c r="L49" i="47"/>
  <c r="Q49" i="47"/>
  <c r="M48" i="47"/>
  <c r="P47" i="47"/>
  <c r="P49" i="47"/>
  <c r="M47" i="47"/>
  <c r="N49" i="47"/>
  <c r="O48" i="47"/>
  <c r="P46" i="47"/>
  <c r="O47" i="47"/>
  <c r="M49" i="47"/>
  <c r="H22" i="47"/>
  <c r="F42" i="47"/>
  <c r="E42" i="47"/>
  <c r="D42" i="47"/>
  <c r="F34" i="47"/>
  <c r="E34" i="47"/>
  <c r="D34" i="47"/>
  <c r="F26" i="47"/>
  <c r="E26" i="47"/>
  <c r="D26" i="47"/>
  <c r="J22" i="47"/>
  <c r="J18" i="47"/>
  <c r="H18" i="47"/>
  <c r="L18" i="47" s="1"/>
  <c r="F18" i="47"/>
  <c r="E18" i="47"/>
  <c r="D18" i="47"/>
  <c r="R21" i="40"/>
  <c r="H21" i="40"/>
  <c r="F21" i="40"/>
  <c r="E21" i="40"/>
  <c r="D21" i="40"/>
  <c r="V29" i="31"/>
  <c r="V24" i="31"/>
  <c r="V19" i="31"/>
  <c r="U22" i="40" l="1"/>
  <c r="W22" i="40"/>
  <c r="V22" i="40"/>
  <c r="X22" i="40"/>
  <c r="F24" i="31"/>
  <c r="V23" i="31"/>
  <c r="T23" i="31"/>
  <c r="S23" i="31"/>
  <c r="L23" i="31"/>
  <c r="K23" i="31"/>
  <c r="F23" i="31"/>
  <c r="D23" i="31"/>
  <c r="C23" i="31"/>
  <c r="Q22" i="31"/>
  <c r="Z21" i="31"/>
  <c r="Y21" i="31"/>
  <c r="I21" i="31"/>
  <c r="Q24" i="31" l="1"/>
  <c r="P23" i="31"/>
  <c r="O24" i="31"/>
  <c r="P24" i="31"/>
  <c r="L22" i="47"/>
  <c r="L25" i="47"/>
  <c r="P23" i="47"/>
  <c r="Q24" i="47"/>
  <c r="O23" i="47"/>
  <c r="P24" i="47"/>
  <c r="N23" i="47"/>
  <c r="Q22" i="47"/>
  <c r="Q25" i="47"/>
  <c r="O24" i="47"/>
  <c r="M23" i="47"/>
  <c r="P22" i="47"/>
  <c r="P25" i="47"/>
  <c r="N24" i="47"/>
  <c r="L23" i="47"/>
  <c r="O22" i="47"/>
  <c r="O25" i="47"/>
  <c r="M24" i="47"/>
  <c r="N22" i="47"/>
  <c r="N25" i="47"/>
  <c r="L24" i="47"/>
  <c r="M22" i="47"/>
  <c r="M25" i="47"/>
  <c r="Q23" i="47"/>
  <c r="N32" i="47" l="1"/>
  <c r="P31" i="47"/>
  <c r="N30" i="47"/>
  <c r="M32" i="47"/>
  <c r="Q33" i="47"/>
  <c r="O31" i="47"/>
  <c r="M30" i="47"/>
  <c r="L32" i="47"/>
  <c r="P33" i="47"/>
  <c r="N31" i="47"/>
  <c r="L30" i="47"/>
  <c r="O33" i="47"/>
  <c r="M31" i="47"/>
  <c r="N33" i="47"/>
  <c r="L31" i="47"/>
  <c r="Q32" i="47"/>
  <c r="M33" i="47"/>
  <c r="Q30" i="47"/>
  <c r="P32" i="47"/>
  <c r="L33" i="47"/>
  <c r="P30" i="47"/>
  <c r="O32" i="47"/>
  <c r="Q31" i="47"/>
  <c r="O30" i="47"/>
  <c r="P40" i="47"/>
  <c r="N39" i="47"/>
  <c r="L38" i="47"/>
  <c r="Q41" i="47"/>
  <c r="O40" i="47"/>
  <c r="M39" i="47"/>
  <c r="P41" i="47"/>
  <c r="N40" i="47"/>
  <c r="L39" i="47"/>
  <c r="O41" i="47"/>
  <c r="M40" i="47"/>
  <c r="Q38" i="47"/>
  <c r="N41" i="47"/>
  <c r="L40" i="47"/>
  <c r="P38" i="47"/>
  <c r="M41" i="47"/>
  <c r="Q39" i="47"/>
  <c r="O38" i="47"/>
  <c r="L41" i="47"/>
  <c r="P39" i="47"/>
  <c r="N38" i="47"/>
  <c r="Q40" i="47"/>
  <c r="O39" i="47"/>
  <c r="M38" i="47"/>
  <c r="D4" i="31"/>
  <c r="Z31" i="31"/>
  <c r="T70" i="31" s="1"/>
  <c r="Y31" i="31"/>
  <c r="T69" i="31" s="1"/>
  <c r="Z26" i="31"/>
  <c r="Y26" i="31"/>
  <c r="Z16" i="31"/>
  <c r="Y16" i="31"/>
  <c r="D4" i="40"/>
  <c r="S18" i="31"/>
  <c r="T18" i="31"/>
  <c r="V18" i="31"/>
  <c r="S28" i="31"/>
  <c r="T28" i="31"/>
  <c r="V28" i="31"/>
  <c r="S33" i="31"/>
  <c r="R23" i="40"/>
  <c r="R19" i="40"/>
  <c r="H23" i="40"/>
  <c r="H19" i="40"/>
  <c r="F25" i="40"/>
  <c r="E25" i="40"/>
  <c r="D25" i="40"/>
  <c r="F23" i="40"/>
  <c r="E23" i="40"/>
  <c r="D23" i="40"/>
  <c r="E19" i="40"/>
  <c r="F19" i="40"/>
  <c r="D19" i="40"/>
  <c r="F29" i="31"/>
  <c r="F28" i="31"/>
  <c r="F19" i="31"/>
  <c r="K33" i="31"/>
  <c r="C33" i="31"/>
  <c r="L28" i="31"/>
  <c r="O29" i="31" s="1"/>
  <c r="K18" i="31"/>
  <c r="K28" i="31"/>
  <c r="C28" i="31"/>
  <c r="C18" i="31"/>
  <c r="L18" i="31"/>
  <c r="D28" i="31"/>
  <c r="D5" i="38"/>
  <c r="C5" i="38"/>
  <c r="D4" i="38"/>
  <c r="K10" i="40" l="1"/>
  <c r="K19" i="40" s="1"/>
  <c r="L10" i="40"/>
  <c r="K21" i="40" s="1"/>
  <c r="M10" i="40"/>
  <c r="N10" i="40"/>
  <c r="K11" i="40"/>
  <c r="K20" i="40" s="1"/>
  <c r="L11" i="40"/>
  <c r="K22" i="40" s="1"/>
  <c r="M11" i="40"/>
  <c r="N11" i="40"/>
  <c r="H13" i="31"/>
  <c r="X13" i="31" s="1"/>
  <c r="X34" i="31" s="1"/>
  <c r="H11" i="31"/>
  <c r="X11" i="31" s="1"/>
  <c r="W34" i="31" s="1"/>
  <c r="E12" i="31"/>
  <c r="U12" i="31" s="1"/>
  <c r="X18" i="31" s="1"/>
  <c r="G11" i="31"/>
  <c r="W11" i="31" s="1"/>
  <c r="W29" i="31" s="1"/>
  <c r="H12" i="31"/>
  <c r="F12" i="31"/>
  <c r="F11" i="31"/>
  <c r="V11" i="31" s="1"/>
  <c r="W24" i="31" s="1"/>
  <c r="G12" i="31"/>
  <c r="E11" i="31"/>
  <c r="F13" i="31"/>
  <c r="E10" i="31"/>
  <c r="U10" i="31" s="1"/>
  <c r="G13" i="31"/>
  <c r="W13" i="31" s="1"/>
  <c r="X29" i="31" s="1"/>
  <c r="P19" i="31"/>
  <c r="P18" i="31"/>
  <c r="O19" i="31"/>
  <c r="P28" i="31"/>
  <c r="P29" i="31"/>
  <c r="O18" i="31"/>
  <c r="U24" i="40"/>
  <c r="X24" i="40"/>
  <c r="V24" i="40"/>
  <c r="W24" i="40"/>
  <c r="W20" i="40"/>
  <c r="X20" i="40"/>
  <c r="V20" i="40"/>
  <c r="U20" i="40"/>
  <c r="E13" i="31"/>
  <c r="U13" i="31" s="1"/>
  <c r="X19" i="31" s="1"/>
  <c r="V12" i="31" l="1"/>
  <c r="X23" i="31" s="1"/>
  <c r="H23" i="31"/>
  <c r="X12" i="31"/>
  <c r="X33" i="31" s="1"/>
  <c r="H33" i="31"/>
  <c r="Z18" i="31"/>
  <c r="AA18" i="31"/>
  <c r="Y18" i="31"/>
  <c r="W12" i="31"/>
  <c r="X28" i="31" s="1"/>
  <c r="H28" i="31"/>
  <c r="V13" i="31"/>
  <c r="X24" i="31" s="1"/>
  <c r="H24" i="31"/>
  <c r="U11" i="31"/>
  <c r="W19" i="31" s="1"/>
  <c r="Y19" i="31"/>
  <c r="L19" i="40"/>
  <c r="Q42" i="47"/>
  <c r="H34" i="31"/>
  <c r="D68" i="31" s="1"/>
  <c r="O33" i="31"/>
  <c r="W25" i="40"/>
  <c r="O28" i="31"/>
  <c r="M18" i="47"/>
  <c r="H19" i="31"/>
  <c r="H18" i="31"/>
  <c r="H29" i="31"/>
  <c r="U19" i="40"/>
  <c r="X19" i="40"/>
  <c r="V19" i="40"/>
  <c r="W19" i="40"/>
  <c r="N19" i="40"/>
  <c r="P19" i="40"/>
  <c r="O19" i="40"/>
  <c r="M19" i="40"/>
  <c r="P22" i="40"/>
  <c r="O22" i="40"/>
  <c r="N22" i="40"/>
  <c r="M22" i="40"/>
  <c r="L22" i="40"/>
  <c r="N20" i="40"/>
  <c r="O20" i="40"/>
  <c r="M20" i="40"/>
  <c r="P20" i="40"/>
  <c r="L20" i="40"/>
  <c r="O21" i="40"/>
  <c r="N21" i="40"/>
  <c r="M21" i="40"/>
  <c r="L21" i="40"/>
  <c r="P21" i="40"/>
  <c r="L21" i="47"/>
  <c r="Q19" i="47"/>
  <c r="P19" i="47"/>
  <c r="L20" i="47"/>
  <c r="N21" i="47"/>
  <c r="N18" i="47"/>
  <c r="L19" i="47"/>
  <c r="P20" i="47"/>
  <c r="O20" i="47"/>
  <c r="M20" i="47"/>
  <c r="Q21" i="47"/>
  <c r="Q20" i="47"/>
  <c r="O18" i="47"/>
  <c r="M21" i="47"/>
  <c r="Q18" i="47"/>
  <c r="N20" i="47"/>
  <c r="N19" i="47"/>
  <c r="O19" i="47"/>
  <c r="O21" i="47"/>
  <c r="P21" i="47"/>
  <c r="M19" i="47"/>
  <c r="P18" i="47"/>
  <c r="K23" i="40"/>
  <c r="K24" i="40"/>
  <c r="K26" i="40"/>
  <c r="K25" i="40"/>
  <c r="D69" i="31" l="1"/>
  <c r="Q23" i="31"/>
  <c r="O23" i="31"/>
  <c r="Q33" i="31"/>
  <c r="M44" i="47"/>
  <c r="M43" i="47"/>
  <c r="M42" i="47"/>
  <c r="M35" i="47"/>
  <c r="L35" i="47"/>
  <c r="L34" i="47"/>
  <c r="U25" i="40"/>
  <c r="V25" i="40"/>
  <c r="N43" i="47"/>
  <c r="O44" i="47"/>
  <c r="Q43" i="47"/>
  <c r="N44" i="47"/>
  <c r="O43" i="47"/>
  <c r="P43" i="47"/>
  <c r="P44" i="47"/>
  <c r="L44" i="47"/>
  <c r="N45" i="47"/>
  <c r="Q45" i="47"/>
  <c r="P45" i="47"/>
  <c r="Q44" i="47"/>
  <c r="L45" i="47"/>
  <c r="N42" i="47"/>
  <c r="L42" i="47"/>
  <c r="O42" i="47"/>
  <c r="O45" i="47"/>
  <c r="P42" i="47"/>
  <c r="M45" i="47"/>
  <c r="L43" i="47"/>
  <c r="X25" i="40"/>
  <c r="P25" i="40"/>
  <c r="L25" i="40"/>
  <c r="N25" i="40"/>
  <c r="O25" i="40"/>
  <c r="M25" i="40"/>
  <c r="P26" i="40"/>
  <c r="L26" i="40"/>
  <c r="M26" i="40"/>
  <c r="O26" i="40"/>
  <c r="N26" i="40"/>
  <c r="V23" i="40"/>
  <c r="U23" i="40"/>
  <c r="X23" i="40"/>
  <c r="W23" i="40"/>
  <c r="V21" i="40"/>
  <c r="U21" i="40"/>
  <c r="X21" i="40"/>
  <c r="W21" i="40"/>
  <c r="P24" i="40"/>
  <c r="N24" i="40"/>
  <c r="O24" i="40"/>
  <c r="L24" i="40"/>
  <c r="M24" i="40"/>
  <c r="P23" i="40"/>
  <c r="O23" i="40"/>
  <c r="N23" i="40"/>
  <c r="M23" i="40"/>
  <c r="L23" i="40"/>
  <c r="N30" i="35" l="1"/>
  <c r="N31" i="35"/>
  <c r="N32" i="35"/>
  <c r="N60" i="35"/>
  <c r="N61" i="35"/>
  <c r="N62" i="35"/>
  <c r="N52" i="35" l="1"/>
  <c r="N53" i="35"/>
  <c r="N54" i="35"/>
  <c r="N55" i="35"/>
  <c r="N56" i="35"/>
  <c r="N57" i="35"/>
  <c r="N58" i="35"/>
  <c r="N59" i="35"/>
  <c r="N3" i="35" l="1"/>
  <c r="N4" i="35"/>
  <c r="N5" i="35"/>
  <c r="N6" i="35"/>
  <c r="N7" i="35"/>
  <c r="N8" i="35"/>
  <c r="N9" i="35"/>
  <c r="N10" i="35"/>
  <c r="N11" i="35"/>
  <c r="N12" i="35"/>
  <c r="N13" i="35"/>
  <c r="N14" i="35"/>
  <c r="N15" i="35"/>
  <c r="N16" i="35"/>
  <c r="N17" i="35"/>
  <c r="N18" i="35"/>
  <c r="N19" i="35"/>
  <c r="N20" i="35"/>
  <c r="N21" i="35"/>
  <c r="N22" i="35"/>
  <c r="N23" i="35"/>
  <c r="N24" i="35"/>
  <c r="N25" i="35"/>
  <c r="N26" i="35"/>
  <c r="N27" i="35"/>
  <c r="N28" i="35"/>
  <c r="N29" i="35"/>
  <c r="N33" i="35"/>
  <c r="N34" i="35"/>
  <c r="N35" i="35"/>
  <c r="N36" i="35"/>
  <c r="N37" i="35"/>
  <c r="N38" i="35"/>
  <c r="N39" i="35"/>
  <c r="N40" i="35"/>
  <c r="N41" i="35"/>
  <c r="N42" i="35"/>
  <c r="N43" i="35"/>
  <c r="N44" i="35"/>
  <c r="N45" i="35"/>
  <c r="N46" i="35"/>
  <c r="N47" i="35"/>
  <c r="N48" i="35"/>
  <c r="N49" i="35"/>
  <c r="N50" i="35"/>
  <c r="N51" i="35"/>
  <c r="N2" i="35"/>
  <c r="Q32" i="31" l="1"/>
  <c r="Q27" i="31" l="1"/>
  <c r="Q17" i="31"/>
  <c r="P8" i="39" l="1"/>
  <c r="P7" i="39"/>
  <c r="P6" i="39"/>
  <c r="I31" i="31" l="1"/>
  <c r="I26" i="31"/>
  <c r="I16" i="31"/>
  <c r="O27" i="47" l="1"/>
  <c r="L28" i="47"/>
  <c r="O26" i="47"/>
  <c r="N27" i="47"/>
  <c r="P28" i="47"/>
  <c r="L27" i="47"/>
  <c r="Q26" i="47"/>
  <c r="M26" i="47"/>
  <c r="L26" i="47"/>
  <c r="P26" i="47"/>
  <c r="N26" i="47"/>
  <c r="O29" i="47"/>
  <c r="Q28" i="47"/>
  <c r="L29" i="47"/>
  <c r="O28" i="47"/>
  <c r="M28" i="47"/>
  <c r="Q29" i="47"/>
  <c r="P29" i="47"/>
  <c r="Q27" i="47"/>
  <c r="N28" i="47"/>
  <c r="P27" i="47"/>
  <c r="M29" i="47"/>
  <c r="M27" i="47"/>
  <c r="N29" i="47"/>
  <c r="P34" i="47"/>
  <c r="L36" i="47"/>
  <c r="Q37" i="47"/>
  <c r="Q34" i="47"/>
  <c r="O34" i="47"/>
  <c r="P35" i="47"/>
  <c r="L37" i="47"/>
  <c r="Q35" i="47"/>
  <c r="N35" i="47"/>
  <c r="Q36" i="47"/>
  <c r="O35" i="47"/>
  <c r="M37" i="47"/>
  <c r="P37" i="47"/>
  <c r="O36" i="47"/>
  <c r="N37" i="47"/>
  <c r="M34" i="47"/>
  <c r="O37" i="47"/>
  <c r="N34" i="47"/>
  <c r="M36" i="47"/>
  <c r="N36" i="47"/>
  <c r="P36" i="47"/>
  <c r="M68" i="31" l="1"/>
  <c r="Q29" i="31"/>
  <c r="Q28" i="31"/>
  <c r="M69" i="31"/>
  <c r="Q19" i="31"/>
  <c r="Q18" i="31"/>
  <c r="N68" i="31"/>
  <c r="N69" i="31"/>
  <c r="H10" i="31"/>
  <c r="X10" i="31" s="1"/>
  <c r="G10" i="31"/>
  <c r="W10" i="31" s="1"/>
  <c r="F10" i="31"/>
  <c r="V10" i="31" s="1"/>
  <c r="W23" i="31" s="1"/>
  <c r="Z19" i="31" l="1"/>
  <c r="Z24" i="31"/>
  <c r="AA24" i="31"/>
  <c r="Y24" i="31"/>
  <c r="G23" i="31"/>
  <c r="I23" i="31" s="1"/>
  <c r="Y23" i="31"/>
  <c r="Z23" i="31"/>
  <c r="Z34" i="31"/>
  <c r="V70" i="31" s="1"/>
  <c r="Y34" i="31"/>
  <c r="V69" i="31" s="1"/>
  <c r="Z28" i="31"/>
  <c r="AA28" i="31"/>
  <c r="Y28" i="31"/>
  <c r="Z29" i="31"/>
  <c r="Y29" i="31"/>
  <c r="G33" i="31"/>
  <c r="I33" i="31" s="1"/>
  <c r="Z33" i="31"/>
  <c r="U70" i="31" s="1"/>
  <c r="Y33" i="31"/>
  <c r="U69" i="31" s="1"/>
  <c r="AA33" i="31"/>
  <c r="U71" i="31" s="1"/>
  <c r="G19" i="31"/>
  <c r="I19" i="31" s="1"/>
  <c r="G24" i="31"/>
  <c r="I24" i="31" s="1"/>
  <c r="G34" i="31"/>
  <c r="I34" i="31" s="1"/>
  <c r="G18" i="31"/>
  <c r="I18" i="31" s="1"/>
  <c r="W28" i="31"/>
  <c r="G28" i="31"/>
  <c r="I28" i="31" s="1"/>
  <c r="G29" i="31"/>
  <c r="I29" i="31" s="1"/>
  <c r="AA29" i="31"/>
  <c r="AA19" i="31"/>
  <c r="W18" i="31"/>
  <c r="AA23" i="31"/>
  <c r="AA34" i="31"/>
  <c r="V71" i="31" s="1"/>
  <c r="W33" i="31"/>
  <c r="U68" i="31" l="1"/>
  <c r="V68" i="31"/>
  <c r="D70" i="31"/>
  <c r="E70" i="31"/>
  <c r="D71" i="31"/>
  <c r="E71" i="31" l="1"/>
  <c r="E69"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<sst xmlns="http://schemas.openxmlformats.org/spreadsheetml/2006/main" count="1805" uniqueCount="474">
  <si>
    <t>Supplemental Information File:
Risk Calculator for Occupational Exposures</t>
  </si>
  <si>
    <t>CASRN: 84-74-2</t>
  </si>
  <si>
    <t>Description of this workbook:</t>
  </si>
  <si>
    <t>The risk calculator workbook contains the following spreadsheets: Dashboard, RR, Inhalation Exposure, Dermal Crosswalk, Dermal Exposure, Exposure Factors, Hazard Values, and List Values. The workbook is designed such that the user need only to use the first two spreadsheets which have tabs colored green and contain the results of the risk calculator i.e. the Dashboard and the RR. The remaining spreadsheets contain data storage and calculation spreadsheets.</t>
  </si>
  <si>
    <t>Worksheet</t>
  </si>
  <si>
    <t>Description</t>
  </si>
  <si>
    <t>Calculation Summary</t>
  </si>
  <si>
    <t>An overview of the inhalation and dermal equations utilized to estimate the acute-; intermediate-; chronic, non-cancer-; and chronic, cancer-dose of each Occupational Exposure Scenario (OES) from an estimated concentration or dose to workers and ONUs.</t>
  </si>
  <si>
    <t>Dashboard</t>
  </si>
  <si>
    <t>The Dashboard is an interactive spreadsheet that allows a user to view exposure results for a selected OES and with a single PPE option of their choosing (i.e. respirator APF or Glove Protection Factor PF). The user can select the desired OES, PPE options and for dermal exposures the worker type (either an average adult or a female of reproductive age) from a drop-down menu. The exposure estimates are shown in the “Exposure Outputs” section for both inhalation and dermal routes and for high-end and central tendency exposures. For inhalation exposures the columns show results for both worker and ONU exposures. The “Risk Estimation” sections are separated into acute, chronic non-cancer and cancer sections. For each section there is a brief description of the hazard endpoint and the hazard value i.e. HEC for non-cancer effects from inhalation exposure, HED for non-cancer effects from dermal exposure or a slope factor for cancer and the benchmark MOEs or benchmark values for cancer risk are provided to the right of the hazard value. The risk estimations show two columns of risk estimates: one column for exposures without PPE and one column for the results of the user-selected PPE option. These two columns allow the user to compare with and without PPE results side-by-side. The Dashboard automatically shades the cancer risk and MOE cells when they exceed the cancer benchmark or the benchmark MOE value.</t>
  </si>
  <si>
    <t>RR</t>
  </si>
  <si>
    <t>The RR spreadsheet is an expanded version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</si>
  <si>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Aggregate RR</t>
  </si>
  <si>
    <t>The Aggregate RR spreadsheet is an expanded version of the Aggregate section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</si>
  <si>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Exposure Results,
Dermal Exposure, 
Exposure Factors, 
Hazard Values, and 
List Values</t>
  </si>
  <si>
    <t>As described above the remaining spreadsheets are data storage and calculation spreadsheets. These worksheets store the exposure estimates, health values and store some of the risk calculations. The user does not need to access these worksheets to use the Dashboard and RR spreadsheets as described above; all results are automatically loaded into the Dashboard and RR spreadsheets.</t>
  </si>
  <si>
    <t>Equations and Calculations Used for Risk Calculator</t>
  </si>
  <si>
    <t>Exposure Type</t>
  </si>
  <si>
    <t>Equation</t>
  </si>
  <si>
    <t>Equation Parameters</t>
  </si>
  <si>
    <r>
      <t>Inhalation Exposure Calculations</t>
    </r>
    <r>
      <rPr>
        <b/>
        <vertAlign val="superscript"/>
        <sz val="10"/>
        <color theme="1"/>
        <rFont val="Times New Roman"/>
        <family val="1"/>
      </rPr>
      <t>a</t>
    </r>
  </si>
  <si>
    <t>Acute Dose (AD) (mg/kg/day)</t>
  </si>
  <si>
    <t>AD = 8-hr TWA Concentration x ED x BR / BW</t>
  </si>
  <si>
    <r>
      <t>- ED = 8 hr/day
- BR = Breathing Rate (worker): 1.25 m</t>
    </r>
    <r>
      <rPr>
        <vertAlign val="superscript"/>
        <sz val="10"/>
        <color theme="1"/>
        <rFont val="Times New Roman"/>
        <family val="1"/>
      </rPr>
      <t>3</t>
    </r>
    <r>
      <rPr>
        <sz val="10"/>
        <color theme="1"/>
        <rFont val="Times New Roman"/>
        <family val="1"/>
      </rPr>
      <t>/hr
- BW = Body weight: 80 kg (average adult worker), 72.4 kg (woman of childbearing age)</t>
    </r>
  </si>
  <si>
    <t>Intermediate Average Daily Dose (IADD)(mg/kg/day)</t>
  </si>
  <si>
    <t>IADD = 8-hr TWA concentration x ED x BR x EFint/ (BW x ID)</t>
  </si>
  <si>
    <t>- ED = 8 hr/day
- BR = Breathing Rate (worker): 1.25 m3/hr
- BW = Body weight: 80 kg (average adult worker), 72.4 kg (woman of childbearing age)
- EFint = The exposure days in the numerator will typically be 22 days/yr when the total exposure days/yr is &gt;22 days/yr or equal to the total exposure days/yr if the total is &lt;22 days/yr. This maximizes the number of exposure days in the Intermediate timeframe, acOESnting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t>
  </si>
  <si>
    <t>Chronic Average Daily Dose (ADD)(mg/kg/day)</t>
  </si>
  <si>
    <t>ADD = 8-hr TWA concentration x ED x BR  x EF x WY/ (BW x 365days/yr x WY)</t>
  </si>
  <si>
    <t>- ED = 8 hr/day
- BR = Breathing Rate (worker): 1.25 m3/hr
- BW = Body weight: 80 kg (average adult worker), 72.4 kg (woman of childbearing age)
- EF = 2 to 250 days depending on OES
- WY = 31 (central tendency) to 40 yr (high-end)</t>
  </si>
  <si>
    <t>Lifetime Average Daily Dose (LADD)(mg/kg/day)</t>
  </si>
  <si>
    <t>LADD = 8-hr TWA concentration x ED x BR  x EF x WY/ (BW x 365days/yr x LT)</t>
  </si>
  <si>
    <t>- ED = 8 hr/day
- BR = Breathing Rate (worker): 1.25 m3/hr
- BW = Body weight: 80 kg (average adult worker), 72.4 kg (woman of childbearing age)
- EF = 2 to 250 days depending on OES
- WY = 31 (central tendency) to 40 yr (high-end)
- LT = Lifetime (78 years)</t>
  </si>
  <si>
    <t>Inhalation Exposure Risk Calculations</t>
  </si>
  <si>
    <t>Human Equivalent Dose (HED) (mg/kg)</t>
  </si>
  <si>
    <t>see Health Data tab</t>
  </si>
  <si>
    <t>Benchmark Margin of Exposure (MOE) (unitless)</t>
  </si>
  <si>
    <t>Acute MOE (unitless)</t>
  </si>
  <si>
    <t>HED / AD</t>
  </si>
  <si>
    <t>The calculated MOE is then compared with the Benchmark MOE; if the calculated MOE is less than the benchmark MOE then there is risk.</t>
  </si>
  <si>
    <t>Intermediate MOE (unitless)</t>
  </si>
  <si>
    <t>HED / IADD</t>
  </si>
  <si>
    <t>Chronic, Non-Cancer MOE (unitless)</t>
  </si>
  <si>
    <t>HED / ADD</t>
  </si>
  <si>
    <t>Chronic, Cancer MOE (unitless)</t>
  </si>
  <si>
    <t>HED * LADD</t>
  </si>
  <si>
    <t>The calculated MOE is then compared with the Benchmark MOE; if the calculated MOE is greater than the benchmark MOE then there is risk.</t>
  </si>
  <si>
    <t>Dermal Exposures</t>
  </si>
  <si>
    <t>AD = APDR / BW</t>
  </si>
  <si>
    <t xml:space="preserve"> - AD	= Acute retained dose (mg/kg-day)
 - APDR	= Acute potential dose rate (mg/day)
 - BW	= Body weight (kg)</t>
  </si>
  <si>
    <t>Intermediate Daily Dose (IADD)(mg/kg/day)</t>
  </si>
  <si>
    <r>
      <t>IADD = APDR x EF</t>
    </r>
    <r>
      <rPr>
        <vertAlign val="subscript"/>
        <sz val="10"/>
        <color theme="1"/>
        <rFont val="Times New Roman"/>
        <family val="1"/>
      </rPr>
      <t>int</t>
    </r>
    <r>
      <rPr>
        <sz val="10"/>
        <color theme="1"/>
        <rFont val="Times New Roman"/>
        <family val="1"/>
      </rPr>
      <t xml:space="preserve"> / BW x ID</t>
    </r>
  </si>
  <si>
    <t>- APDR	= Acute potential dose rate (mg/day)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
- BW = Body weight: 80 kg (average adult worker), 72.4 kg (woman of childbearing age)
- IADD	=	Intermediate average daily dose (mg/kg-day)</t>
  </si>
  <si>
    <t>ADD = APDR x EF x WY/ (BW x 365days/yr x WY)</t>
  </si>
  <si>
    <t>-APDR = Acute potential dose rate (mg/day)
- BW = Body weight: 80 kg (average adult worker), 72.4 kg (woman of childbearing age)
- EF = 2 to 250 days depending on OES
- WY = 31 (central tendency) to 40 yr (high-end)</t>
  </si>
  <si>
    <t>LADD = APDR x EF x WY/ (BW x 365days/yr x LT)</t>
  </si>
  <si>
    <t>-APDR = Acute potential dose rate (mg/day)
- BW = Body weight: 80 kg (average adult worker), 72.4 kg (woman of childbearing age)
- EF = 2 to 250 days depending on OES
- WY = 31 (central tendency) to 40 yr (high-end)
- LT = Lifetime (78 years)</t>
  </si>
  <si>
    <t>Dermal Exposure Risk Calculations</t>
  </si>
  <si>
    <t>HED / ARD</t>
  </si>
  <si>
    <t>HED / SCRD</t>
  </si>
  <si>
    <t>HED / CRD (non-cancer)</t>
  </si>
  <si>
    <t>HED * CRD (cancer)</t>
  </si>
  <si>
    <t>Occupational Exposure Scenario</t>
  </si>
  <si>
    <t>Inhalation Exposure</t>
  </si>
  <si>
    <t>Personal Protective Equipment (PPE)</t>
  </si>
  <si>
    <t>Dermal</t>
  </si>
  <si>
    <t>Select the Occupational Exposure Scenario (select)</t>
  </si>
  <si>
    <t>Data Type
(Auto-Fill)</t>
  </si>
  <si>
    <t>Respirator Protection Factor (Select)</t>
  </si>
  <si>
    <t>Glove Protection Factor (Select)</t>
  </si>
  <si>
    <t>Worker Type
(Default)</t>
  </si>
  <si>
    <t>Import and Repackaging</t>
  </si>
  <si>
    <t>Female of Reproductive Age</t>
  </si>
  <si>
    <t>Inhalation</t>
  </si>
  <si>
    <t>Aggregate Inhalation and Dermal</t>
  </si>
  <si>
    <t>Exposure Outputs</t>
  </si>
  <si>
    <t>Category</t>
  </si>
  <si>
    <t>Exposure Level</t>
  </si>
  <si>
    <t>Acute Dose</t>
  </si>
  <si>
    <t>Intermediate, Non-Cancer Exposures</t>
  </si>
  <si>
    <t>Average Daily Dose, Chronic Non-Cancer Exposures</t>
  </si>
  <si>
    <t>Lifetime Average Daily Dose, Cancer</t>
  </si>
  <si>
    <t>Intermediate Average Daily Dose</t>
  </si>
  <si>
    <t>AD (mg/kg/day)</t>
  </si>
  <si>
    <t>IADD (mg/kg/day)</t>
  </si>
  <si>
    <t>ADD (mg/kg/day)</t>
  </si>
  <si>
    <t>LADD (mg/kg/day)</t>
  </si>
  <si>
    <t>ADD, non-cancer (mg/kg/day)</t>
  </si>
  <si>
    <t>LADD, cancer (mg/kg/day)</t>
  </si>
  <si>
    <t>AD ((mg/kg/day))</t>
  </si>
  <si>
    <t>High-End</t>
  </si>
  <si>
    <t>Central Tendency</t>
  </si>
  <si>
    <t>ONU</t>
  </si>
  <si>
    <t>Risk Estimation for Acute, Non-Cancer Inhalation Exposures</t>
  </si>
  <si>
    <t>Risk Estimation for Acute, Non-Cancer Dermal Exposures</t>
  </si>
  <si>
    <t>Risk Estimation for Acute, Non-Cancer Aggregate Exposures</t>
  </si>
  <si>
    <t>Health Effect, Endpoint and Study</t>
  </si>
  <si>
    <t>POD (mg/kg/day)</t>
  </si>
  <si>
    <t>Benchmark MOE 
(= Total UF)</t>
  </si>
  <si>
    <t>Acute Exposure Estimates</t>
  </si>
  <si>
    <t>Gloved Scenarios</t>
  </si>
  <si>
    <t>Respirator and Glove Scenario</t>
  </si>
  <si>
    <t>Worker MOE</t>
  </si>
  <si>
    <t>ONU MOE</t>
  </si>
  <si>
    <t>Worker MOE, No Gloves</t>
  </si>
  <si>
    <t>ONU MOE, No Gloves</t>
  </si>
  <si>
    <t>Tox1</t>
  </si>
  <si>
    <t>Risk Estimation for Intermediate, Non-Cancer Inhalation Exposures</t>
  </si>
  <si>
    <t>Risk Estimation for Intermediate, Non-Cancer Dermal Exposures</t>
  </si>
  <si>
    <t>Risk Estimation for Intermediate, Non-Cancer Aggregate Exposures</t>
  </si>
  <si>
    <t>Intermediate Exposure Estimates</t>
  </si>
  <si>
    <t>Tox2</t>
  </si>
  <si>
    <t>Risk Estimation for Chronic, Non-Cancer Inhalation Exposures</t>
  </si>
  <si>
    <t>Risk Estimation for Chronic, Non-Cancer Dermal Exposures</t>
  </si>
  <si>
    <t>Risk Estimation for Chronic, Non-Cancer Aggregate Exposures</t>
  </si>
  <si>
    <t>Chronic Exposure Estimates</t>
  </si>
  <si>
    <t>HED (mg/kg)</t>
  </si>
  <si>
    <t>Tox3</t>
  </si>
  <si>
    <t>Cancer Risks</t>
  </si>
  <si>
    <t>Chronic Cancer Exposure Estimates</t>
  </si>
  <si>
    <t>Aggregate Cancer Risks</t>
  </si>
  <si>
    <t>Risk Estimate</t>
  </si>
  <si>
    <r>
      <t>CSF (mg/kg-day</t>
    </r>
    <r>
      <rPr>
        <b/>
        <vertAlign val="superscript"/>
        <sz val="10"/>
        <color theme="1"/>
        <rFont val="Times New Roman"/>
        <family val="1"/>
      </rPr>
      <t>-1</t>
    </r>
    <r>
      <rPr>
        <b/>
        <sz val="10"/>
        <color theme="1"/>
        <rFont val="Times New Roman"/>
        <family val="1"/>
      </rPr>
      <t>)</t>
    </r>
  </si>
  <si>
    <t>Benchmark</t>
  </si>
  <si>
    <t xml:space="preserve">Worker </t>
  </si>
  <si>
    <t xml:space="preserve">ONU </t>
  </si>
  <si>
    <t>Worker No Gloves</t>
  </si>
  <si>
    <t>ONU No Gloves</t>
  </si>
  <si>
    <t>Worker</t>
  </si>
  <si>
    <t>Tox4</t>
  </si>
  <si>
    <t>Inhalation Cancer Risk Estimates</t>
  </si>
  <si>
    <t>Cancer Risk</t>
  </si>
  <si>
    <t>Dermal Cancer Risk Estimates</t>
  </si>
  <si>
    <t>Aggregate Cancer Risk Estimates</t>
  </si>
  <si>
    <t>ONU: 50th Percentile</t>
  </si>
  <si>
    <t>Baseline Worker</t>
  </si>
  <si>
    <t>ONU: 95th Percentile</t>
  </si>
  <si>
    <t>Worker: 50th Percentile</t>
  </si>
  <si>
    <t>Worker: 95th Percentile</t>
  </si>
  <si>
    <t>Manufacturing</t>
  </si>
  <si>
    <t>8-hr TWA Inhalation Exposures</t>
  </si>
  <si>
    <t>Acute Exposures</t>
  </si>
  <si>
    <t>Chronic, Non-Cancer Exposures</t>
  </si>
  <si>
    <t>Chronic, Cancer Exposures</t>
  </si>
  <si>
    <t>Acute Retained Dose</t>
  </si>
  <si>
    <t>Chronic Retained Dose, Non-Cancer</t>
  </si>
  <si>
    <t>Chronic Retained Dose, Cancer</t>
  </si>
  <si>
    <t>AD (mg/kg-day)</t>
  </si>
  <si>
    <t>ADD (mg/kg-day)</t>
  </si>
  <si>
    <t>LADD (mg/kg-day)</t>
  </si>
  <si>
    <t>Risk Estimation for Inhalation Exposures</t>
  </si>
  <si>
    <t>Risk Estimation for Dermal Exposures</t>
  </si>
  <si>
    <t>Risk Type</t>
  </si>
  <si>
    <t>Toxicity Endpoint</t>
  </si>
  <si>
    <t>Study</t>
  </si>
  <si>
    <t>POD (mg/kg/day) or IUR (ppm-1)</t>
  </si>
  <si>
    <t>Assigned Protection Factor (APF)</t>
  </si>
  <si>
    <t>No Gloves</t>
  </si>
  <si>
    <t>Protection Factor (PF)</t>
  </si>
  <si>
    <t>No Respirator</t>
  </si>
  <si>
    <t>Acute, Non-Cancer</t>
  </si>
  <si>
    <t>Intermediate, Non-Cancer</t>
  </si>
  <si>
    <t>Chronic, Non-Cancer</t>
  </si>
  <si>
    <t>Chronic, Cancer</t>
  </si>
  <si>
    <t>=</t>
  </si>
  <si>
    <t>Exposure Days/yr</t>
  </si>
  <si>
    <t>Eight Hour  TWA Exposures - Vapor</t>
  </si>
  <si>
    <t>Eight Hour  TWA Exposures - Dust</t>
  </si>
  <si>
    <t>Eight Hour  TWA Exposures - All Forms</t>
  </si>
  <si>
    <t>Chronic Average Daily Dose, Non-Cancer Exposures</t>
  </si>
  <si>
    <t>Chronic Lifetime Average Daily Dose, Cancer Exposures</t>
  </si>
  <si>
    <t>C, 8-hr TWA (mg/m3)</t>
  </si>
  <si>
    <t>Column1</t>
  </si>
  <si>
    <t>OES Group</t>
  </si>
  <si>
    <t>OES</t>
  </si>
  <si>
    <t>Worker Type</t>
  </si>
  <si>
    <t>Vapor Exposure Scenario</t>
  </si>
  <si>
    <t>ED_High-End</t>
  </si>
  <si>
    <t>ED_Central Tendency</t>
  </si>
  <si>
    <t>Vapor_High-End</t>
  </si>
  <si>
    <t>Vapor_Central Tendency</t>
  </si>
  <si>
    <t>Dust_High-End</t>
  </si>
  <si>
    <t>Dust_Central Tendency</t>
  </si>
  <si>
    <t>All Forms HE</t>
  </si>
  <si>
    <t>All Forms CT</t>
  </si>
  <si>
    <t>24hr_High-End</t>
  </si>
  <si>
    <t>24hr_Central Tendency</t>
  </si>
  <si>
    <t>Int_High-End</t>
  </si>
  <si>
    <t>Int_Central Tendency</t>
  </si>
  <si>
    <t>ADD_High-End</t>
  </si>
  <si>
    <t>ADD_Central Tendency</t>
  </si>
  <si>
    <t>LADD_High-End</t>
  </si>
  <si>
    <t>LADD_Central Tendency</t>
  </si>
  <si>
    <t>Eight-Hour TWA Data Points</t>
  </si>
  <si>
    <t>Total Data Points</t>
  </si>
  <si>
    <t>Sources &amp; Notes</t>
  </si>
  <si>
    <t>Data Type</t>
  </si>
  <si>
    <t>Average Adult Worker</t>
  </si>
  <si>
    <t>8-hr</t>
  </si>
  <si>
    <t>Central Tendancy is the Midpoint, High-End is Maximum</t>
  </si>
  <si>
    <t>Monitoring Data</t>
  </si>
  <si>
    <t>Surrogate Monitoring Data from MFG</t>
  </si>
  <si>
    <t>Incorporation into Formulations, Mixtures, or Reaction Products</t>
  </si>
  <si>
    <t>PVC Plastics Compounding</t>
  </si>
  <si>
    <t>PNOR for Plastics and Rubber Manufacturing (assessed 45%; respirable dust) + ECJRC Monitoring data for vapor.</t>
  </si>
  <si>
    <t>Monitoring and Modeled Data</t>
  </si>
  <si>
    <t>PVC Plastics Converting</t>
  </si>
  <si>
    <t>Non-PVC Materials Manufacturing (Compounding and Converting)</t>
  </si>
  <si>
    <t>Application of paints and coatings</t>
  </si>
  <si>
    <t>None</t>
  </si>
  <si>
    <t>Sample duration of 1 hour but compared to 8-hr PEL in sample, therefore assumed that the data is representative of full-shift exposure</t>
  </si>
  <si>
    <t>Application of Adhesives and Sealants</t>
  </si>
  <si>
    <t>All samples non-detect</t>
  </si>
  <si>
    <t>Use of Laboratory Chemicals (Solid)</t>
  </si>
  <si>
    <t>PNOR for Scientific/Technical Chemical Use (particulate, assessed at 20%)</t>
  </si>
  <si>
    <t>Modeled Data</t>
  </si>
  <si>
    <t>Use of Laboratory Chemicals (Liquid)</t>
  </si>
  <si>
    <t>Surrogate Monitoring Data from Application of Adhesives/Sealants</t>
  </si>
  <si>
    <t>Use of Industrial Process Solvents</t>
  </si>
  <si>
    <t>Use of Lubricants and Functional Fluids</t>
  </si>
  <si>
    <t>Surrogate Monitoring Data from App of Adhesives/Sealants</t>
  </si>
  <si>
    <t>Use of Penetrants and Inspection Fluids</t>
  </si>
  <si>
    <t xml:space="preserve">Near Field/Far Field Model </t>
  </si>
  <si>
    <t>Recycling</t>
  </si>
  <si>
    <t>PNOR for NAICS 56 - Administrative and Support and Waste Management and Remediation Services (assessed at 45% based on conservative concentration for plastic products)</t>
  </si>
  <si>
    <t>Fabrication or Use of Final Products or Articles</t>
  </si>
  <si>
    <t>HERO ID 198234, Rudel et. Al. (vapor), PNOR for NAICS 337 - Furniture and Related Product Manufacturing (assessed at 45% based on conservative concentration for plastic products)</t>
  </si>
  <si>
    <t>Mixed Monitoring and Modeling Data</t>
  </si>
  <si>
    <t>Waste handling, treatment, and disposal</t>
  </si>
  <si>
    <t>AD, 24-hr TWA (mg/kg/day)</t>
  </si>
  <si>
    <t>ADD, 24-hr TWA (mg/kg/day)</t>
  </si>
  <si>
    <t>LADD, 24-hr TWA (mg/kg/day)</t>
  </si>
  <si>
    <t>Risk Estimation for Aggregate Exposures</t>
  </si>
  <si>
    <t>Glove Protection Factor</t>
  </si>
  <si>
    <t>Respirator Assigned Protection Factors</t>
  </si>
  <si>
    <t>Dermal Dose - Liquid Exposure</t>
  </si>
  <si>
    <t>Dermal Dose - Solid Exposure</t>
  </si>
  <si>
    <t>Acute Retained Dose - Adjusted for Category Type</t>
  </si>
  <si>
    <t>Intermediate Average Daily Dose, Non-Cancer</t>
  </si>
  <si>
    <t>Average Daily Dose, Chronic Non-Cancer</t>
  </si>
  <si>
    <t>Lifetime Average Daily Dose, Chronic Cancer</t>
  </si>
  <si>
    <t>Acute Retained Dose (mg/kg-day)</t>
  </si>
  <si>
    <t>sort</t>
  </si>
  <si>
    <t>High-End Exposure to Liquid</t>
  </si>
  <si>
    <t xml:space="preserve"> Central Tendency Exposure to Liquids</t>
  </si>
  <si>
    <t>High-End Exposure to Solids</t>
  </si>
  <si>
    <t>Central Tendency  Exposure to Solids</t>
  </si>
  <si>
    <t>High-End AD (mg/kg-day)</t>
  </si>
  <si>
    <t>Central Tendency AD (mg/kg-day)</t>
  </si>
  <si>
    <r>
      <t>High-End IADD</t>
    </r>
    <r>
      <rPr>
        <b/>
        <vertAlign val="subscript"/>
        <sz val="10"/>
        <rFont val="Times New Roman"/>
        <family val="1"/>
      </rPr>
      <t xml:space="preserve"> </t>
    </r>
    <r>
      <rPr>
        <b/>
        <sz val="10"/>
        <rFont val="Times New Roman"/>
        <family val="1"/>
      </rPr>
      <t>(mg/kg-day)</t>
    </r>
  </si>
  <si>
    <t>Central Tendency IADD (mg/kg-day)</t>
  </si>
  <si>
    <t>High-End ADD (mg/kg-day)</t>
  </si>
  <si>
    <t>Central Tendency ADD (mg/kg-day)</t>
  </si>
  <si>
    <t>High-End LADD (mg/kg-day)</t>
  </si>
  <si>
    <t>Central Tendency LADD (mg/kg-day)</t>
  </si>
  <si>
    <t>Application of Paints and Coatings</t>
  </si>
  <si>
    <t>Exposure</t>
  </si>
  <si>
    <t>8-hr TWA (mg/m3)</t>
  </si>
  <si>
    <t>Acute Potential Dose Rate</t>
  </si>
  <si>
    <t>APDR (mg/day)</t>
  </si>
  <si>
    <t>Worker Population</t>
  </si>
  <si>
    <t>Exposure Concentration Type</t>
  </si>
  <si>
    <r>
      <t>High-End</t>
    </r>
    <r>
      <rPr>
        <sz val="11"/>
        <color rgb="FF000000"/>
        <rFont val="Times New Roman"/>
        <family val="1"/>
      </rPr>
      <t> </t>
    </r>
  </si>
  <si>
    <t>8-hr TWA Exposure Concentration (mg/m3) - All Routes</t>
  </si>
  <si>
    <t>Dose Rate (APDR, mg/day)</t>
  </si>
  <si>
    <t>Acute (AD, mg/kg-day)</t>
  </si>
  <si>
    <t>Intermediate (IADD, mg/kg-day)</t>
  </si>
  <si>
    <t>Chronic, Non-Cancer (ADD, mg/kg-day)</t>
  </si>
  <si>
    <t>Chronic, Cancer (LADD, mg/kg-day)</t>
  </si>
  <si>
    <r>
      <t>Intermediate Average Daily Dose, Non-Cancer Exposures (IADD) (mg/m</t>
    </r>
    <r>
      <rPr>
        <vertAlign val="superscript"/>
        <sz val="11"/>
        <color theme="1"/>
        <rFont val="Times New Roman"/>
        <family val="1"/>
      </rPr>
      <t>3</t>
    </r>
    <r>
      <rPr>
        <sz val="11"/>
        <color theme="1"/>
        <rFont val="Times New Roman"/>
        <family val="1"/>
      </rPr>
      <t>)</t>
    </r>
  </si>
  <si>
    <t>Chronic Average Daily Dose, Non-Cancer Exposures (ADD) (mg/kg/day)</t>
  </si>
  <si>
    <t>Chronic Lifetime Daily Dose, Cancer Exposures (LADD) (mg/kg/day)</t>
  </si>
  <si>
    <t>Inhalation Exposure Estimates</t>
  </si>
  <si>
    <t>Dermal Exposure Estimates</t>
  </si>
  <si>
    <t>Aggregate Exposure Estimates</t>
  </si>
  <si>
    <t>Population</t>
  </si>
  <si>
    <t>IADD (mg/m3)</t>
  </si>
  <si>
    <t>AD (mg/kg/day)5</t>
  </si>
  <si>
    <t>IADD (mg/m3)6</t>
  </si>
  <si>
    <t>ADD (mg/kg/day)7</t>
  </si>
  <si>
    <t>LADD (mg/kg/day)8</t>
  </si>
  <si>
    <t>Acute</t>
  </si>
  <si>
    <t>Intermed.</t>
  </si>
  <si>
    <r>
      <t>Chroni</t>
    </r>
    <r>
      <rPr>
        <sz val="11"/>
        <color theme="1"/>
        <rFont val="Calibri"/>
        <family val="1"/>
        <scheme val="minor"/>
      </rPr>
      <t>c</t>
    </r>
  </si>
  <si>
    <t>Cancer</t>
  </si>
  <si>
    <t>Inhalation Risk Estimates</t>
  </si>
  <si>
    <t>Dermal Risk Estimates (Benchmark MOE = 30)</t>
  </si>
  <si>
    <t>Aggregate Risk Estimates (Benchmark MOE = 30)</t>
  </si>
  <si>
    <t>Benchmark:</t>
  </si>
  <si>
    <t>N/A</t>
  </si>
  <si>
    <t>POD</t>
  </si>
  <si>
    <r>
      <t>Chroni</t>
    </r>
    <r>
      <rPr>
        <sz val="9.5"/>
        <color rgb="FF000000"/>
        <rFont val="Times New Roman"/>
        <family val="1"/>
      </rPr>
      <t>c</t>
    </r>
  </si>
  <si>
    <t>Look-up Values and Risk Parameter Values</t>
  </si>
  <si>
    <t>AEGL Table</t>
  </si>
  <si>
    <t>AEGL-1</t>
  </si>
  <si>
    <t>AEGL-2</t>
  </si>
  <si>
    <t>AEGL-3</t>
  </si>
  <si>
    <t>Look-up Table Values</t>
  </si>
  <si>
    <t>Code</t>
  </si>
  <si>
    <t>AEGL-1 HEC (mg/m3)</t>
  </si>
  <si>
    <t>AEGL-1 HEC (ppm)</t>
  </si>
  <si>
    <t>AEGL-2 HEC (mg/m3)</t>
  </si>
  <si>
    <t>AEGL-2 HEC (ppm)</t>
  </si>
  <si>
    <t>AEGL-3 HEC (mg/m3)</t>
  </si>
  <si>
    <t>AEGL-3 HEC (ppm)</t>
  </si>
  <si>
    <t>HEC Percentiles</t>
  </si>
  <si>
    <t>Exposure Percentiles</t>
  </si>
  <si>
    <t>Target Cancer Risk Level</t>
  </si>
  <si>
    <t>AEGLs</t>
  </si>
  <si>
    <t>Unknown</t>
  </si>
  <si>
    <t>Maximum</t>
  </si>
  <si>
    <t>99th Percentile</t>
  </si>
  <si>
    <t>HEC</t>
  </si>
  <si>
    <t>95th Percentile</t>
  </si>
  <si>
    <t>50th Percentile</t>
  </si>
  <si>
    <t>Toxicity Table</t>
  </si>
  <si>
    <t>Acute and Chronic, Non-Cancer Parameters</t>
  </si>
  <si>
    <t>Cancer Parameters</t>
  </si>
  <si>
    <t>5th Percentile</t>
  </si>
  <si>
    <t>Health Effect</t>
  </si>
  <si>
    <t>Endpoint</t>
  </si>
  <si>
    <t>HEC (mg/m3)</t>
  </si>
  <si>
    <t>HEC (ppm)</t>
  </si>
  <si>
    <t>HED / POD (mg/kg/day)</t>
  </si>
  <si>
    <t>Benchmark MOE</t>
  </si>
  <si>
    <r>
      <t>IUR (ppm</t>
    </r>
    <r>
      <rPr>
        <b/>
        <vertAlign val="superscript"/>
        <sz val="10"/>
        <rFont val="Times New Roman"/>
        <family val="1"/>
      </rPr>
      <t>-1</t>
    </r>
    <r>
      <rPr>
        <b/>
        <sz val="10"/>
        <rFont val="Times New Roman"/>
        <family val="1"/>
      </rPr>
      <t>)</t>
    </r>
  </si>
  <si>
    <r>
      <t>CSF (mg/kg-day</t>
    </r>
    <r>
      <rPr>
        <b/>
        <vertAlign val="superscript"/>
        <sz val="10"/>
        <rFont val="Times New Roman"/>
        <family val="1"/>
      </rPr>
      <t>-1</t>
    </r>
    <r>
      <rPr>
        <b/>
        <sz val="10"/>
        <rFont val="Times New Roman"/>
        <family val="1"/>
      </rPr>
      <t>)</t>
    </r>
  </si>
  <si>
    <t>Minimum</t>
  </si>
  <si>
    <t>↓ Fetal testicular testosterone</t>
  </si>
  <si>
    <t>--</t>
  </si>
  <si>
    <t>Mean</t>
  </si>
  <si>
    <t>HEC conversion factor</t>
  </si>
  <si>
    <r>
      <t>ppm/mg/m</t>
    </r>
    <r>
      <rPr>
        <vertAlign val="superscript"/>
        <sz val="10"/>
        <color theme="1"/>
        <rFont val="Times New Roman"/>
        <family val="1"/>
      </rPr>
      <t>3</t>
    </r>
  </si>
  <si>
    <t>DBP MW</t>
  </si>
  <si>
    <t>g/mol</t>
  </si>
  <si>
    <t>Occupational Exposure Scenarios</t>
  </si>
  <si>
    <t>Exposure Data Types</t>
  </si>
  <si>
    <t>Manufacturing - 8-hr TWA</t>
  </si>
  <si>
    <t>1a</t>
  </si>
  <si>
    <t>Manufacturing - 12-hr TWA</t>
  </si>
  <si>
    <t>1b</t>
  </si>
  <si>
    <t>Value</t>
  </si>
  <si>
    <t>Unit</t>
  </si>
  <si>
    <t>MW</t>
  </si>
  <si>
    <t>Repackaging</t>
  </si>
  <si>
    <t>Molar Volume</t>
  </si>
  <si>
    <t>L/mol</t>
  </si>
  <si>
    <t>Processing as Reactant/Intermediate - 8-hr TWA</t>
  </si>
  <si>
    <t>12a</t>
  </si>
  <si>
    <t>Parameter Name</t>
  </si>
  <si>
    <t>Symbol</t>
  </si>
  <si>
    <t>Processing as Reactant/Intermediate - 12-hr TWA</t>
  </si>
  <si>
    <t>12b</t>
  </si>
  <si>
    <t>BMDL Percentile</t>
  </si>
  <si>
    <t>Exposure Duration (8-hr)</t>
  </si>
  <si>
    <t>ED_8</t>
  </si>
  <si>
    <t xml:space="preserve">hr/day </t>
  </si>
  <si>
    <t>Exposure Duration (10-hr)</t>
  </si>
  <si>
    <t>ED_10</t>
  </si>
  <si>
    <t>Incorporation into Formulation - Aerosol Packing</t>
  </si>
  <si>
    <t>13a</t>
  </si>
  <si>
    <t>Acute Exposure Averaging Time</t>
  </si>
  <si>
    <t>AT</t>
  </si>
  <si>
    <t>Incorporation into Formulation - Degreasing Solvent</t>
  </si>
  <si>
    <t>13b</t>
  </si>
  <si>
    <t xml:space="preserve">Exposure Frequency </t>
  </si>
  <si>
    <t>EF</t>
  </si>
  <si>
    <t xml:space="preserve">day/yr </t>
  </si>
  <si>
    <t>Incorporation into Formulation - Dry Cleaning Solvent</t>
  </si>
  <si>
    <t>13c</t>
  </si>
  <si>
    <t>Assigned Respirator Protection Factor</t>
  </si>
  <si>
    <t>Exposure Frequency (Intermediate)</t>
  </si>
  <si>
    <t>EFint</t>
  </si>
  <si>
    <t>Incorporation into Formulation - Miscellaneous</t>
  </si>
  <si>
    <t>13d</t>
  </si>
  <si>
    <t>Days for Intermediate Duration</t>
  </si>
  <si>
    <t>ID</t>
  </si>
  <si>
    <t>Open-top Vapor Degreasing</t>
  </si>
  <si>
    <t>2a</t>
  </si>
  <si>
    <t>Working Years Per Lifetime (Mid)</t>
  </si>
  <si>
    <t>WY_mid</t>
  </si>
  <si>
    <t xml:space="preserve">yr </t>
  </si>
  <si>
    <t>Waste Handling, Treatment, and Disposal</t>
  </si>
  <si>
    <t>Working Years Per Lifetime (High)</t>
  </si>
  <si>
    <t>WY_high</t>
  </si>
  <si>
    <t>Closed Loop Vapor Degreasing</t>
  </si>
  <si>
    <t>Lifetime Years for LADD</t>
  </si>
  <si>
    <t>LT</t>
  </si>
  <si>
    <t>Averaging time For ADD (Mid)</t>
  </si>
  <si>
    <t>AT_mid</t>
  </si>
  <si>
    <t xml:space="preserve">hr </t>
  </si>
  <si>
    <t>Conveyorized Vapor Degreasing</t>
  </si>
  <si>
    <t>Averaging time For ADD (High)</t>
  </si>
  <si>
    <t>AT_high</t>
  </si>
  <si>
    <t>Assigned Glove Protection Factor</t>
  </si>
  <si>
    <t>Averaging time For LADD</t>
  </si>
  <si>
    <t>ATc</t>
  </si>
  <si>
    <t>Web Degreasing</t>
  </si>
  <si>
    <t>General uses, PF = 5</t>
  </si>
  <si>
    <t>Commercial uses, PF = 10</t>
  </si>
  <si>
    <t>Cold Cleaning</t>
  </si>
  <si>
    <t>6a</t>
  </si>
  <si>
    <t>Industrial uses, PF = 20</t>
  </si>
  <si>
    <t>6b</t>
  </si>
  <si>
    <t>Aerosol Degreasing/Lubricants</t>
  </si>
  <si>
    <t>7a</t>
  </si>
  <si>
    <t>7b</t>
  </si>
  <si>
    <t>Post-2006 Dry Cleaning (including spot cleaning)</t>
  </si>
  <si>
    <t>8a</t>
  </si>
  <si>
    <t>4th/5th Gen Only Dry Cleaning (including spot cleaning)</t>
  </si>
  <si>
    <t>8b</t>
  </si>
  <si>
    <t>8c</t>
  </si>
  <si>
    <t>Paints/Coatings (commercial)</t>
  </si>
  <si>
    <t>9a</t>
  </si>
  <si>
    <t>Paints/Coatings (industrial)</t>
  </si>
  <si>
    <t>9b</t>
  </si>
  <si>
    <t>Adhesives (commercial)</t>
  </si>
  <si>
    <t>9c</t>
  </si>
  <si>
    <t>Adhesives (industrial)</t>
  </si>
  <si>
    <t>9d</t>
  </si>
  <si>
    <t>Chemical Maskant</t>
  </si>
  <si>
    <t>Industrial Processing Aid</t>
  </si>
  <si>
    <t>Other Industrial Uses - Miscellaneous</t>
  </si>
  <si>
    <t>15a</t>
  </si>
  <si>
    <t>Other Industrial Uses - Textile Processing</t>
  </si>
  <si>
    <t>15b</t>
  </si>
  <si>
    <t>Other Industrial Uses - Wood Furniture Manufacturing</t>
  </si>
  <si>
    <t>15c</t>
  </si>
  <si>
    <t>Other Industrial Uses - Foundry Applications</t>
  </si>
  <si>
    <t>15d</t>
  </si>
  <si>
    <t>Metalworking Fluid</t>
  </si>
  <si>
    <t>Wipe Cleaning and Metal/Stone Polishes</t>
  </si>
  <si>
    <t>Other Spot Cleaning/Spot Removers (Including Carpet Cleaning)</t>
  </si>
  <si>
    <t>Other Commercial Uses - Printing</t>
  </si>
  <si>
    <t>19a</t>
  </si>
  <si>
    <t>Other Commercial Uses - Photocopying</t>
  </si>
  <si>
    <t>19b</t>
  </si>
  <si>
    <t>Other Commercial Uses - Photographic Film</t>
  </si>
  <si>
    <t>19c</t>
  </si>
  <si>
    <t>Other Commercial Uses - Mold Release</t>
  </si>
  <si>
    <t>19d</t>
  </si>
  <si>
    <t>Other DOD Uses - Water Pipe Repair</t>
  </si>
  <si>
    <t>20a</t>
  </si>
  <si>
    <t>Other DOD Uses - Oil analysis</t>
  </si>
  <si>
    <t>20b</t>
  </si>
  <si>
    <t>Disposal/Recycling and Disposal</t>
  </si>
  <si>
    <t>Laboratory Chemicals</t>
  </si>
  <si>
    <t>Exposure Factors</t>
  </si>
  <si>
    <t>Characterization of Value</t>
  </si>
  <si>
    <t>Notes on Values:</t>
  </si>
  <si>
    <t>Body Weight, BW (kg)</t>
  </si>
  <si>
    <t>Per the exposure factors handbook 80 kg is the mean body weight for all adults. The "Female of Reproductive Age" weight is the mean for women 16-50 (listed below).</t>
  </si>
  <si>
    <r>
      <t>1 Hand Surface Area (cm</t>
    </r>
    <r>
      <rPr>
        <b/>
        <vertAlign val="superscript"/>
        <sz val="10"/>
        <color theme="1"/>
        <rFont val="Times New Roman"/>
        <family val="1"/>
      </rPr>
      <t>2</t>
    </r>
    <r>
      <rPr>
        <b/>
        <sz val="10"/>
        <color theme="1"/>
        <rFont val="Times New Roman"/>
        <family val="1"/>
      </rPr>
      <t>)</t>
    </r>
  </si>
  <si>
    <r>
      <t>535/1070 cm</t>
    </r>
    <r>
      <rPr>
        <vertAlign val="superscript"/>
        <sz val="10"/>
        <color theme="1"/>
        <rFont val="Times New Roman"/>
        <family val="1"/>
      </rPr>
      <t>2</t>
    </r>
    <r>
      <rPr>
        <sz val="10"/>
        <color theme="1"/>
        <rFont val="Times New Roman"/>
        <family val="1"/>
      </rPr>
      <t xml:space="preserve"> is the average male 1 hand/2 hand area and 445/890 cm</t>
    </r>
    <r>
      <rPr>
        <vertAlign val="superscript"/>
        <sz val="10"/>
        <color theme="1"/>
        <rFont val="Times New Roman"/>
        <family val="1"/>
      </rPr>
      <t>2</t>
    </r>
    <r>
      <rPr>
        <sz val="10"/>
        <color theme="1"/>
        <rFont val="Times New Roman"/>
        <family val="1"/>
      </rPr>
      <t xml:space="preserve"> is the female average.</t>
    </r>
  </si>
  <si>
    <r>
      <t>2 Hand Surface Area (cm</t>
    </r>
    <r>
      <rPr>
        <b/>
        <vertAlign val="superscript"/>
        <sz val="10"/>
        <color theme="1"/>
        <rFont val="Times New Roman"/>
        <family val="1"/>
      </rPr>
      <t>2</t>
    </r>
    <r>
      <rPr>
        <b/>
        <sz val="10"/>
        <color theme="1"/>
        <rFont val="Times New Roman"/>
        <family val="1"/>
      </rPr>
      <t>)</t>
    </r>
  </si>
  <si>
    <t>Working Years - High-End (yr)</t>
  </si>
  <si>
    <t>Working Years - Central Tendency (yr)</t>
  </si>
  <si>
    <t>Lifetime</t>
  </si>
  <si>
    <r>
      <t>Worker Breathing Rate (m</t>
    </r>
    <r>
      <rPr>
        <vertAlign val="superscript"/>
        <sz val="10"/>
        <color theme="1"/>
        <rFont val="Times New Roman"/>
        <family val="1"/>
      </rPr>
      <t>3</t>
    </r>
    <r>
      <rPr>
        <sz val="10"/>
        <color theme="1"/>
        <rFont val="Times New Roman"/>
        <family val="1"/>
      </rPr>
      <t>/hr)</t>
    </r>
  </si>
  <si>
    <t>Discrete</t>
  </si>
  <si>
    <t>Worker breathing rate is the combined average for men and women.</t>
  </si>
  <si>
    <r>
      <t>Resting Breathing Rate (m</t>
    </r>
    <r>
      <rPr>
        <vertAlign val="superscript"/>
        <sz val="10"/>
        <color theme="1"/>
        <rFont val="Times New Roman"/>
        <family val="1"/>
      </rPr>
      <t>3</t>
    </r>
    <r>
      <rPr>
        <sz val="10"/>
        <color theme="1"/>
        <rFont val="Times New Roman"/>
        <family val="1"/>
      </rPr>
      <t>/hr)</t>
    </r>
  </si>
  <si>
    <t>Woman of Childbearing Age Exposure Factors:</t>
  </si>
  <si>
    <t>Body Weight:</t>
  </si>
  <si>
    <t>From the Exposure Factors Handbook Table 8-5: Mean and Percentile Body Weights (kg) for Females Derived from NHANES (1990-2006) (1)</t>
  </si>
  <si>
    <t>Age 16 to &lt;21 years: 65.9 kg (mean)</t>
  </si>
  <si>
    <t>Age 21 to &lt;30 years: 71.9 kg (mean)</t>
  </si>
  <si>
    <t>Age 30 to &lt;40 years: 74.8 kg (mean)</t>
  </si>
  <si>
    <t>Age 40 to &lt;50 years: 77.1 kg (mean)</t>
  </si>
  <si>
    <t>(1) U.S. Environmental Protection Agency (EPA). (2011) Exposure Factors Handbook: 2011 Edition. National Center for Environmental Assessment, Washington, DC; EPA/600/R-09/052F. Available from the National Technical Information Service, Springfield, VA, and online at http://www.epa.gov/ncea/efh.</t>
  </si>
  <si>
    <t xml:space="preserve">(2) U.S. Bureau of Labor Statistics (BLS), Current Population Survey (CPS) tenure data: Employee Tenure News Release (2014). http://www.bls.gov/news.release/archives/tenure_09182014.htm </t>
  </si>
  <si>
    <t>(3) U.S. Census Bureau, Survey of Income and Program Participation (SIPP): SIPP introduction and history (2019). https://www.census.gov/programs-surveys/sipp/about/sipp-introduction-history.html</t>
  </si>
  <si>
    <t>May 2025</t>
  </si>
  <si>
    <t>Draft Risk Evaluation for Dibutyl Phthalate
[DBP]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</si>
</sst>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00"/>
    <numFmt numFmtId="166" formatCode="0.0E+00"/>
    <numFmt numFmtId="167" formatCode="0.0000"/>
    <numFmt numFmtId="168" formatCode="0.0%"/>
    <numFmt numFmtId="169" formatCode="0.000E+00"/>
    <numFmt numFmtId="170" formatCode="_(* #,##0_);_(* \(#,##0\);_(* &quot;-&quot;??_);_(@_)"/>
    <numFmt numFmtId="171" formatCode="_(* #,##0.0_);_(* \(#,##0.0\);_(* &quot;-&quot;??_);_(@_)"/>
    <numFmt numFmtId="172" formatCode="0.00000000"/>
    <numFmt numFmtId="173" formatCode="#,##0.0"/>
  </numFmts>
  <fonts count="40"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6"/>
      <color theme="1"/>
      <name val="Times New Roman"/>
      <family val="1"/>
    </font>
    <font>
      <b/>
      <i/>
      <sz val="14"/>
      <color theme="1"/>
      <name val="Times New Roman"/>
      <family val="1"/>
    </font>
    <font>
      <sz val="10"/>
      <color theme="1"/>
      <name val="Times New Roman"/>
      <family val="1"/>
    </font>
    <font>
      <sz val="11"/>
      <color theme="1"/>
      <name val="Times New Roman"/>
      <family val="1"/>
    </font>
    <font>
      <b/>
      <sz val="10"/>
      <color theme="1"/>
      <name val="Times New Roman"/>
      <family val="1"/>
    </font>
    <font>
      <b/>
      <sz val="10"/>
      <name val="Times New Roman"/>
      <family val="1"/>
    </font>
    <font>
      <b/>
      <vertAlign val="subscript"/>
      <sz val="10"/>
      <name val="Times New Roman"/>
      <family val="1"/>
    </font>
    <font>
      <b/>
      <vertAlign val="superscript"/>
      <sz val="10"/>
      <name val="Times New Roman"/>
      <family val="1"/>
    </font>
    <font>
      <sz val="10"/>
      <name val="Times New Roman"/>
      <family val="1"/>
    </font>
    <font>
      <sz val="10"/>
      <color rgb="FF000000"/>
      <name val="Times New Roman"/>
      <family val="1"/>
    </font>
    <font>
      <b/>
      <i/>
      <sz val="10"/>
      <name val="Times New Roman"/>
      <family val="1"/>
    </font>
    <font>
      <b/>
      <sz val="10"/>
      <color theme="8" tint="0.79998168889431442"/>
      <name val="Times New Roman"/>
      <family val="1"/>
    </font>
    <font>
      <b/>
      <sz val="10"/>
      <color rgb="FF000000"/>
      <name val="Times New Roman"/>
      <family val="1"/>
    </font>
    <font>
      <vertAlign val="superscript"/>
      <sz val="10"/>
      <color theme="1"/>
      <name val="Times New Roman"/>
      <family val="1"/>
    </font>
    <font>
      <sz val="10"/>
      <color rgb="FFFF0000"/>
      <name val="Times New Roman"/>
      <family val="1"/>
    </font>
    <font>
      <sz val="10"/>
      <color theme="0" tint="-4.9989318521683403E-2"/>
      <name val="Times New Roman"/>
      <family val="1"/>
    </font>
    <font>
      <u/>
      <sz val="10"/>
      <color theme="1"/>
      <name val="Times New Roman"/>
      <family val="1"/>
    </font>
    <font>
      <b/>
      <vertAlign val="superscript"/>
      <sz val="10"/>
      <color theme="1"/>
      <name val="Times New Roman"/>
      <family val="1"/>
    </font>
    <font>
      <b/>
      <sz val="10"/>
      <color theme="9" tint="0.79998168889431442"/>
      <name val="Times New Roman"/>
      <family val="1"/>
    </font>
    <font>
      <b/>
      <sz val="12"/>
      <name val="Times New Roman"/>
      <family val="1"/>
    </font>
    <font>
      <i/>
      <sz val="10"/>
      <color theme="1"/>
      <name val="Times New Roman"/>
      <family val="1"/>
    </font>
    <font>
      <b/>
      <sz val="12"/>
      <color theme="1"/>
      <name val="Times New Roman"/>
      <family val="1"/>
    </font>
    <font>
      <b/>
      <i/>
      <sz val="12"/>
      <name val="Times New Roman"/>
      <family val="1"/>
    </font>
    <font>
      <vertAlign val="subscript"/>
      <sz val="10"/>
      <color theme="1"/>
      <name val="Times New Roman"/>
      <family val="1"/>
    </font>
    <font>
      <sz val="10"/>
      <color theme="1"/>
      <name val="Calibri"/>
      <family val="2"/>
      <scheme val="minor"/>
    </font>
    <font>
      <b/>
      <sz val="10"/>
      <color theme="1"/>
      <name val="Calibri"/>
      <family val="2"/>
      <scheme val="minor"/>
    </font>
    <font>
      <b/>
      <sz val="11"/>
      <color rgb="FF000000"/>
      <name val="Times New Roman"/>
      <family val="1"/>
    </font>
    <font>
      <vertAlign val="superscript"/>
      <sz val="11"/>
      <color theme="1"/>
      <name val="Times New Roman"/>
      <family val="1"/>
    </font>
    <font>
      <b/>
      <sz val="9.5"/>
      <color rgb="FF000000"/>
      <name val="Times New Roman"/>
      <family val="1"/>
    </font>
    <font>
      <sz val="9.5"/>
      <color rgb="FF000000"/>
      <name val="Times New Roman"/>
      <family val="1"/>
    </font>
    <font>
      <sz val="11"/>
      <name val="Calibri"/>
      <family val="2"/>
      <scheme val="minor"/>
    </font>
    <font>
      <sz val="11"/>
      <name val="Times New Roman"/>
      <family val="1"/>
    </font>
    <font>
      <sz val="11"/>
      <color rgb="FF000000"/>
      <name val="Times New Roman"/>
      <family val="1"/>
    </font>
    <font>
      <b/>
      <sz val="11"/>
      <name val="Times New Roman"/>
      <family val="1"/>
    </font>
    <font>
      <sz val="11"/>
      <color theme="1"/>
      <name val="Calibri"/>
      <family val="1"/>
      <scheme val="minor"/>
    </font>
    <font>
      <b/>
      <i/>
      <sz val="16"/>
      <color theme="1"/>
      <name val="Times New Roman"/>
      <family val="1"/>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2F2F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style="medium">
        <color indexed="64"/>
      </left>
      <right style="medium">
        <color auto="1"/>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thin">
        <color theme="0" tint="-0.14996795556505021"/>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auto="1"/>
      </left>
      <right style="dotted">
        <color auto="1"/>
      </right>
      <top/>
      <bottom style="dotted">
        <color auto="1"/>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dotted">
        <color auto="1"/>
      </right>
      <top/>
      <bottom/>
      <diagonal/>
    </border>
    <border>
      <left style="medium">
        <color auto="1"/>
      </left>
      <right style="dotted">
        <color auto="1"/>
      </right>
      <top style="medium">
        <color auto="1"/>
      </top>
      <bottom/>
      <diagonal/>
    </border>
    <border>
      <left style="medium">
        <color auto="1"/>
      </left>
      <right style="dotted">
        <color auto="1"/>
      </right>
      <top/>
      <bottom style="medium">
        <color indexed="64"/>
      </bottom>
      <diagonal/>
    </border>
    <border>
      <left style="dotted">
        <color auto="1"/>
      </left>
      <right style="dotted">
        <color auto="1"/>
      </right>
      <top style="medium">
        <color indexed="64"/>
      </top>
      <bottom/>
      <diagonal/>
    </border>
    <border>
      <left style="dotted">
        <color indexed="64"/>
      </left>
      <right style="dotted">
        <color auto="1"/>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auto="1"/>
      </left>
      <right/>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dotted">
        <color auto="1"/>
      </left>
      <right/>
      <top style="medium">
        <color auto="1"/>
      </top>
      <bottom/>
      <diagonal/>
    </border>
    <border>
      <left style="dotted">
        <color auto="1"/>
      </left>
      <right/>
      <top/>
      <bottom style="dotted">
        <color auto="1"/>
      </bottom>
      <diagonal/>
    </border>
    <border>
      <left style="dotted">
        <color auto="1"/>
      </left>
      <right/>
      <top/>
      <bottom style="medium">
        <color indexed="64"/>
      </bottom>
      <diagonal/>
    </border>
    <border>
      <left style="dotted">
        <color auto="1"/>
      </left>
      <right style="dotted">
        <color auto="1"/>
      </right>
      <top/>
      <bottom/>
      <diagonal/>
    </border>
    <border>
      <left style="dotted">
        <color auto="1"/>
      </left>
      <right style="medium">
        <color auto="1"/>
      </right>
      <top style="medium">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medium">
        <color indexed="64"/>
      </top>
      <bottom/>
      <diagonal/>
    </border>
    <border>
      <left style="medium">
        <color indexed="64"/>
      </left>
      <right style="medium">
        <color indexed="64"/>
      </right>
      <top style="thin">
        <color theme="1"/>
      </top>
      <bottom/>
      <diagonal/>
    </border>
    <border>
      <left/>
      <right style="medium">
        <color indexed="64"/>
      </right>
      <top style="thin">
        <color auto="1"/>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auto="1"/>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top style="thin">
        <color rgb="FF000000"/>
      </top>
      <bottom/>
      <diagonal/>
    </border>
    <border>
      <left style="thin">
        <color auto="1"/>
      </left>
      <right/>
      <top/>
      <bottom style="medium">
        <color rgb="FF000000"/>
      </bottom>
      <diagonal/>
    </border>
    <border>
      <left/>
      <right style="thin">
        <color indexed="64"/>
      </right>
      <top style="thin">
        <color rgb="FF000000"/>
      </top>
      <bottom style="thin">
        <color indexed="64"/>
      </bottom>
      <diagonal/>
    </border>
    <border>
      <left/>
      <right style="thin">
        <color auto="1"/>
      </right>
      <top style="thin">
        <color auto="1"/>
      </top>
      <bottom style="medium">
        <color rgb="FF000000"/>
      </bottom>
      <diagonal/>
    </border>
    <border>
      <left style="medium">
        <color indexed="64"/>
      </left>
      <right style="thin">
        <color auto="1"/>
      </right>
      <top style="double">
        <color indexed="64"/>
      </top>
      <bottom/>
      <diagonal/>
    </border>
    <border>
      <left/>
      <right style="medium">
        <color indexed="64"/>
      </right>
      <top style="medium">
        <color indexed="64"/>
      </top>
      <bottom/>
      <diagonal/>
    </border>
    <border>
      <left style="thin">
        <color auto="1"/>
      </left>
      <right style="thin">
        <color auto="1"/>
      </right>
      <top/>
      <bottom style="medium">
        <color rgb="FF000000"/>
      </bottom>
      <diagonal/>
    </border>
    <border>
      <left style="thin">
        <color auto="1"/>
      </left>
      <right style="thin">
        <color auto="1"/>
      </right>
      <top style="medium">
        <color auto="1"/>
      </top>
      <bottom style="medium">
        <color rgb="FF000000"/>
      </bottom>
      <diagonal/>
    </border>
    <border>
      <left style="medium">
        <color rgb="FF000000"/>
      </left>
      <right style="thin">
        <color indexed="64"/>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diagonal/>
    </border>
    <border>
      <left style="medium">
        <color rgb="FF000000"/>
      </left>
      <right style="medium">
        <color auto="1"/>
      </right>
      <top style="medium">
        <color auto="1"/>
      </top>
      <bottom/>
      <diagonal/>
    </border>
    <border>
      <left style="thin">
        <color auto="1"/>
      </left>
      <right style="medium">
        <color rgb="FF000000"/>
      </right>
      <top style="medium">
        <color auto="1"/>
      </top>
      <bottom style="thin">
        <color auto="1"/>
      </bottom>
      <diagonal/>
    </border>
    <border>
      <left style="medium">
        <color rgb="FF000000"/>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style="medium">
        <color indexed="64"/>
      </top>
      <bottom style="medium">
        <color rgb="FF000000"/>
      </bottom>
      <diagonal/>
    </border>
    <border>
      <left style="thin">
        <color auto="1"/>
      </left>
      <right style="medium">
        <color rgb="FF000000"/>
      </right>
      <top style="medium">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medium">
        <color rgb="FF000000"/>
      </bottom>
      <diagonal/>
    </border>
  </borders>
  <cellStyleXfs count="4">
    <xf numFmtId="0" fontId="0"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667">
    <xf numFmtId="0" fontId="0" fillId="0" borderId="0" xfId="0"/>
    <xf numFmtId="0" fontId="4" fillId="3" borderId="0" xfId="0" applyFont="1" applyFill="1" applyAlignment="1" applyProtection="1">
      <alignment horizontal="center" vertical="center" wrapText="1"/>
    </xf>
    <xf numFmtId="0" fontId="7" fillId="3" borderId="0" xfId="0" applyFont="1" applyFill="1" applyProtection="1"/>
    <xf numFmtId="0" fontId="5" fillId="3" borderId="0" xfId="0" quotePrefix="1" applyFont="1" applyFill="1" applyAlignment="1" applyProtection="1">
      <alignment horizontal="center"/>
    </xf>
    <xf numFmtId="49" fontId="39" fillId="3" borderId="0" xfId="0" applyNumberFormat="1" applyFont="1" applyFill="1" applyProtection="1"/>
    <xf numFmtId="0" fontId="25"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Protection="1"/>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25" fillId="3" borderId="0" xfId="0" applyFont="1" applyFill="1" applyProtection="1"/>
    <xf numFmtId="0" fontId="6" fillId="3" borderId="0" xfId="0" applyFont="1" applyFill="1" applyProtection="1"/>
    <xf numFmtId="0" fontId="8" fillId="6" borderId="1" xfId="0" applyFont="1" applyFill="1" applyBorder="1" applyAlignment="1" applyProtection="1">
      <alignment horizontal="center"/>
    </xf>
    <xf numFmtId="0" fontId="8" fillId="13" borderId="1" xfId="0" applyFont="1" applyFill="1" applyBorder="1" applyAlignment="1" applyProtection="1">
      <alignment horizontal="left"/>
    </xf>
    <xf numFmtId="0" fontId="6" fillId="3" borderId="1" xfId="0" applyFont="1" applyFill="1" applyBorder="1" applyAlignment="1" applyProtection="1">
      <alignment vertical="center"/>
    </xf>
    <xf numFmtId="0" fontId="6" fillId="3" borderId="1" xfId="0" quotePrefix="1" applyFont="1" applyFill="1" applyBorder="1" applyAlignment="1" applyProtection="1">
      <alignment vertical="center" wrapText="1"/>
    </xf>
    <xf numFmtId="0" fontId="6" fillId="3" borderId="1" xfId="0" quotePrefix="1" applyFont="1" applyFill="1" applyBorder="1" applyAlignment="1" applyProtection="1">
      <alignment wrapText="1"/>
    </xf>
    <xf numFmtId="0" fontId="6" fillId="3" borderId="1" xfId="0" quotePrefix="1" applyFont="1" applyFill="1" applyBorder="1" applyAlignment="1" applyProtection="1">
      <alignment vertical="center"/>
    </xf>
    <xf numFmtId="0" fontId="8" fillId="13" borderId="52" xfId="0" applyFont="1" applyFill="1" applyBorder="1" applyAlignment="1" applyProtection="1">
      <alignment horizontal="left"/>
    </xf>
    <xf numFmtId="0" fontId="8" fillId="13" borderId="71" xfId="0" applyFont="1" applyFill="1" applyBorder="1" applyAlignment="1" applyProtection="1">
      <alignment horizontal="left"/>
    </xf>
    <xf numFmtId="0" fontId="8" fillId="13" borderId="70" xfId="0" applyFont="1" applyFill="1" applyBorder="1" applyAlignment="1" applyProtection="1">
      <alignment horizontal="left"/>
    </xf>
    <xf numFmtId="0" fontId="6" fillId="3" borderId="1" xfId="0" applyFont="1" applyFill="1" applyBorder="1" applyAlignment="1" applyProtection="1">
      <alignment horizontal="left" wrapText="1"/>
    </xf>
    <xf numFmtId="0" fontId="6" fillId="3" borderId="1" xfId="0" applyFont="1" applyFill="1" applyBorder="1" applyAlignment="1" applyProtection="1">
      <alignment horizontal="left"/>
    </xf>
    <xf numFmtId="0" fontId="8" fillId="3" borderId="31" xfId="0" applyFont="1" applyFill="1" applyBorder="1" applyAlignment="1" applyProtection="1">
      <alignment horizontal="left"/>
    </xf>
    <xf numFmtId="0" fontId="8" fillId="3" borderId="24" xfId="0" applyFont="1" applyFill="1" applyBorder="1" applyAlignment="1" applyProtection="1">
      <alignment horizontal="left"/>
    </xf>
    <xf numFmtId="0" fontId="6" fillId="3" borderId="1" xfId="0" quotePrefix="1" applyFont="1" applyFill="1" applyBorder="1" applyAlignment="1" applyProtection="1">
      <alignment horizontal="left" wrapText="1"/>
    </xf>
    <xf numFmtId="0" fontId="6" fillId="3" borderId="0" xfId="0" applyFont="1" applyFill="1" applyAlignment="1" applyProtection="1">
      <alignment vertical="center"/>
    </xf>
    <xf numFmtId="0" fontId="6"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3" borderId="0" xfId="0" applyFont="1" applyFill="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40" xfId="0" applyFont="1" applyFill="1" applyBorder="1" applyAlignment="1" applyProtection="1">
      <alignment horizontal="center" vertical="center" wrapText="1"/>
    </xf>
    <xf numFmtId="0" fontId="14" fillId="5" borderId="41"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84" xfId="0" applyFont="1" applyFill="1" applyBorder="1" applyAlignment="1" applyProtection="1">
      <alignment horizontal="center" vertical="center" wrapText="1"/>
    </xf>
    <xf numFmtId="0" fontId="12" fillId="3" borderId="0" xfId="0" applyFont="1" applyFill="1" applyProtection="1"/>
    <xf numFmtId="0" fontId="9" fillId="5" borderId="35"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1" fontId="12" fillId="2" borderId="16" xfId="2" applyNumberFormat="1"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vertical="center" wrapText="1"/>
    </xf>
    <xf numFmtId="1" fontId="12" fillId="3" borderId="0" xfId="2" applyNumberFormat="1" applyFont="1" applyFill="1" applyBorder="1" applyAlignment="1" applyProtection="1">
      <alignment horizontal="center" vertical="center" wrapText="1"/>
    </xf>
    <xf numFmtId="0" fontId="14" fillId="3" borderId="0" xfId="0" applyFont="1" applyFill="1" applyAlignment="1" applyProtection="1">
      <alignment vertical="center"/>
    </xf>
    <xf numFmtId="0" fontId="8" fillId="3" borderId="0" xfId="0" applyFont="1" applyFill="1" applyAlignment="1" applyProtection="1">
      <alignment vertical="center"/>
    </xf>
    <xf numFmtId="0" fontId="22" fillId="3" borderId="30" xfId="0" applyFont="1" applyFill="1" applyBorder="1" applyAlignment="1" applyProtection="1">
      <alignment vertical="center"/>
    </xf>
    <xf numFmtId="0" fontId="22" fillId="3" borderId="0" xfId="0" applyFont="1" applyFill="1" applyAlignment="1" applyProtection="1">
      <alignment vertical="center"/>
    </xf>
    <xf numFmtId="0" fontId="6" fillId="3" borderId="0" xfId="0" applyFont="1" applyFill="1" applyAlignment="1" applyProtection="1">
      <alignment vertical="center" wrapText="1"/>
    </xf>
    <xf numFmtId="0" fontId="9" fillId="5" borderId="34"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9" fillId="5" borderId="17"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118" xfId="0" applyFont="1" applyFill="1" applyBorder="1" applyAlignment="1" applyProtection="1">
      <alignment horizontal="center" vertical="center"/>
    </xf>
    <xf numFmtId="0" fontId="9" fillId="5" borderId="119" xfId="0" applyFont="1" applyFill="1" applyBorder="1" applyAlignment="1" applyProtection="1">
      <alignment horizontal="center" vertical="center" wrapText="1"/>
    </xf>
    <xf numFmtId="0" fontId="9" fillId="5" borderId="120" xfId="0" applyFont="1" applyFill="1" applyBorder="1" applyAlignment="1" applyProtection="1">
      <alignment horizontal="center" vertical="center" wrapText="1"/>
    </xf>
    <xf numFmtId="0" fontId="9" fillId="5" borderId="121" xfId="0"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xf>
    <xf numFmtId="0" fontId="9" fillId="5" borderId="26"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3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0" fontId="9" fillId="5" borderId="122" xfId="0" applyFont="1" applyFill="1" applyBorder="1" applyAlignment="1" applyProtection="1">
      <alignment horizontal="center" vertical="center"/>
    </xf>
    <xf numFmtId="0" fontId="9" fillId="5" borderId="123"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79" xfId="0" applyFont="1" applyBorder="1" applyAlignment="1" applyProtection="1">
      <alignment vertical="center" wrapText="1"/>
    </xf>
    <xf numFmtId="2" fontId="6" fillId="0" borderId="34" xfId="0" applyNumberFormat="1" applyFont="1" applyBorder="1" applyAlignment="1" applyProtection="1">
      <alignment horizontal="center" vertical="center"/>
    </xf>
    <xf numFmtId="2" fontId="6" fillId="0" borderId="25" xfId="0" applyNumberFormat="1" applyFont="1" applyBorder="1" applyAlignment="1" applyProtection="1">
      <alignment horizontal="center" vertical="center"/>
    </xf>
    <xf numFmtId="2" fontId="6" fillId="0" borderId="27" xfId="0" applyNumberFormat="1" applyFont="1" applyBorder="1" applyAlignment="1" applyProtection="1">
      <alignment horizontal="center" vertical="center"/>
    </xf>
    <xf numFmtId="165" fontId="12" fillId="3" borderId="0" xfId="0" applyNumberFormat="1" applyFont="1" applyFill="1" applyAlignment="1" applyProtection="1">
      <alignment horizontal="center" vertical="center"/>
    </xf>
    <xf numFmtId="0" fontId="6" fillId="0" borderId="55" xfId="0" applyFont="1" applyBorder="1" applyAlignment="1" applyProtection="1">
      <alignment vertical="center" wrapText="1"/>
    </xf>
    <xf numFmtId="0" fontId="6" fillId="2" borderId="124" xfId="0" applyFont="1" applyFill="1" applyBorder="1" applyAlignment="1" applyProtection="1">
      <alignment horizontal="center" vertical="center" wrapText="1"/>
    </xf>
    <xf numFmtId="2" fontId="6" fillId="0" borderId="15" xfId="0" applyNumberFormat="1" applyFont="1" applyBorder="1" applyAlignment="1" applyProtection="1">
      <alignment horizontal="center" vertical="center"/>
    </xf>
    <xf numFmtId="2" fontId="6" fillId="0" borderId="125" xfId="0" applyNumberFormat="1" applyFont="1" applyBorder="1" applyAlignment="1" applyProtection="1">
      <alignment horizontal="center" vertical="center"/>
    </xf>
    <xf numFmtId="0" fontId="6" fillId="2" borderId="50" xfId="0" applyFont="1" applyFill="1" applyBorder="1" applyAlignment="1" applyProtection="1">
      <alignment horizontal="center" vertical="center" wrapText="1"/>
    </xf>
    <xf numFmtId="0" fontId="6" fillId="0" borderId="58" xfId="0" applyFont="1" applyBorder="1" applyAlignment="1" applyProtection="1">
      <alignment vertical="center" wrapText="1"/>
    </xf>
    <xf numFmtId="2" fontId="6" fillId="0" borderId="33" xfId="0" applyNumberFormat="1" applyFont="1" applyBorder="1" applyAlignment="1" applyProtection="1">
      <alignment horizontal="center" vertical="center"/>
    </xf>
    <xf numFmtId="2" fontId="6" fillId="0" borderId="31" xfId="0" applyNumberFormat="1" applyFont="1" applyBorder="1" applyAlignment="1" applyProtection="1">
      <alignment horizontal="center" vertical="center"/>
    </xf>
    <xf numFmtId="2" fontId="6" fillId="0" borderId="32" xfId="0" applyNumberFormat="1" applyFont="1" applyBorder="1" applyAlignment="1" applyProtection="1">
      <alignment horizontal="center" vertical="center"/>
    </xf>
    <xf numFmtId="0" fontId="6" fillId="0" borderId="56" xfId="0" applyFont="1" applyBorder="1" applyAlignment="1" applyProtection="1">
      <alignment vertical="center" wrapText="1"/>
    </xf>
    <xf numFmtId="0" fontId="6" fillId="2" borderId="126"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xf>
    <xf numFmtId="0" fontId="6" fillId="0" borderId="48" xfId="0" applyFont="1" applyBorder="1" applyAlignment="1" applyProtection="1">
      <alignment vertical="center" wrapText="1"/>
    </xf>
    <xf numFmtId="2" fontId="6" fillId="0" borderId="17" xfId="0" applyNumberFormat="1" applyFont="1" applyBorder="1" applyAlignment="1" applyProtection="1">
      <alignment horizontal="center" vertical="center"/>
    </xf>
    <xf numFmtId="2" fontId="6" fillId="0" borderId="19" xfId="0" applyNumberFormat="1" applyFont="1" applyBorder="1" applyAlignment="1" applyProtection="1">
      <alignment horizontal="center" vertical="center"/>
    </xf>
    <xf numFmtId="0" fontId="6" fillId="0" borderId="36" xfId="0" applyFont="1" applyBorder="1" applyAlignment="1" applyProtection="1">
      <alignment vertical="center" wrapText="1"/>
    </xf>
    <xf numFmtId="0" fontId="6" fillId="2" borderId="124"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2" fontId="6" fillId="0" borderId="22" xfId="0" applyNumberFormat="1" applyFont="1" applyBorder="1" applyAlignment="1" applyProtection="1">
      <alignment horizontal="center" vertical="center"/>
    </xf>
    <xf numFmtId="2" fontId="6" fillId="0" borderId="16" xfId="0" applyNumberFormat="1" applyFont="1" applyBorder="1" applyAlignment="1" applyProtection="1">
      <alignment horizontal="center" vertical="center"/>
    </xf>
    <xf numFmtId="2" fontId="6" fillId="0" borderId="23" xfId="0" applyNumberFormat="1" applyFont="1" applyBorder="1" applyAlignment="1" applyProtection="1">
      <alignment horizontal="center" vertical="center"/>
    </xf>
    <xf numFmtId="2" fontId="6" fillId="0" borderId="40" xfId="0" applyNumberFormat="1" applyFont="1" applyBorder="1" applyAlignment="1" applyProtection="1">
      <alignment horizontal="center" vertical="center"/>
    </xf>
    <xf numFmtId="2" fontId="6" fillId="0" borderId="41" xfId="0" applyNumberFormat="1" applyFont="1" applyBorder="1" applyAlignment="1" applyProtection="1">
      <alignment horizontal="center" vertical="center"/>
    </xf>
    <xf numFmtId="2" fontId="6" fillId="3" borderId="0" xfId="0" applyNumberFormat="1" applyFont="1" applyFill="1" applyAlignment="1" applyProtection="1">
      <alignment vertical="center"/>
    </xf>
    <xf numFmtId="0" fontId="6" fillId="2" borderId="127" xfId="0" applyFont="1" applyFill="1" applyBorder="1" applyAlignment="1" applyProtection="1">
      <alignment horizontal="center" vertical="center"/>
    </xf>
    <xf numFmtId="0" fontId="6" fillId="0" borderId="128" xfId="0" applyFont="1" applyBorder="1" applyAlignment="1" applyProtection="1">
      <alignment vertical="center" wrapText="1"/>
    </xf>
    <xf numFmtId="2" fontId="6" fillId="0" borderId="117" xfId="0" applyNumberFormat="1" applyFont="1" applyBorder="1" applyAlignment="1" applyProtection="1">
      <alignment horizontal="center" vertical="center"/>
    </xf>
    <xf numFmtId="2" fontId="6" fillId="0" borderId="129" xfId="0" applyNumberFormat="1" applyFont="1" applyBorder="1" applyAlignment="1" applyProtection="1">
      <alignment horizontal="center" vertical="center"/>
    </xf>
    <xf numFmtId="0" fontId="9" fillId="3" borderId="0" xfId="0" applyFont="1" applyFill="1" applyAlignment="1" applyProtection="1">
      <alignment vertical="center" wrapText="1"/>
    </xf>
    <xf numFmtId="0" fontId="6" fillId="0" borderId="0" xfId="0" applyFont="1" applyAlignment="1" applyProtection="1">
      <alignment vertical="center"/>
    </xf>
    <xf numFmtId="3" fontId="12" fillId="3" borderId="0" xfId="0" applyNumberFormat="1" applyFont="1" applyFill="1" applyAlignment="1" applyProtection="1">
      <alignment horizontal="center" vertical="center" wrapText="1"/>
    </xf>
    <xf numFmtId="0" fontId="9" fillId="3" borderId="0" xfId="0" applyFont="1" applyFill="1" applyAlignment="1" applyProtection="1">
      <alignment vertical="center"/>
    </xf>
    <xf numFmtId="0" fontId="9" fillId="3" borderId="3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9" fillId="5" borderId="17"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xf>
    <xf numFmtId="0" fontId="9" fillId="7" borderId="19" xfId="0" applyFont="1" applyFill="1" applyBorder="1" applyAlignment="1" applyProtection="1">
      <alignment horizontal="center" vertical="center" wrapText="1"/>
    </xf>
    <xf numFmtId="0" fontId="9" fillId="5" borderId="55" xfId="0" applyFont="1" applyFill="1" applyBorder="1" applyAlignment="1" applyProtection="1">
      <alignment horizontal="center" vertical="center" wrapText="1"/>
    </xf>
    <xf numFmtId="0" fontId="9" fillId="5" borderId="53" xfId="0" applyFont="1" applyFill="1" applyBorder="1" applyAlignment="1" applyProtection="1">
      <alignment horizontal="center" vertical="center" wrapText="1"/>
    </xf>
    <xf numFmtId="0" fontId="9" fillId="5" borderId="80" xfId="0" applyFont="1" applyFill="1" applyBorder="1" applyAlignment="1" applyProtection="1">
      <alignment horizontal="center" vertical="center"/>
    </xf>
    <xf numFmtId="0" fontId="9" fillId="7" borderId="15" xfId="0" applyFont="1" applyFill="1" applyBorder="1" applyAlignment="1" applyProtection="1">
      <alignment vertical="center" wrapText="1"/>
    </xf>
    <xf numFmtId="1" fontId="9" fillId="7" borderId="15" xfId="0" applyNumberFormat="1" applyFont="1" applyFill="1" applyBorder="1" applyAlignment="1" applyProtection="1">
      <alignment horizontal="center" vertical="center" wrapText="1"/>
    </xf>
    <xf numFmtId="0" fontId="9" fillId="7" borderId="19" xfId="0" applyFont="1" applyFill="1" applyBorder="1" applyAlignment="1" applyProtection="1">
      <alignment vertical="center" wrapText="1"/>
    </xf>
    <xf numFmtId="0" fontId="9" fillId="5" borderId="33" xfId="0" applyFont="1" applyFill="1" applyBorder="1" applyAlignment="1" applyProtection="1">
      <alignment horizontal="center" vertical="center" wrapText="1"/>
    </xf>
    <xf numFmtId="0" fontId="9" fillId="5" borderId="131"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168" fontId="9" fillId="5" borderId="32" xfId="0" applyNumberFormat="1" applyFont="1" applyFill="1" applyBorder="1" applyAlignment="1" applyProtection="1">
      <alignment horizontal="center" vertical="center" wrapText="1"/>
    </xf>
    <xf numFmtId="0" fontId="9" fillId="5" borderId="82" xfId="0" applyFont="1" applyFill="1" applyBorder="1" applyAlignment="1" applyProtection="1">
      <alignment horizontal="center" vertical="center" wrapText="1"/>
    </xf>
    <xf numFmtId="0" fontId="9" fillId="5" borderId="116"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xf>
    <xf numFmtId="0" fontId="12" fillId="2" borderId="34" xfId="0"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xf>
    <xf numFmtId="0" fontId="6" fillId="3" borderId="15" xfId="0" applyFont="1" applyFill="1" applyBorder="1" applyAlignment="1" applyProtection="1">
      <alignment vertical="center"/>
    </xf>
    <xf numFmtId="0" fontId="6" fillId="3" borderId="15" xfId="0" applyFont="1" applyFill="1" applyBorder="1" applyAlignment="1" applyProtection="1">
      <alignment horizontal="center" vertical="center"/>
    </xf>
    <xf numFmtId="165" fontId="12" fillId="0" borderId="15" xfId="0" applyNumberFormat="1" applyFont="1" applyBorder="1" applyAlignment="1" applyProtection="1">
      <alignment horizontal="center" vertical="center"/>
    </xf>
    <xf numFmtId="2" fontId="12" fillId="0" borderId="15"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1" fontId="6" fillId="3" borderId="24" xfId="0" applyNumberFormat="1" applyFont="1" applyFill="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2" borderId="39" xfId="0" applyFont="1" applyFill="1" applyBorder="1" applyAlignment="1" applyProtection="1">
      <alignment horizontal="center" vertical="center" wrapText="1"/>
    </xf>
    <xf numFmtId="1" fontId="6" fillId="3" borderId="37" xfId="0" applyNumberFormat="1" applyFont="1" applyFill="1" applyBorder="1" applyAlignment="1" applyProtection="1">
      <alignment horizontal="center" vertical="center"/>
    </xf>
    <xf numFmtId="0" fontId="6" fillId="3" borderId="16" xfId="0" applyFont="1" applyFill="1" applyBorder="1" applyAlignment="1" applyProtection="1">
      <alignment vertical="center"/>
    </xf>
    <xf numFmtId="0" fontId="6" fillId="3" borderId="16" xfId="0" applyFont="1" applyFill="1" applyBorder="1" applyAlignment="1" applyProtection="1">
      <alignment horizontal="center" vertical="center"/>
    </xf>
    <xf numFmtId="165" fontId="12" fillId="0" borderId="37" xfId="0" applyNumberFormat="1" applyFont="1" applyBorder="1" applyAlignment="1" applyProtection="1">
      <alignment horizontal="center" vertical="center"/>
    </xf>
    <xf numFmtId="2" fontId="12" fillId="0" borderId="37" xfId="0" applyNumberFormat="1" applyFont="1" applyBorder="1" applyAlignment="1" applyProtection="1">
      <alignment horizontal="center" vertical="center"/>
    </xf>
    <xf numFmtId="2" fontId="12" fillId="0" borderId="78" xfId="0" applyNumberFormat="1" applyFont="1" applyBorder="1" applyAlignment="1" applyProtection="1">
      <alignment horizontal="center" vertical="center"/>
    </xf>
    <xf numFmtId="165" fontId="12" fillId="0" borderId="37" xfId="0" applyNumberFormat="1"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xf>
    <xf numFmtId="165" fontId="12" fillId="0" borderId="16" xfId="0" applyNumberFormat="1" applyFont="1" applyBorder="1" applyAlignment="1" applyProtection="1">
      <alignment horizontal="center" vertical="center"/>
    </xf>
    <xf numFmtId="2" fontId="12" fillId="0" borderId="16" xfId="0" applyNumberFormat="1" applyFont="1" applyBorder="1" applyAlignment="1" applyProtection="1">
      <alignment horizontal="center" vertical="center"/>
    </xf>
    <xf numFmtId="2" fontId="12" fillId="0" borderId="23" xfId="0" applyNumberFormat="1" applyFont="1" applyBorder="1" applyAlignment="1" applyProtection="1">
      <alignment horizontal="center" vertical="center"/>
    </xf>
    <xf numFmtId="0" fontId="9" fillId="5" borderId="34" xfId="0"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wrapText="1"/>
    </xf>
    <xf numFmtId="172" fontId="12" fillId="0" borderId="15" xfId="0" applyNumberFormat="1" applyFont="1" applyBorder="1" applyAlignment="1" applyProtection="1">
      <alignment horizontal="center" vertical="center"/>
    </xf>
    <xf numFmtId="165" fontId="12" fillId="0" borderId="19" xfId="0" applyNumberFormat="1" applyFont="1" applyBorder="1" applyAlignment="1" applyProtection="1">
      <alignment horizontal="center" vertical="center"/>
    </xf>
    <xf numFmtId="165" fontId="12" fillId="0" borderId="43" xfId="0" applyNumberFormat="1" applyFont="1" applyBorder="1" applyAlignment="1" applyProtection="1">
      <alignment horizontal="center" vertical="center"/>
    </xf>
    <xf numFmtId="0" fontId="9" fillId="3" borderId="30" xfId="0" applyFont="1" applyFill="1" applyBorder="1" applyAlignment="1" applyProtection="1">
      <alignment vertical="center"/>
    </xf>
    <xf numFmtId="0" fontId="12" fillId="3" borderId="30"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165" fontId="9" fillId="3" borderId="30" xfId="0" applyNumberFormat="1" applyFont="1" applyFill="1" applyBorder="1" applyAlignment="1" applyProtection="1">
      <alignment vertical="center" wrapText="1"/>
    </xf>
    <xf numFmtId="0" fontId="9" fillId="3" borderId="30" xfId="0" applyFont="1" applyFill="1" applyBorder="1" applyAlignment="1" applyProtection="1">
      <alignment vertical="center" wrapText="1"/>
    </xf>
    <xf numFmtId="0" fontId="9" fillId="5" borderId="39"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xf>
    <xf numFmtId="1" fontId="12" fillId="0" borderId="15" xfId="0" applyNumberFormat="1" applyFont="1" applyBorder="1" applyAlignment="1" applyProtection="1">
      <alignment horizontal="center" vertical="center"/>
    </xf>
    <xf numFmtId="1" fontId="12" fillId="0" borderId="19" xfId="0" applyNumberFormat="1" applyFont="1" applyBorder="1" applyAlignment="1" applyProtection="1">
      <alignment horizontal="center" vertical="center"/>
    </xf>
    <xf numFmtId="1" fontId="6" fillId="3" borderId="25" xfId="0" applyNumberFormat="1" applyFont="1" applyFill="1" applyBorder="1" applyAlignment="1" applyProtection="1">
      <alignment horizontal="center" vertical="center"/>
    </xf>
    <xf numFmtId="2" fontId="12" fillId="3" borderId="0" xfId="0" applyNumberFormat="1" applyFont="1" applyFill="1" applyAlignment="1" applyProtection="1">
      <alignment horizontal="center" vertical="center"/>
    </xf>
    <xf numFmtId="1" fontId="12" fillId="0" borderId="16" xfId="0" applyNumberFormat="1" applyFont="1" applyBorder="1" applyAlignment="1" applyProtection="1">
      <alignment horizontal="center" vertical="center"/>
    </xf>
    <xf numFmtId="1" fontId="12" fillId="0" borderId="23"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wrapText="1"/>
    </xf>
    <xf numFmtId="1" fontId="9" fillId="3" borderId="0" xfId="0" applyNumberFormat="1" applyFont="1" applyFill="1" applyAlignment="1" applyProtection="1">
      <alignment horizontal="center" vertical="center" wrapText="1"/>
    </xf>
    <xf numFmtId="169" fontId="12" fillId="3" borderId="0" xfId="0" applyNumberFormat="1" applyFont="1" applyFill="1" applyAlignment="1" applyProtection="1">
      <alignment vertical="center"/>
    </xf>
    <xf numFmtId="11" fontId="12" fillId="3" borderId="0" xfId="0" applyNumberFormat="1" applyFont="1" applyFill="1" applyAlignment="1" applyProtection="1">
      <alignment vertical="center"/>
    </xf>
    <xf numFmtId="0" fontId="9" fillId="5" borderId="48" xfId="0" applyFont="1" applyFill="1" applyBorder="1" applyAlignment="1" applyProtection="1">
      <alignment horizontal="center" vertical="center" wrapText="1"/>
    </xf>
    <xf numFmtId="0" fontId="9" fillId="5" borderId="56" xfId="0" applyFont="1" applyFill="1" applyBorder="1" applyAlignment="1" applyProtection="1">
      <alignment horizontal="center" vertical="center" wrapText="1"/>
    </xf>
    <xf numFmtId="0" fontId="9" fillId="7" borderId="41" xfId="0" applyFont="1" applyFill="1" applyBorder="1" applyAlignment="1" applyProtection="1">
      <alignment horizontal="center" vertical="center" wrapText="1"/>
    </xf>
    <xf numFmtId="0" fontId="9" fillId="7" borderId="40" xfId="0" applyFont="1" applyFill="1" applyBorder="1" applyAlignment="1" applyProtection="1">
      <alignment vertical="center" wrapText="1"/>
    </xf>
    <xf numFmtId="1" fontId="9" fillId="7" borderId="40" xfId="0" applyNumberFormat="1" applyFont="1" applyFill="1" applyBorder="1" applyAlignment="1" applyProtection="1">
      <alignment horizontal="center" vertical="center" wrapText="1"/>
    </xf>
    <xf numFmtId="0" fontId="9" fillId="7" borderId="41" xfId="0" applyFont="1" applyFill="1" applyBorder="1" applyAlignment="1" applyProtection="1">
      <alignment vertical="center" wrapText="1"/>
    </xf>
    <xf numFmtId="0" fontId="9" fillId="5" borderId="34"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wrapText="1"/>
    </xf>
    <xf numFmtId="0" fontId="8" fillId="5" borderId="69"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25" xfId="0" applyFont="1" applyFill="1" applyBorder="1" applyAlignment="1" applyProtection="1">
      <alignment vertical="center"/>
    </xf>
    <xf numFmtId="0" fontId="9" fillId="5" borderId="40"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168" fontId="9" fillId="5" borderId="1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wrapText="1"/>
    </xf>
    <xf numFmtId="0" fontId="9" fillId="5" borderId="40" xfId="0" applyFont="1" applyFill="1" applyBorder="1" applyAlignment="1" applyProtection="1">
      <alignment vertical="center"/>
    </xf>
    <xf numFmtId="0" fontId="8" fillId="5" borderId="57" xfId="0" applyFont="1" applyFill="1" applyBorder="1" applyAlignment="1" applyProtection="1">
      <alignment horizontal="center" vertical="center"/>
    </xf>
    <xf numFmtId="168" fontId="9" fillId="5" borderId="57" xfId="0" applyNumberFormat="1"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6" fillId="3" borderId="15" xfId="0" applyFont="1" applyFill="1" applyBorder="1" applyAlignment="1" applyProtection="1">
      <alignment horizontal="left" vertical="center"/>
    </xf>
    <xf numFmtId="11" fontId="29" fillId="0" borderId="15" xfId="0" quotePrefix="1" applyNumberFormat="1" applyFont="1" applyBorder="1" applyAlignment="1" applyProtection="1">
      <alignment horizontal="center" vertical="center" wrapText="1"/>
    </xf>
    <xf numFmtId="167" fontId="12" fillId="3" borderId="0" xfId="0" applyNumberFormat="1" applyFont="1" applyFill="1" applyAlignment="1" applyProtection="1">
      <alignment horizontal="center" vertical="center"/>
    </xf>
    <xf numFmtId="11" fontId="8" fillId="0" borderId="25" xfId="0" applyNumberFormat="1" applyFont="1" applyBorder="1" applyAlignment="1" applyProtection="1">
      <alignment horizontal="center" vertical="center" wrapText="1"/>
    </xf>
    <xf numFmtId="0" fontId="6" fillId="3" borderId="16" xfId="0" applyFont="1" applyFill="1" applyBorder="1" applyAlignment="1" applyProtection="1">
      <alignment horizontal="left" vertical="center"/>
    </xf>
    <xf numFmtId="11" fontId="29" fillId="0" borderId="16" xfId="0" quotePrefix="1" applyNumberFormat="1"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19" fillId="3" borderId="0" xfId="0" applyFont="1" applyFill="1" applyAlignment="1" applyProtection="1">
      <alignment vertical="center" wrapText="1"/>
    </xf>
    <xf numFmtId="0" fontId="19" fillId="3" borderId="0" xfId="0" applyFont="1" applyFill="1" applyAlignment="1" applyProtection="1">
      <alignment vertical="center"/>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18" fillId="3" borderId="0" xfId="0" applyFont="1" applyFill="1" applyAlignment="1" applyProtection="1">
      <alignment vertical="center" wrapText="1"/>
    </xf>
    <xf numFmtId="0" fontId="6" fillId="8" borderId="0" xfId="0" applyFont="1" applyFill="1" applyAlignment="1" applyProtection="1">
      <alignment horizontal="center" vertical="center"/>
    </xf>
    <xf numFmtId="0" fontId="6" fillId="8" borderId="0" xfId="0" applyFont="1" applyFill="1" applyAlignment="1" applyProtection="1">
      <alignment horizontal="center" vertical="center" wrapText="1"/>
    </xf>
    <xf numFmtId="0" fontId="6" fillId="5" borderId="0" xfId="0" applyFont="1" applyFill="1" applyAlignment="1" applyProtection="1">
      <alignment vertical="center"/>
    </xf>
    <xf numFmtId="11" fontId="6" fillId="3" borderId="0" xfId="0" applyNumberFormat="1" applyFont="1" applyFill="1" applyAlignment="1" applyProtection="1">
      <alignment horizontal="center" vertical="center"/>
    </xf>
    <xf numFmtId="0" fontId="0" fillId="8" borderId="1" xfId="0" applyFill="1" applyBorder="1" applyAlignment="1" applyProtection="1">
      <alignment horizontal="center" vertical="center"/>
    </xf>
    <xf numFmtId="0" fontId="0" fillId="8" borderId="1" xfId="0" applyFill="1" applyBorder="1" applyAlignment="1" applyProtection="1">
      <alignment horizontal="center" vertical="center" wrapText="1"/>
    </xf>
    <xf numFmtId="0" fontId="0" fillId="5" borderId="1" xfId="0" applyFill="1" applyBorder="1" applyAlignment="1" applyProtection="1">
      <alignment vertical="center"/>
    </xf>
    <xf numFmtId="11" fontId="0" fillId="3" borderId="1" xfId="0" applyNumberFormat="1" applyFill="1" applyBorder="1" applyAlignment="1" applyProtection="1">
      <alignment horizontal="center" vertical="center"/>
    </xf>
    <xf numFmtId="168" fontId="6" fillId="5" borderId="0" xfId="0" applyNumberFormat="1" applyFont="1" applyFill="1" applyAlignment="1" applyProtection="1">
      <alignment vertical="center"/>
    </xf>
    <xf numFmtId="168" fontId="0" fillId="5" borderId="31" xfId="0" applyNumberFormat="1" applyFill="1" applyBorder="1" applyAlignment="1" applyProtection="1">
      <alignment vertical="center"/>
    </xf>
    <xf numFmtId="11" fontId="0" fillId="3" borderId="31" xfId="0" applyNumberFormat="1" applyFill="1" applyBorder="1" applyAlignment="1" applyProtection="1">
      <alignment horizontal="center" vertical="center"/>
    </xf>
    <xf numFmtId="168" fontId="0" fillId="0" borderId="3" xfId="0" applyNumberFormat="1" applyBorder="1" applyAlignment="1" applyProtection="1">
      <alignment vertical="center"/>
    </xf>
    <xf numFmtId="11" fontId="0" fillId="0" borderId="3" xfId="0" applyNumberFormat="1" applyBorder="1" applyAlignment="1" applyProtection="1">
      <alignment horizontal="center" vertical="center"/>
    </xf>
    <xf numFmtId="1" fontId="0" fillId="5" borderId="1" xfId="0" applyNumberFormat="1" applyFill="1" applyBorder="1" applyAlignment="1" applyProtection="1">
      <alignment vertical="center"/>
    </xf>
    <xf numFmtId="0" fontId="14" fillId="5" borderId="57"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26" fillId="3" borderId="0" xfId="0" applyFont="1" applyFill="1" applyAlignment="1" applyProtection="1">
      <alignment vertical="center"/>
    </xf>
    <xf numFmtId="0" fontId="25" fillId="3" borderId="0" xfId="0" applyFont="1" applyFill="1" applyAlignment="1" applyProtection="1">
      <alignment vertical="center"/>
    </xf>
    <xf numFmtId="0" fontId="6" fillId="0" borderId="104" xfId="0" applyFont="1" applyBorder="1" applyAlignment="1" applyProtection="1">
      <alignment vertical="center" wrapText="1"/>
    </xf>
    <xf numFmtId="2" fontId="6" fillId="0" borderId="105" xfId="0" applyNumberFormat="1" applyFont="1" applyBorder="1" applyAlignment="1" applyProtection="1">
      <alignment horizontal="center" vertical="center"/>
    </xf>
    <xf numFmtId="2" fontId="6" fillId="0" borderId="106" xfId="0" applyNumberFormat="1" applyFont="1" applyBorder="1" applyAlignment="1" applyProtection="1">
      <alignment horizontal="center" vertical="center"/>
    </xf>
    <xf numFmtId="0" fontId="16" fillId="3" borderId="0" xfId="0" applyFont="1" applyFill="1" applyAlignment="1" applyProtection="1">
      <alignment horizontal="center" vertical="center" wrapText="1"/>
    </xf>
    <xf numFmtId="0" fontId="6" fillId="0" borderId="107" xfId="0" applyFont="1" applyBorder="1" applyAlignment="1" applyProtection="1">
      <alignment vertical="center" wrapText="1"/>
    </xf>
    <xf numFmtId="2" fontId="6" fillId="0" borderId="108" xfId="0" applyNumberFormat="1" applyFont="1" applyBorder="1" applyAlignment="1" applyProtection="1">
      <alignment horizontal="center" vertical="center"/>
    </xf>
    <xf numFmtId="2" fontId="6" fillId="0" borderId="109" xfId="0" applyNumberFormat="1" applyFont="1" applyBorder="1" applyAlignment="1" applyProtection="1">
      <alignment horizontal="center" vertical="center"/>
    </xf>
    <xf numFmtId="168" fontId="28" fillId="3" borderId="98" xfId="0" applyNumberFormat="1" applyFont="1" applyFill="1" applyBorder="1" applyAlignment="1" applyProtection="1">
      <alignment horizontal="center" vertical="center" wrapText="1"/>
    </xf>
    <xf numFmtId="0" fontId="28" fillId="3" borderId="0" xfId="0" applyFont="1" applyFill="1" applyAlignment="1" applyProtection="1">
      <alignment horizontal="left" vertical="center"/>
    </xf>
    <xf numFmtId="2" fontId="6" fillId="3" borderId="0" xfId="0" applyNumberFormat="1" applyFont="1" applyFill="1" applyAlignment="1" applyProtection="1">
      <alignment horizontal="center" vertical="center"/>
    </xf>
    <xf numFmtId="168" fontId="28" fillId="3" borderId="0" xfId="0" applyNumberFormat="1" applyFont="1" applyFill="1" applyAlignment="1" applyProtection="1">
      <alignment horizontal="center" vertical="center" wrapText="1"/>
    </xf>
    <xf numFmtId="0" fontId="23" fillId="3" borderId="0" xfId="0" applyFont="1" applyFill="1" applyAlignment="1" applyProtection="1">
      <alignment vertical="center"/>
    </xf>
    <xf numFmtId="0" fontId="15" fillId="3" borderId="0" xfId="0" applyFont="1" applyFill="1" applyAlignment="1" applyProtection="1">
      <alignment horizontal="center" vertical="center" wrapText="1"/>
    </xf>
    <xf numFmtId="0" fontId="15" fillId="3" borderId="0" xfId="0" applyFont="1" applyFill="1" applyAlignment="1" applyProtection="1">
      <alignment horizontal="center" vertical="center" wrapText="1"/>
    </xf>
    <xf numFmtId="0" fontId="23" fillId="3" borderId="30" xfId="0" applyFont="1" applyFill="1" applyBorder="1" applyAlignment="1" applyProtection="1">
      <alignment vertical="center"/>
    </xf>
    <xf numFmtId="0" fontId="8" fillId="3" borderId="47"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xf>
    <xf numFmtId="0" fontId="9" fillId="5" borderId="79"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82" xfId="0" applyFont="1" applyFill="1" applyBorder="1" applyAlignment="1" applyProtection="1">
      <alignment horizontal="center" vertical="center" wrapText="1"/>
    </xf>
    <xf numFmtId="0" fontId="8" fillId="9" borderId="54"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52" xfId="0" applyFont="1" applyFill="1" applyBorder="1" applyAlignment="1" applyProtection="1">
      <alignment horizontal="center" vertical="center" wrapText="1"/>
    </xf>
    <xf numFmtId="0" fontId="9" fillId="5" borderId="71" xfId="0" applyFont="1" applyFill="1" applyBorder="1" applyAlignment="1" applyProtection="1">
      <alignment horizontal="center" vertical="center" wrapText="1"/>
    </xf>
    <xf numFmtId="0" fontId="9" fillId="5" borderId="100" xfId="0" applyFont="1" applyFill="1" applyBorder="1" applyAlignment="1" applyProtection="1">
      <alignment horizontal="center" vertical="center" wrapText="1"/>
    </xf>
    <xf numFmtId="0" fontId="16" fillId="5" borderId="110"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16" fillId="5" borderId="111"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center" wrapText="1"/>
    </xf>
    <xf numFmtId="0" fontId="8" fillId="3" borderId="74" xfId="0" applyFont="1" applyFill="1" applyBorder="1" applyAlignment="1" applyProtection="1">
      <alignment horizontal="center" vertical="center" wrapText="1"/>
    </xf>
    <xf numFmtId="0" fontId="20" fillId="3" borderId="76" xfId="0" applyFont="1" applyFill="1" applyBorder="1" applyAlignment="1" applyProtection="1">
      <alignment horizontal="left" vertical="center" wrapText="1"/>
    </xf>
    <xf numFmtId="0" fontId="20" fillId="3" borderId="85" xfId="0" applyFont="1" applyFill="1" applyBorder="1" applyAlignment="1" applyProtection="1">
      <alignment horizontal="left" vertical="center" wrapText="1"/>
    </xf>
    <xf numFmtId="0" fontId="6" fillId="9" borderId="54" xfId="0" applyFont="1" applyFill="1" applyBorder="1" applyAlignment="1" applyProtection="1">
      <alignment horizontal="left" vertical="center"/>
    </xf>
    <xf numFmtId="1" fontId="6" fillId="3" borderId="53" xfId="0" applyNumberFormat="1" applyFont="1" applyFill="1" applyBorder="1" applyAlignment="1" applyProtection="1">
      <alignment horizontal="center" vertical="center"/>
    </xf>
    <xf numFmtId="0" fontId="6" fillId="3" borderId="17" xfId="0" applyFont="1" applyFill="1" applyBorder="1" applyAlignment="1" applyProtection="1">
      <alignment vertical="center"/>
    </xf>
    <xf numFmtId="1" fontId="6" fillId="3" borderId="34" xfId="0" applyNumberFormat="1" applyFont="1" applyFill="1" applyBorder="1" applyAlignment="1" applyProtection="1">
      <alignment horizontal="center" vertical="center"/>
    </xf>
    <xf numFmtId="2" fontId="12" fillId="0" borderId="24" xfId="0" applyNumberFormat="1" applyFont="1" applyBorder="1" applyAlignment="1" applyProtection="1">
      <alignment horizontal="center" vertical="center"/>
    </xf>
    <xf numFmtId="0" fontId="8" fillId="3" borderId="73" xfId="0" applyFont="1" applyFill="1" applyBorder="1" applyAlignment="1" applyProtection="1">
      <alignment horizontal="center" vertical="center" wrapText="1"/>
    </xf>
    <xf numFmtId="0" fontId="20" fillId="3" borderId="68" xfId="0" applyFont="1" applyFill="1" applyBorder="1" applyAlignment="1" applyProtection="1">
      <alignment horizontal="left" vertical="center" wrapText="1"/>
    </xf>
    <xf numFmtId="0" fontId="20" fillId="3" borderId="86" xfId="0" applyFont="1" applyFill="1" applyBorder="1" applyAlignment="1" applyProtection="1">
      <alignment horizontal="left" vertical="center" wrapText="1"/>
    </xf>
    <xf numFmtId="1" fontId="6" fillId="3" borderId="101" xfId="0" applyNumberFormat="1" applyFont="1" applyFill="1" applyBorder="1" applyAlignment="1" applyProtection="1">
      <alignment horizontal="center" vertical="center"/>
    </xf>
    <xf numFmtId="0" fontId="6" fillId="3" borderId="22" xfId="0" applyFont="1" applyFill="1" applyBorder="1" applyAlignment="1" applyProtection="1">
      <alignment vertical="center"/>
    </xf>
    <xf numFmtId="2" fontId="12" fillId="0" borderId="43" xfId="0" applyNumberFormat="1" applyFont="1" applyBorder="1" applyAlignment="1" applyProtection="1">
      <alignment horizontal="center" vertical="center"/>
    </xf>
    <xf numFmtId="1" fontId="6" fillId="3" borderId="39" xfId="0" applyNumberFormat="1" applyFont="1" applyFill="1" applyBorder="1" applyAlignment="1" applyProtection="1">
      <alignment horizontal="center" vertical="center"/>
    </xf>
    <xf numFmtId="0" fontId="6" fillId="9" borderId="54" xfId="0" applyFont="1" applyFill="1" applyBorder="1" applyAlignment="1" applyProtection="1">
      <alignment horizontal="left" vertical="center" wrapText="1"/>
    </xf>
    <xf numFmtId="0" fontId="6" fillId="3" borderId="59" xfId="0" applyFont="1" applyFill="1" applyBorder="1" applyAlignment="1" applyProtection="1">
      <alignment vertical="center"/>
    </xf>
    <xf numFmtId="0" fontId="6" fillId="3" borderId="29" xfId="0" applyFont="1" applyFill="1" applyBorder="1" applyAlignment="1" applyProtection="1">
      <alignment horizontal="center" vertical="center"/>
    </xf>
    <xf numFmtId="0" fontId="6" fillId="3" borderId="29" xfId="0" applyFont="1" applyFill="1" applyBorder="1" applyAlignment="1" applyProtection="1">
      <alignment vertical="center"/>
    </xf>
    <xf numFmtId="0" fontId="6" fillId="3" borderId="17" xfId="0" applyFont="1" applyFill="1" applyBorder="1" applyAlignment="1" applyProtection="1">
      <alignment horizontal="left" vertical="center"/>
    </xf>
    <xf numFmtId="11" fontId="6" fillId="3" borderId="15" xfId="0" applyNumberFormat="1" applyFont="1" applyFill="1" applyBorder="1" applyAlignment="1" applyProtection="1">
      <alignment horizontal="center" vertical="center"/>
    </xf>
    <xf numFmtId="0" fontId="8" fillId="3" borderId="75" xfId="0" applyFont="1" applyFill="1" applyBorder="1" applyAlignment="1" applyProtection="1">
      <alignment horizontal="center" vertical="center" wrapText="1"/>
    </xf>
    <xf numFmtId="0" fontId="20" fillId="3" borderId="77" xfId="0" applyFont="1" applyFill="1" applyBorder="1" applyAlignment="1" applyProtection="1">
      <alignment horizontal="left" vertical="center" wrapText="1"/>
    </xf>
    <xf numFmtId="0" fontId="20" fillId="3" borderId="87" xfId="0" applyFont="1" applyFill="1" applyBorder="1" applyAlignment="1" applyProtection="1">
      <alignment horizontal="left" vertical="center" wrapText="1"/>
    </xf>
    <xf numFmtId="0" fontId="6" fillId="9" borderId="50" xfId="0" applyFont="1" applyFill="1" applyBorder="1" applyAlignment="1" applyProtection="1">
      <alignment horizontal="left" vertical="center"/>
    </xf>
    <xf numFmtId="0" fontId="6" fillId="3" borderId="22" xfId="0" applyFont="1" applyFill="1" applyBorder="1" applyAlignment="1" applyProtection="1">
      <alignment horizontal="left" vertical="center"/>
    </xf>
    <xf numFmtId="11" fontId="6" fillId="3" borderId="16" xfId="0" applyNumberFormat="1" applyFont="1" applyFill="1" applyBorder="1" applyAlignment="1" applyProtection="1">
      <alignment horizontal="center" vertical="center"/>
    </xf>
    <xf numFmtId="0" fontId="18" fillId="3" borderId="0" xfId="0" applyFont="1" applyFill="1" applyAlignment="1" applyProtection="1">
      <alignment horizontal="center" vertical="center" wrapText="1"/>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xf>
    <xf numFmtId="0" fontId="16" fillId="3" borderId="0" xfId="0" applyFont="1" applyFill="1" applyAlignment="1" applyProtection="1">
      <alignment horizontal="left" vertical="center" wrapText="1"/>
    </xf>
    <xf numFmtId="0" fontId="6" fillId="0" borderId="0" xfId="0" applyFont="1" applyAlignment="1" applyProtection="1">
      <alignment horizontal="center" vertical="center"/>
    </xf>
    <xf numFmtId="0" fontId="18" fillId="0" borderId="0" xfId="0" applyFont="1" applyProtection="1"/>
    <xf numFmtId="0" fontId="8" fillId="2" borderId="25" xfId="0" applyFont="1" applyFill="1" applyBorder="1" applyAlignment="1" applyProtection="1">
      <alignment vertical="center"/>
    </xf>
    <xf numFmtId="0" fontId="8" fillId="2" borderId="69"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9" fillId="2" borderId="25" xfId="0" applyFont="1" applyFill="1" applyBorder="1" applyAlignment="1" applyProtection="1">
      <alignment horizontal="center" vertical="top" wrapText="1"/>
    </xf>
    <xf numFmtId="0" fontId="9" fillId="15" borderId="18" xfId="0" applyFont="1" applyFill="1" applyBorder="1" applyAlignment="1" applyProtection="1">
      <alignment horizontal="center" vertical="center"/>
    </xf>
    <xf numFmtId="0" fontId="9" fillId="15" borderId="55" xfId="0" applyFont="1" applyFill="1" applyBorder="1" applyAlignment="1" applyProtection="1">
      <alignment horizontal="center" vertical="center"/>
    </xf>
    <xf numFmtId="0" fontId="9" fillId="15" borderId="15" xfId="0" applyFont="1" applyFill="1" applyBorder="1" applyAlignment="1" applyProtection="1">
      <alignment horizontal="center" vertical="center"/>
    </xf>
    <xf numFmtId="0" fontId="8" fillId="2" borderId="31" xfId="0" applyFont="1" applyFill="1" applyBorder="1" applyAlignment="1" applyProtection="1">
      <alignment vertical="center"/>
    </xf>
    <xf numFmtId="0" fontId="8" fillId="2" borderId="26"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8" fillId="15" borderId="52" xfId="0" applyFont="1" applyFill="1" applyBorder="1" applyAlignment="1" applyProtection="1">
      <alignment horizontal="center" vertical="center"/>
    </xf>
    <xf numFmtId="0" fontId="8" fillId="15" borderId="70" xfId="0" applyFont="1" applyFill="1" applyBorder="1" applyAlignment="1" applyProtection="1">
      <alignment horizontal="center" vertical="center"/>
    </xf>
    <xf numFmtId="0" fontId="9" fillId="15" borderId="1" xfId="0" applyFont="1" applyFill="1" applyBorder="1" applyAlignment="1" applyProtection="1">
      <alignment horizontal="center" vertical="center"/>
    </xf>
    <xf numFmtId="0" fontId="8" fillId="15" borderId="1" xfId="0" applyFont="1" applyFill="1" applyBorder="1" applyAlignment="1" applyProtection="1">
      <alignment horizontal="center" vertical="center"/>
    </xf>
    <xf numFmtId="0" fontId="12" fillId="0" borderId="0" xfId="0" applyFont="1" applyProtection="1"/>
    <xf numFmtId="0" fontId="9" fillId="2" borderId="24"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15" borderId="1" xfId="0" applyFont="1" applyFill="1" applyBorder="1" applyAlignment="1" applyProtection="1">
      <alignment horizontal="center" vertical="center"/>
    </xf>
    <xf numFmtId="0" fontId="8" fillId="15" borderId="1" xfId="0" applyFont="1" applyFill="1" applyBorder="1" applyAlignment="1" applyProtection="1">
      <alignment horizontal="center" vertical="center"/>
    </xf>
    <xf numFmtId="0" fontId="9" fillId="17" borderId="24" xfId="0" applyFont="1" applyFill="1" applyBorder="1" applyAlignment="1" applyProtection="1">
      <alignment vertical="center"/>
    </xf>
    <xf numFmtId="0" fontId="34" fillId="0" borderId="46" xfId="0" applyFont="1" applyBorder="1" applyAlignment="1" applyProtection="1">
      <alignment horizontal="center" vertical="center"/>
    </xf>
    <xf numFmtId="0" fontId="12" fillId="0" borderId="46" xfId="0" applyFont="1" applyBorder="1" applyAlignment="1" applyProtection="1">
      <alignment horizontal="left" vertical="center"/>
    </xf>
    <xf numFmtId="0" fontId="13"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11" fontId="6" fillId="0" borderId="1"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164" fontId="6" fillId="0" borderId="1" xfId="0" applyNumberFormat="1" applyFont="1" applyBorder="1" applyAlignment="1" applyProtection="1">
      <alignment horizontal="center" vertical="center"/>
    </xf>
    <xf numFmtId="11" fontId="6" fillId="3" borderId="1" xfId="0" applyNumberFormat="1" applyFont="1" applyFill="1" applyBorder="1" applyAlignment="1" applyProtection="1">
      <alignment horizontal="center" vertical="center"/>
    </xf>
    <xf numFmtId="1" fontId="6" fillId="17" borderId="1" xfId="0" applyNumberFormat="1" applyFont="1" applyFill="1" applyBorder="1" applyAlignment="1" applyProtection="1">
      <alignment horizontal="center" vertical="center"/>
    </xf>
    <xf numFmtId="0" fontId="6" fillId="0" borderId="1" xfId="0" applyFont="1" applyBorder="1" applyAlignment="1" applyProtection="1">
      <alignment vertical="center"/>
    </xf>
    <xf numFmtId="0" fontId="6" fillId="0" borderId="21" xfId="0" applyFont="1" applyBorder="1" applyAlignment="1" applyProtection="1">
      <alignment vertical="center"/>
    </xf>
    <xf numFmtId="0" fontId="6" fillId="0" borderId="7" xfId="0" applyFont="1" applyBorder="1" applyProtection="1"/>
    <xf numFmtId="2" fontId="6" fillId="3" borderId="1"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6" fillId="0" borderId="46" xfId="0" applyFont="1" applyBorder="1" applyAlignment="1" applyProtection="1">
      <alignment horizontal="left" vertical="center"/>
    </xf>
    <xf numFmtId="0" fontId="0" fillId="0" borderId="1" xfId="0" applyBorder="1" applyProtection="1"/>
    <xf numFmtId="0" fontId="0" fillId="0" borderId="46" xfId="0" applyBorder="1" applyAlignment="1" applyProtection="1">
      <alignment horizontal="center" vertical="center"/>
    </xf>
    <xf numFmtId="2" fontId="6" fillId="0" borderId="1" xfId="0" applyNumberFormat="1" applyFont="1" applyBorder="1" applyProtection="1"/>
    <xf numFmtId="166" fontId="6" fillId="0" borderId="1" xfId="0" applyNumberFormat="1" applyFont="1" applyBorder="1" applyProtection="1"/>
    <xf numFmtId="0" fontId="0" fillId="17" borderId="1" xfId="0" applyFill="1" applyBorder="1" applyProtection="1"/>
    <xf numFmtId="0" fontId="6" fillId="17" borderId="21" xfId="0" applyFont="1" applyFill="1" applyBorder="1" applyAlignment="1" applyProtection="1">
      <alignment vertical="center"/>
    </xf>
    <xf numFmtId="1" fontId="0" fillId="0" borderId="1" xfId="0" applyNumberFormat="1" applyBorder="1" applyProtection="1"/>
    <xf numFmtId="1" fontId="6" fillId="0" borderId="1" xfId="0" applyNumberFormat="1" applyFont="1" applyBorder="1" applyAlignment="1" applyProtection="1">
      <alignment horizontal="center" vertical="center"/>
    </xf>
    <xf numFmtId="0" fontId="34" fillId="0" borderId="1" xfId="0" applyFont="1" applyBorder="1" applyAlignment="1" applyProtection="1">
      <alignment horizontal="left" vertical="center"/>
    </xf>
    <xf numFmtId="166" fontId="6" fillId="0" borderId="1" xfId="0" applyNumberFormat="1" applyFont="1" applyBorder="1" applyAlignment="1" applyProtection="1">
      <alignment horizontal="center" vertical="center"/>
    </xf>
    <xf numFmtId="0" fontId="6" fillId="16" borderId="46" xfId="0" applyFont="1" applyFill="1" applyBorder="1" applyAlignment="1" applyProtection="1">
      <alignment horizontal="center" vertical="center"/>
    </xf>
    <xf numFmtId="0" fontId="6" fillId="0" borderId="1" xfId="0" applyFont="1" applyBorder="1" applyAlignment="1" applyProtection="1">
      <alignment horizontal="center"/>
    </xf>
    <xf numFmtId="0" fontId="0" fillId="0" borderId="31" xfId="0" applyBorder="1" applyProtection="1"/>
    <xf numFmtId="0" fontId="6" fillId="0" borderId="4" xfId="0" applyFont="1" applyBorder="1" applyAlignment="1" applyProtection="1">
      <alignment horizontal="center" vertical="center"/>
    </xf>
    <xf numFmtId="0" fontId="6" fillId="0" borderId="31" xfId="0" applyFont="1" applyBorder="1" applyAlignment="1" applyProtection="1">
      <alignment horizontal="center" vertical="center"/>
    </xf>
    <xf numFmtId="166" fontId="6" fillId="0" borderId="1" xfId="0" applyNumberFormat="1" applyFont="1" applyBorder="1" applyAlignment="1" applyProtection="1">
      <alignment horizontal="center"/>
    </xf>
    <xf numFmtId="0" fontId="0" fillId="0" borderId="24" xfId="0" applyBorder="1" applyProtection="1"/>
    <xf numFmtId="169" fontId="6" fillId="0" borderId="1" xfId="0" applyNumberFormat="1" applyFont="1" applyBorder="1" applyAlignment="1" applyProtection="1">
      <alignment horizontal="center" vertical="center"/>
    </xf>
    <xf numFmtId="169" fontId="6" fillId="0" borderId="31" xfId="0" applyNumberFormat="1" applyFont="1" applyBorder="1" applyAlignment="1" applyProtection="1">
      <alignment horizontal="center" vertical="center"/>
    </xf>
    <xf numFmtId="0" fontId="6" fillId="0" borderId="52" xfId="0" applyFont="1" applyBorder="1" applyAlignment="1" applyProtection="1">
      <alignment horizontal="center" vertical="center"/>
    </xf>
    <xf numFmtId="11" fontId="6" fillId="0" borderId="130" xfId="0" applyNumberFormat="1" applyFont="1" applyBorder="1" applyAlignment="1" applyProtection="1">
      <alignment horizontal="center" vertical="center"/>
    </xf>
    <xf numFmtId="0" fontId="6" fillId="0" borderId="70" xfId="0" applyFont="1" applyBorder="1" applyAlignment="1" applyProtection="1">
      <alignment horizontal="center"/>
    </xf>
    <xf numFmtId="0" fontId="6" fillId="0" borderId="45" xfId="0" applyFont="1" applyBorder="1" applyAlignment="1" applyProtection="1">
      <alignment horizontal="left" vertical="center"/>
    </xf>
    <xf numFmtId="0" fontId="6" fillId="0" borderId="0" xfId="0" applyFont="1" applyAlignment="1" applyProtection="1">
      <alignment horizontal="center"/>
    </xf>
    <xf numFmtId="0" fontId="0" fillId="0" borderId="0" xfId="0" applyAlignment="1" applyProtection="1">
      <alignment horizontal="center" vertical="center"/>
    </xf>
    <xf numFmtId="11" fontId="6" fillId="0" borderId="0" xfId="0" applyNumberFormat="1" applyFont="1" applyProtection="1"/>
    <xf numFmtId="11" fontId="6" fillId="0" borderId="0" xfId="0" applyNumberFormat="1" applyFont="1" applyAlignment="1" applyProtection="1">
      <alignment horizontal="center"/>
    </xf>
    <xf numFmtId="11" fontId="6" fillId="0" borderId="0" xfId="0" applyNumberFormat="1" applyFont="1" applyAlignment="1" applyProtection="1">
      <alignment horizontal="center" vertical="center"/>
    </xf>
    <xf numFmtId="0" fontId="12" fillId="2" borderId="83"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2" fontId="6" fillId="0" borderId="36" xfId="0" applyNumberFormat="1" applyFont="1" applyBorder="1" applyAlignment="1" applyProtection="1">
      <alignment horizontal="center" vertical="center"/>
    </xf>
    <xf numFmtId="0" fontId="9" fillId="5" borderId="98"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112"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113"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20" fillId="3" borderId="76" xfId="0" applyFont="1" applyFill="1" applyBorder="1" applyAlignment="1" applyProtection="1">
      <alignment horizontal="center" vertical="center" wrapText="1"/>
    </xf>
    <xf numFmtId="0" fontId="20" fillId="3" borderId="89" xfId="0" applyFont="1" applyFill="1" applyBorder="1" applyAlignment="1" applyProtection="1">
      <alignment horizontal="center" vertical="center" wrapText="1"/>
    </xf>
    <xf numFmtId="1" fontId="6" fillId="3" borderId="55"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xf>
    <xf numFmtId="0" fontId="16" fillId="5" borderId="15" xfId="0" applyFont="1" applyFill="1" applyBorder="1" applyAlignment="1" applyProtection="1">
      <alignment horizontal="center" vertical="center" wrapText="1"/>
    </xf>
    <xf numFmtId="0" fontId="20" fillId="3" borderId="88" xfId="0" applyFont="1" applyFill="1" applyBorder="1" applyAlignment="1" applyProtection="1">
      <alignment horizontal="center" vertical="center" wrapText="1"/>
    </xf>
    <xf numFmtId="0" fontId="20" fillId="3" borderId="90" xfId="0" applyFont="1" applyFill="1" applyBorder="1" applyAlignment="1" applyProtection="1">
      <alignment horizontal="center" vertical="center" wrapText="1"/>
    </xf>
    <xf numFmtId="1" fontId="6" fillId="3" borderId="70"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xf>
    <xf numFmtId="2" fontId="12" fillId="0" borderId="1"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20" fillId="3" borderId="77"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xf>
    <xf numFmtId="1" fontId="6" fillId="3" borderId="83"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xf>
    <xf numFmtId="1" fontId="6" fillId="3" borderId="9" xfId="0" applyNumberFormat="1"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16" fillId="5" borderId="24" xfId="0" applyFont="1" applyFill="1" applyBorder="1" applyAlignment="1" applyProtection="1">
      <alignment horizontal="center" vertical="center" wrapText="1"/>
    </xf>
    <xf numFmtId="2" fontId="12" fillId="0" borderId="28" xfId="0" applyNumberFormat="1" applyFont="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2" fontId="12" fillId="0" borderId="31" xfId="0" applyNumberFormat="1" applyFont="1" applyBorder="1" applyAlignment="1" applyProtection="1">
      <alignment horizontal="center" vertical="center"/>
    </xf>
    <xf numFmtId="2" fontId="12" fillId="0" borderId="32" xfId="0" applyNumberFormat="1"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6" fillId="9" borderId="47" xfId="0" applyFont="1" applyFill="1" applyBorder="1" applyAlignment="1" applyProtection="1">
      <alignment horizontal="left" vertical="center"/>
    </xf>
    <xf numFmtId="0" fontId="6" fillId="3" borderId="55" xfId="0" applyFont="1" applyFill="1" applyBorder="1" applyAlignment="1" applyProtection="1">
      <alignment horizontal="center" vertical="center" wrapText="1"/>
    </xf>
    <xf numFmtId="11" fontId="6" fillId="3" borderId="15" xfId="0" applyNumberFormat="1" applyFont="1" applyFill="1" applyBorder="1" applyAlignment="1" applyProtection="1">
      <alignment horizontal="center" vertical="center"/>
    </xf>
    <xf numFmtId="0" fontId="6" fillId="3" borderId="70" xfId="0" applyFont="1" applyFill="1" applyBorder="1" applyAlignment="1" applyProtection="1">
      <alignment horizontal="center" vertical="center" wrapText="1"/>
    </xf>
    <xf numFmtId="11" fontId="6" fillId="3" borderId="1" xfId="0" applyNumberFormat="1" applyFont="1" applyFill="1" applyBorder="1" applyAlignment="1" applyProtection="1">
      <alignment horizontal="center" vertical="center"/>
    </xf>
    <xf numFmtId="0" fontId="6" fillId="3" borderId="83" xfId="0" applyFont="1" applyFill="1" applyBorder="1" applyAlignment="1" applyProtection="1">
      <alignment horizontal="center" vertical="center" wrapText="1"/>
    </xf>
    <xf numFmtId="11" fontId="6" fillId="3" borderId="1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11" fontId="6" fillId="3" borderId="0" xfId="0" applyNumberFormat="1" applyFont="1" applyFill="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9" fillId="15" borderId="1" xfId="0" applyFont="1" applyFill="1" applyBorder="1" applyAlignment="1" applyProtection="1">
      <alignment horizontal="center" vertical="center" wrapText="1"/>
    </xf>
    <xf numFmtId="0" fontId="6" fillId="0" borderId="8" xfId="0" applyFont="1" applyBorder="1" applyProtection="1"/>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34" fillId="0" borderId="46"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166" fontId="6" fillId="0" borderId="1" xfId="0" applyNumberFormat="1" applyFont="1" applyBorder="1" applyAlignment="1" applyProtection="1">
      <alignment horizontal="center" vertical="center" wrapText="1"/>
    </xf>
    <xf numFmtId="11" fontId="12" fillId="0" borderId="24" xfId="0" applyNumberFormat="1" applyFont="1" applyBorder="1" applyAlignment="1" applyProtection="1">
      <alignment horizontal="center" vertical="center" wrapText="1"/>
    </xf>
    <xf numFmtId="166" fontId="12" fillId="0" borderId="1" xfId="0" applyNumberFormat="1" applyFont="1" applyBorder="1" applyAlignment="1" applyProtection="1">
      <alignment horizontal="center" vertical="center" wrapText="1"/>
    </xf>
    <xf numFmtId="166" fontId="6" fillId="0" borderId="31" xfId="0" applyNumberFormat="1" applyFont="1" applyBorder="1" applyAlignment="1" applyProtection="1">
      <alignment horizontal="center" vertical="center"/>
    </xf>
    <xf numFmtId="0" fontId="0" fillId="0" borderId="46" xfId="0" applyBorder="1" applyAlignment="1" applyProtection="1">
      <alignment horizontal="center" vertical="center" wrapText="1"/>
    </xf>
    <xf numFmtId="166" fontId="6" fillId="0" borderId="24" xfId="0" applyNumberFormat="1" applyFont="1" applyBorder="1" applyAlignment="1" applyProtection="1">
      <alignment horizontal="center" vertical="center"/>
    </xf>
    <xf numFmtId="166" fontId="6" fillId="0" borderId="26" xfId="0" applyNumberFormat="1" applyFont="1" applyBorder="1" applyAlignment="1" applyProtection="1">
      <alignment horizontal="center" vertical="center"/>
    </xf>
    <xf numFmtId="11" fontId="12" fillId="0" borderId="26" xfId="0" applyNumberFormat="1" applyFont="1" applyBorder="1" applyAlignment="1" applyProtection="1">
      <alignment horizontal="center" vertical="center" wrapText="1"/>
    </xf>
    <xf numFmtId="166" fontId="6" fillId="0" borderId="0" xfId="0" applyNumberFormat="1" applyFont="1" applyProtection="1"/>
    <xf numFmtId="0" fontId="14" fillId="5" borderId="41" xfId="0" applyFont="1" applyFill="1" applyBorder="1" applyAlignment="1" applyProtection="1">
      <alignment vertical="center" wrapText="1"/>
    </xf>
    <xf numFmtId="0" fontId="9" fillId="5" borderId="19" xfId="0" applyFont="1" applyFill="1" applyBorder="1" applyAlignment="1" applyProtection="1">
      <alignment vertical="center" wrapText="1"/>
    </xf>
    <xf numFmtId="0" fontId="12" fillId="2" borderId="23" xfId="0" applyFont="1" applyFill="1" applyBorder="1" applyAlignment="1" applyProtection="1">
      <alignment vertical="center" wrapText="1"/>
    </xf>
    <xf numFmtId="0" fontId="9" fillId="5" borderId="39" xfId="0" applyFont="1" applyFill="1" applyBorder="1" applyAlignment="1" applyProtection="1">
      <alignment horizontal="center" vertical="center"/>
    </xf>
    <xf numFmtId="0" fontId="13" fillId="0" borderId="3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2" fontId="6" fillId="0" borderId="21" xfId="0" applyNumberFormat="1"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37" xfId="0" applyFont="1" applyBorder="1" applyAlignment="1" applyProtection="1">
      <alignment horizontal="center" vertical="center" wrapText="1"/>
    </xf>
    <xf numFmtId="0" fontId="6" fillId="0" borderId="34" xfId="0" applyFont="1" applyBorder="1" applyAlignment="1" applyProtection="1">
      <alignment horizontal="center" vertical="center"/>
    </xf>
    <xf numFmtId="0" fontId="6" fillId="0" borderId="25" xfId="0" applyFont="1" applyBorder="1" applyAlignment="1" applyProtection="1">
      <alignment horizontal="center" vertical="center"/>
    </xf>
    <xf numFmtId="2" fontId="6" fillId="0" borderId="26" xfId="0" applyNumberFormat="1" applyFont="1" applyBorder="1" applyAlignment="1" applyProtection="1">
      <alignment horizontal="center" vertical="center"/>
    </xf>
    <xf numFmtId="2" fontId="6" fillId="0" borderId="102" xfId="0" applyNumberFormat="1" applyFont="1" applyBorder="1" applyAlignment="1" applyProtection="1">
      <alignment horizontal="center" vertical="center"/>
    </xf>
    <xf numFmtId="0" fontId="35" fillId="3" borderId="0" xfId="0" applyFont="1" applyFill="1" applyAlignment="1" applyProtection="1">
      <alignment vertical="center"/>
    </xf>
    <xf numFmtId="0" fontId="7" fillId="3" borderId="0" xfId="0" applyFont="1" applyFill="1" applyAlignment="1" applyProtection="1">
      <alignment vertical="center"/>
    </xf>
    <xf numFmtId="0" fontId="30" fillId="14" borderId="47" xfId="0" applyFont="1" applyFill="1" applyBorder="1" applyAlignment="1" applyProtection="1">
      <alignment horizontal="center" vertical="center"/>
    </xf>
    <xf numFmtId="0" fontId="30" fillId="14" borderId="115" xfId="0" applyFont="1" applyFill="1" applyBorder="1" applyAlignment="1" applyProtection="1">
      <alignment horizontal="center" vertical="center"/>
    </xf>
    <xf numFmtId="0" fontId="30" fillId="14" borderId="115" xfId="0" applyFont="1" applyFill="1" applyBorder="1" applyAlignment="1" applyProtection="1">
      <alignment horizontal="left" vertical="center"/>
    </xf>
    <xf numFmtId="0" fontId="37" fillId="3" borderId="0" xfId="0" applyFont="1" applyFill="1" applyAlignment="1" applyProtection="1">
      <alignment horizontal="center" vertical="center" wrapText="1"/>
    </xf>
    <xf numFmtId="0" fontId="30" fillId="14" borderId="60" xfId="0" applyFont="1" applyFill="1" applyBorder="1" applyAlignment="1" applyProtection="1">
      <alignment horizontal="center" vertical="center"/>
    </xf>
    <xf numFmtId="0" fontId="30" fillId="14" borderId="61" xfId="0" applyFont="1" applyFill="1" applyBorder="1" applyAlignment="1" applyProtection="1">
      <alignment horizontal="center" vertical="center"/>
    </xf>
    <xf numFmtId="0" fontId="7" fillId="0" borderId="0" xfId="0" applyFont="1" applyAlignment="1" applyProtection="1">
      <alignment vertical="center"/>
    </xf>
    <xf numFmtId="0" fontId="7" fillId="0" borderId="34" xfId="0" applyFont="1" applyBorder="1" applyAlignment="1" applyProtection="1">
      <alignment horizontal="center" vertical="center" wrapText="1"/>
    </xf>
    <xf numFmtId="0" fontId="7" fillId="0" borderId="15" xfId="0" applyFont="1" applyBorder="1" applyAlignment="1" applyProtection="1">
      <alignment vertical="center"/>
    </xf>
    <xf numFmtId="2" fontId="7" fillId="0" borderId="15" xfId="0" applyNumberFormat="1" applyFont="1" applyBorder="1" applyAlignment="1" applyProtection="1">
      <alignment horizontal="center" vertical="center"/>
    </xf>
    <xf numFmtId="2" fontId="7" fillId="0" borderId="19" xfId="0" applyNumberFormat="1" applyFont="1" applyBorder="1" applyAlignment="1" applyProtection="1">
      <alignment horizontal="center" vertical="center"/>
    </xf>
    <xf numFmtId="0" fontId="7" fillId="0" borderId="114" xfId="0" applyFont="1" applyBorder="1" applyAlignment="1" applyProtection="1">
      <alignment horizontal="center" vertical="center" wrapText="1"/>
    </xf>
    <xf numFmtId="0" fontId="7" fillId="0" borderId="66" xfId="0" applyFont="1" applyBorder="1" applyAlignment="1" applyProtection="1">
      <alignment vertical="center"/>
    </xf>
    <xf numFmtId="2" fontId="7" fillId="0" borderId="66" xfId="0" applyNumberFormat="1" applyFont="1" applyBorder="1" applyAlignment="1" applyProtection="1">
      <alignment horizontal="center" vertical="center"/>
    </xf>
    <xf numFmtId="2" fontId="7" fillId="0" borderId="67" xfId="0" applyNumberFormat="1" applyFont="1" applyBorder="1" applyAlignment="1" applyProtection="1">
      <alignment horizontal="center" vertical="center"/>
    </xf>
    <xf numFmtId="0" fontId="7" fillId="0" borderId="24" xfId="0" applyFont="1" applyBorder="1" applyAlignment="1" applyProtection="1">
      <alignment vertical="center"/>
    </xf>
    <xf numFmtId="0" fontId="7" fillId="0" borderId="1" xfId="0" applyFont="1" applyBorder="1" applyAlignment="1" applyProtection="1">
      <alignment vertical="center"/>
    </xf>
    <xf numFmtId="166" fontId="7" fillId="0" borderId="24" xfId="0" applyNumberFormat="1" applyFont="1" applyBorder="1" applyAlignment="1" applyProtection="1">
      <alignment horizontal="center" vertical="center"/>
    </xf>
    <xf numFmtId="2" fontId="7" fillId="0" borderId="24" xfId="0" applyNumberFormat="1" applyFont="1" applyBorder="1" applyAlignment="1" applyProtection="1">
      <alignment horizontal="center" vertical="center"/>
    </xf>
    <xf numFmtId="0" fontId="7" fillId="0" borderId="42" xfId="0" applyFont="1" applyBorder="1" applyAlignment="1" applyProtection="1">
      <alignment horizontal="center" vertical="center" wrapText="1"/>
    </xf>
    <xf numFmtId="166" fontId="7" fillId="0" borderId="1" xfId="0" applyNumberFormat="1" applyFont="1" applyBorder="1" applyAlignment="1" applyProtection="1">
      <alignment horizontal="center" vertical="center"/>
    </xf>
    <xf numFmtId="2" fontId="7" fillId="0" borderId="21" xfId="0" applyNumberFormat="1" applyFont="1" applyBorder="1" applyAlignment="1" applyProtection="1">
      <alignment horizontal="center" vertical="center"/>
    </xf>
    <xf numFmtId="166" fontId="7" fillId="0" borderId="21" xfId="0" applyNumberFormat="1" applyFont="1" applyBorder="1" applyAlignment="1" applyProtection="1">
      <alignment horizontal="center" vertical="center"/>
    </xf>
    <xf numFmtId="3" fontId="35" fillId="3" borderId="0" xfId="0" applyNumberFormat="1" applyFont="1" applyFill="1" applyAlignment="1" applyProtection="1">
      <alignment horizontal="center" vertical="center" wrapText="1"/>
    </xf>
    <xf numFmtId="0" fontId="7" fillId="0" borderId="1" xfId="0" applyFont="1" applyBorder="1" applyAlignment="1" applyProtection="1">
      <alignment vertical="center"/>
    </xf>
    <xf numFmtId="2" fontId="7" fillId="0" borderId="1" xfId="0" applyNumberFormat="1" applyFont="1" applyBorder="1" applyAlignment="1" applyProtection="1">
      <alignment horizontal="center" vertical="center"/>
    </xf>
    <xf numFmtId="0" fontId="7" fillId="0" borderId="3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0" fillId="0" borderId="0" xfId="0" applyProtection="1"/>
    <xf numFmtId="0" fontId="7" fillId="0" borderId="39" xfId="0" applyFont="1" applyBorder="1" applyAlignment="1" applyProtection="1">
      <alignment horizontal="center" vertical="center" wrapText="1"/>
    </xf>
    <xf numFmtId="0" fontId="7" fillId="0" borderId="16" xfId="0" applyFont="1" applyBorder="1" applyAlignment="1" applyProtection="1">
      <alignment vertical="center"/>
    </xf>
    <xf numFmtId="166" fontId="7" fillId="0" borderId="16" xfId="0" applyNumberFormat="1" applyFont="1" applyBorder="1" applyAlignment="1" applyProtection="1">
      <alignment horizontal="center" vertical="center"/>
    </xf>
    <xf numFmtId="166" fontId="7" fillId="0" borderId="23" xfId="0" applyNumberFormat="1" applyFont="1" applyBorder="1" applyAlignment="1" applyProtection="1">
      <alignment horizontal="center"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32" fillId="6" borderId="47" xfId="0" applyFont="1" applyFill="1" applyBorder="1" applyAlignment="1" applyProtection="1">
      <alignment vertical="center" wrapText="1"/>
    </xf>
    <xf numFmtId="0" fontId="32" fillId="6" borderId="47" xfId="0" applyFont="1" applyFill="1" applyBorder="1" applyAlignment="1" applyProtection="1">
      <alignment horizontal="left" vertical="center" wrapText="1"/>
    </xf>
    <xf numFmtId="0" fontId="32" fillId="6" borderId="48" xfId="0" applyFont="1" applyFill="1" applyBorder="1" applyAlignment="1" applyProtection="1">
      <alignment horizontal="center" vertical="center" wrapText="1"/>
    </xf>
    <xf numFmtId="0" fontId="32" fillId="6" borderId="58" xfId="0" applyFont="1" applyFill="1" applyBorder="1" applyAlignment="1" applyProtection="1">
      <alignment horizontal="center" vertical="center" wrapText="1"/>
    </xf>
    <xf numFmtId="0" fontId="32" fillId="6" borderId="49" xfId="0" applyFont="1" applyFill="1" applyBorder="1" applyAlignment="1" applyProtection="1">
      <alignment horizontal="center" vertical="center" wrapText="1"/>
    </xf>
    <xf numFmtId="0" fontId="32" fillId="6" borderId="50" xfId="0" applyFont="1" applyFill="1" applyBorder="1" applyAlignment="1" applyProtection="1">
      <alignment vertical="center" wrapText="1"/>
    </xf>
    <xf numFmtId="0" fontId="32" fillId="6" borderId="50" xfId="0" applyFont="1" applyFill="1" applyBorder="1" applyAlignment="1" applyProtection="1">
      <alignment horizontal="left" vertical="center" wrapText="1"/>
    </xf>
    <xf numFmtId="0" fontId="32" fillId="6" borderId="84" xfId="0" applyFont="1" applyFill="1" applyBorder="1" applyAlignment="1" applyProtection="1">
      <alignment vertical="center" wrapText="1"/>
    </xf>
    <xf numFmtId="0" fontId="12" fillId="0" borderId="55" xfId="0" applyFont="1" applyBorder="1" applyAlignment="1" applyProtection="1">
      <alignment vertical="center"/>
    </xf>
    <xf numFmtId="0" fontId="12" fillId="0" borderId="15" xfId="0" applyFont="1" applyBorder="1" applyAlignment="1" applyProtection="1">
      <alignment vertical="center"/>
    </xf>
    <xf numFmtId="0" fontId="12" fillId="0" borderId="15" xfId="0" applyFont="1" applyBorder="1" applyAlignment="1" applyProtection="1">
      <alignment horizontal="left" vertical="center"/>
    </xf>
    <xf numFmtId="2" fontId="12" fillId="0" borderId="35" xfId="0" applyNumberFormat="1" applyFont="1" applyBorder="1" applyAlignment="1" applyProtection="1">
      <alignment horizontal="center" vertical="center"/>
    </xf>
    <xf numFmtId="2" fontId="6" fillId="0" borderId="24" xfId="0" applyNumberFormat="1" applyFont="1" applyBorder="1" applyAlignment="1" applyProtection="1">
      <alignment horizontal="center" vertical="center"/>
    </xf>
    <xf numFmtId="2" fontId="6" fillId="0" borderId="6" xfId="0" applyNumberFormat="1" applyFont="1" applyBorder="1" applyAlignment="1" applyProtection="1">
      <alignment horizontal="center" vertical="center"/>
    </xf>
    <xf numFmtId="0" fontId="12" fillId="0" borderId="70" xfId="0" applyFont="1" applyBorder="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left" vertical="center"/>
    </xf>
    <xf numFmtId="2" fontId="12" fillId="0" borderId="20" xfId="0" applyNumberFormat="1" applyFont="1" applyBorder="1" applyAlignment="1" applyProtection="1">
      <alignment horizontal="center" vertical="center"/>
    </xf>
    <xf numFmtId="2" fontId="6" fillId="0" borderId="52" xfId="0" applyNumberFormat="1" applyFont="1" applyBorder="1" applyAlignment="1" applyProtection="1">
      <alignment horizontal="center" vertical="center"/>
    </xf>
    <xf numFmtId="0" fontId="12" fillId="0" borderId="4" xfId="0" applyFont="1" applyBorder="1" applyAlignment="1" applyProtection="1">
      <alignment vertical="center"/>
    </xf>
    <xf numFmtId="0" fontId="12" fillId="0" borderId="31" xfId="0" applyFont="1" applyBorder="1" applyAlignment="1" applyProtection="1">
      <alignment vertical="center"/>
    </xf>
    <xf numFmtId="0" fontId="12" fillId="0" borderId="31" xfId="0" applyFont="1" applyBorder="1" applyAlignment="1" applyProtection="1">
      <alignment horizontal="left" vertical="center"/>
    </xf>
    <xf numFmtId="2" fontId="12" fillId="0" borderId="33" xfId="0" applyNumberFormat="1" applyFont="1" applyBorder="1" applyAlignment="1" applyProtection="1">
      <alignment horizontal="center" vertical="center"/>
    </xf>
    <xf numFmtId="2" fontId="6" fillId="0" borderId="2" xfId="0" applyNumberFormat="1" applyFont="1" applyBorder="1" applyAlignment="1" applyProtection="1">
      <alignment horizontal="center" vertical="center"/>
    </xf>
    <xf numFmtId="0" fontId="32" fillId="14" borderId="48" xfId="0" applyFont="1" applyFill="1" applyBorder="1" applyAlignment="1" applyProtection="1">
      <alignment horizontal="center" vertical="center" wrapText="1"/>
    </xf>
    <xf numFmtId="0" fontId="32" fillId="14" borderId="58" xfId="0" applyFont="1" applyFill="1" applyBorder="1" applyAlignment="1" applyProtection="1">
      <alignment horizontal="center" vertical="center" wrapText="1"/>
    </xf>
    <xf numFmtId="0" fontId="32" fillId="14" borderId="49" xfId="0" applyFont="1" applyFill="1" applyBorder="1" applyAlignment="1" applyProtection="1">
      <alignment horizontal="center" vertical="center" wrapText="1"/>
    </xf>
    <xf numFmtId="0" fontId="32" fillId="14" borderId="48" xfId="0" applyFont="1" applyFill="1" applyBorder="1" applyAlignment="1" applyProtection="1">
      <alignment horizontal="left" vertical="center" wrapText="1"/>
    </xf>
    <xf numFmtId="0" fontId="32" fillId="14" borderId="58" xfId="0" applyFont="1" applyFill="1" applyBorder="1" applyAlignment="1" applyProtection="1">
      <alignment horizontal="left" vertical="center" wrapText="1"/>
    </xf>
    <xf numFmtId="0" fontId="32" fillId="14" borderId="49" xfId="0" applyFont="1" applyFill="1" applyBorder="1" applyAlignment="1" applyProtection="1">
      <alignment vertical="center" wrapText="1"/>
    </xf>
    <xf numFmtId="0" fontId="32" fillId="14" borderId="54" xfId="0" applyFont="1" applyFill="1" applyBorder="1" applyAlignment="1" applyProtection="1">
      <alignment vertical="center" wrapText="1"/>
    </xf>
    <xf numFmtId="0" fontId="32" fillId="14" borderId="82" xfId="0" applyFont="1" applyFill="1" applyBorder="1" applyAlignment="1" applyProtection="1">
      <alignment horizontal="left" vertical="center" wrapText="1"/>
    </xf>
    <xf numFmtId="0" fontId="32" fillId="14" borderId="101" xfId="0" applyFont="1" applyFill="1" applyBorder="1" applyAlignment="1" applyProtection="1">
      <alignment vertical="center" wrapText="1"/>
    </xf>
    <xf numFmtId="0" fontId="32" fillId="14" borderId="30" xfId="0" applyFont="1" applyFill="1" applyBorder="1" applyAlignment="1" applyProtection="1">
      <alignment vertical="center" wrapText="1"/>
    </xf>
    <xf numFmtId="0" fontId="32" fillId="14" borderId="78" xfId="0" applyFont="1" applyFill="1" applyBorder="1" applyAlignment="1" applyProtection="1">
      <alignment vertical="center" wrapText="1"/>
    </xf>
    <xf numFmtId="0" fontId="32" fillId="14" borderId="47" xfId="0" applyFont="1" applyFill="1" applyBorder="1" applyAlignment="1" applyProtection="1">
      <alignment vertical="center" wrapText="1"/>
    </xf>
    <xf numFmtId="0" fontId="32" fillId="14" borderId="47" xfId="0" applyFont="1" applyFill="1" applyBorder="1" applyAlignment="1" applyProtection="1">
      <alignment horizontal="left" vertical="center" wrapText="1"/>
    </xf>
    <xf numFmtId="3" fontId="12" fillId="0" borderId="15" xfId="3" applyNumberFormat="1" applyFont="1" applyBorder="1" applyAlignment="1" applyProtection="1">
      <alignment horizontal="center" vertical="center" wrapText="1"/>
    </xf>
    <xf numFmtId="3" fontId="12" fillId="0" borderId="15" xfId="0" applyNumberFormat="1" applyFont="1" applyBorder="1" applyAlignment="1" applyProtection="1">
      <alignment horizontal="center" vertical="center" wrapText="1"/>
    </xf>
    <xf numFmtId="173" fontId="12" fillId="0" borderId="15" xfId="3" applyNumberFormat="1" applyFont="1" applyBorder="1" applyAlignment="1" applyProtection="1">
      <alignment horizontal="center" vertical="center" wrapText="1"/>
    </xf>
    <xf numFmtId="173" fontId="12" fillId="0" borderId="15" xfId="0" applyNumberFormat="1" applyFont="1" applyBorder="1" applyAlignment="1" applyProtection="1">
      <alignment horizontal="center" vertical="center" wrapText="1"/>
    </xf>
    <xf numFmtId="171" fontId="12" fillId="0" borderId="15" xfId="3" applyNumberFormat="1" applyFont="1" applyBorder="1" applyAlignment="1" applyProtection="1">
      <alignment horizontal="center" vertical="center" wrapText="1"/>
    </xf>
    <xf numFmtId="171" fontId="12" fillId="0" borderId="15" xfId="0" applyNumberFormat="1" applyFont="1" applyBorder="1" applyAlignment="1" applyProtection="1">
      <alignment horizontal="center" vertical="center" wrapText="1"/>
    </xf>
    <xf numFmtId="164" fontId="12" fillId="0" borderId="15" xfId="3" applyNumberFormat="1" applyFont="1" applyBorder="1" applyAlignment="1" applyProtection="1">
      <alignment horizontal="center" vertical="center" wrapText="1"/>
    </xf>
    <xf numFmtId="164" fontId="12" fillId="0" borderId="15" xfId="0" applyNumberFormat="1" applyFont="1" applyBorder="1" applyAlignment="1" applyProtection="1">
      <alignment horizontal="center" vertical="center" wrapText="1"/>
    </xf>
    <xf numFmtId="170" fontId="12" fillId="0" borderId="15" xfId="3" applyNumberFormat="1" applyFont="1" applyBorder="1" applyAlignment="1" applyProtection="1">
      <alignment horizontal="center" vertical="center" wrapText="1"/>
    </xf>
    <xf numFmtId="0" fontId="6" fillId="3" borderId="0" xfId="0" applyFont="1" applyFill="1" applyAlignment="1" applyProtection="1">
      <alignment horizontal="center"/>
    </xf>
    <xf numFmtId="0" fontId="6" fillId="3" borderId="2" xfId="0" applyFont="1" applyFill="1" applyBorder="1" applyProtection="1"/>
    <xf numFmtId="0" fontId="6" fillId="3" borderId="3" xfId="0" applyFont="1" applyFill="1" applyBorder="1" applyProtection="1"/>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2" xfId="0"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13" xfId="0" applyFont="1" applyFill="1" applyBorder="1" applyAlignment="1" applyProtection="1">
      <alignment horizontal="center" wrapText="1"/>
    </xf>
    <xf numFmtId="0" fontId="8" fillId="3" borderId="12" xfId="0" applyFont="1" applyFill="1" applyBorder="1" applyAlignment="1" applyProtection="1">
      <alignment horizontal="center" wrapText="1"/>
    </xf>
    <xf numFmtId="0" fontId="8" fillId="3" borderId="13"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12" fillId="3" borderId="11" xfId="0" applyFont="1" applyFill="1" applyBorder="1" applyAlignment="1" applyProtection="1">
      <alignment horizontal="left"/>
    </xf>
    <xf numFmtId="0" fontId="6" fillId="3" borderId="0" xfId="0" applyFont="1" applyFill="1" applyAlignment="1" applyProtection="1">
      <alignment horizontal="left" vertical="center" wrapText="1"/>
    </xf>
    <xf numFmtId="0" fontId="6" fillId="3" borderId="11" xfId="0" applyFont="1" applyFill="1" applyBorder="1" applyAlignment="1" applyProtection="1">
      <alignment vertical="center" wrapText="1"/>
    </xf>
    <xf numFmtId="0" fontId="12" fillId="3" borderId="11" xfId="0" applyFont="1" applyFill="1" applyBorder="1" applyAlignment="1" applyProtection="1">
      <alignment horizontal="center" vertical="center"/>
    </xf>
    <xf numFmtId="2" fontId="12" fillId="3" borderId="11" xfId="0" applyNumberFormat="1" applyFont="1" applyFill="1" applyBorder="1" applyAlignment="1" applyProtection="1">
      <alignment horizontal="center" vertical="center"/>
    </xf>
    <xf numFmtId="164" fontId="12" fillId="3" borderId="11" xfId="0" applyNumberFormat="1" applyFont="1" applyFill="1" applyBorder="1" applyAlignment="1" applyProtection="1">
      <alignment horizontal="center" vertical="center"/>
    </xf>
    <xf numFmtId="0" fontId="12" fillId="3" borderId="11" xfId="0" quotePrefix="1" applyFont="1" applyFill="1" applyBorder="1" applyAlignment="1" applyProtection="1">
      <alignment horizontal="center" vertical="center"/>
    </xf>
    <xf numFmtId="1" fontId="12" fillId="3" borderId="11" xfId="0" quotePrefix="1" applyNumberFormat="1" applyFont="1" applyFill="1" applyBorder="1" applyAlignment="1" applyProtection="1">
      <alignment horizontal="center" vertical="center"/>
    </xf>
    <xf numFmtId="0" fontId="6" fillId="3" borderId="5" xfId="0" applyFont="1" applyFill="1" applyBorder="1" applyProtection="1"/>
    <xf numFmtId="166" fontId="6" fillId="3" borderId="7" xfId="0" applyNumberFormat="1" applyFont="1" applyFill="1" applyBorder="1" applyProtection="1"/>
    <xf numFmtId="0" fontId="12" fillId="3" borderId="0" xfId="0" applyFont="1" applyFill="1" applyAlignment="1" applyProtection="1">
      <alignment horizontal="left" vertical="center"/>
    </xf>
    <xf numFmtId="0" fontId="12" fillId="3" borderId="0" xfId="0" quotePrefix="1" applyFont="1" applyFill="1" applyAlignment="1" applyProtection="1">
      <alignment horizontal="center" vertical="center"/>
    </xf>
    <xf numFmtId="164" fontId="12" fillId="3" borderId="0" xfId="0" quotePrefix="1" applyNumberFormat="1" applyFont="1" applyFill="1" applyAlignment="1" applyProtection="1">
      <alignment horizontal="center" vertical="center"/>
    </xf>
    <xf numFmtId="0" fontId="6" fillId="3" borderId="0" xfId="0" applyFont="1" applyFill="1" applyAlignment="1" applyProtection="1">
      <alignment wrapText="1"/>
    </xf>
    <xf numFmtId="0" fontId="6" fillId="3" borderId="8" xfId="0" applyFont="1" applyFill="1" applyBorder="1" applyProtection="1"/>
    <xf numFmtId="0" fontId="6" fillId="3" borderId="8" xfId="0" applyFont="1" applyFill="1" applyBorder="1" applyAlignment="1" applyProtection="1">
      <alignment horizontal="center"/>
    </xf>
    <xf numFmtId="0" fontId="6" fillId="3" borderId="7" xfId="0" applyFont="1" applyFill="1" applyBorder="1" applyProtection="1"/>
    <xf numFmtId="0" fontId="6" fillId="3" borderId="3" xfId="0" applyFont="1" applyFill="1" applyBorder="1" applyAlignment="1" applyProtection="1">
      <alignment horizontal="center"/>
    </xf>
    <xf numFmtId="0" fontId="8" fillId="3" borderId="3" xfId="0" applyFont="1" applyFill="1" applyBorder="1" applyProtection="1"/>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6" fillId="3" borderId="7" xfId="0" applyFont="1" applyFill="1" applyBorder="1" applyAlignment="1" applyProtection="1">
      <alignment wrapText="1"/>
    </xf>
    <xf numFmtId="0" fontId="6" fillId="3" borderId="11" xfId="0" applyFont="1" applyFill="1" applyBorder="1" applyAlignment="1" applyProtection="1">
      <alignment horizontal="center" vertical="center" wrapText="1"/>
    </xf>
    <xf numFmtId="0" fontId="8" fillId="3" borderId="0" xfId="0" applyFont="1" applyFill="1" applyAlignment="1" applyProtection="1">
      <alignment horizontal="center" wrapText="1"/>
    </xf>
    <xf numFmtId="0" fontId="6" fillId="3" borderId="6" xfId="0" applyFont="1" applyFill="1" applyBorder="1" applyProtection="1"/>
    <xf numFmtId="0" fontId="6" fillId="3" borderId="9" xfId="0" applyFont="1" applyFill="1" applyBorder="1" applyProtection="1"/>
    <xf numFmtId="0" fontId="6" fillId="3" borderId="11" xfId="0" quotePrefix="1" applyFont="1" applyFill="1" applyBorder="1" applyAlignment="1" applyProtection="1">
      <alignment horizontal="center" vertical="center"/>
    </xf>
    <xf numFmtId="0" fontId="6" fillId="3" borderId="11" xfId="0" applyFont="1" applyFill="1" applyBorder="1" applyAlignment="1" applyProtection="1">
      <alignment horizontal="left" vertical="center" wrapText="1"/>
    </xf>
    <xf numFmtId="0" fontId="6" fillId="3" borderId="0" xfId="0" applyFont="1" applyFill="1" applyAlignment="1" applyProtection="1">
      <alignment horizontal="left"/>
    </xf>
    <xf numFmtId="0" fontId="6" fillId="3" borderId="11" xfId="0" applyFont="1" applyFill="1" applyBorder="1" applyProtection="1"/>
    <xf numFmtId="0" fontId="6" fillId="3" borderId="11" xfId="0" applyFont="1" applyFill="1" applyBorder="1" applyAlignment="1" applyProtection="1">
      <alignment horizontal="center" wrapText="1"/>
    </xf>
    <xf numFmtId="0" fontId="6" fillId="3" borderId="11" xfId="0" applyFont="1" applyFill="1" applyBorder="1" applyAlignment="1" applyProtection="1">
      <alignment horizontal="center"/>
    </xf>
    <xf numFmtId="0" fontId="6" fillId="3" borderId="11" xfId="0" applyFont="1" applyFill="1" applyBorder="1" applyAlignment="1" applyProtection="1">
      <alignment horizontal="center" vertical="center"/>
    </xf>
    <xf numFmtId="0" fontId="6" fillId="0" borderId="11" xfId="0" quotePrefix="1" applyFont="1" applyBorder="1" applyAlignment="1" applyProtection="1">
      <alignment horizontal="center" vertical="center"/>
    </xf>
    <xf numFmtId="165" fontId="6" fillId="3" borderId="1" xfId="0" applyNumberFormat="1" applyFont="1" applyFill="1" applyBorder="1" applyProtection="1"/>
    <xf numFmtId="0" fontId="6" fillId="3" borderId="1" xfId="0" applyFont="1" applyFill="1" applyBorder="1" applyProtection="1"/>
    <xf numFmtId="0" fontId="6" fillId="3" borderId="0" xfId="0" applyFont="1" applyFill="1" applyAlignment="1" applyProtection="1">
      <alignment horizontal="center"/>
    </xf>
    <xf numFmtId="165" fontId="12" fillId="3" borderId="0" xfId="0" applyNumberFormat="1" applyFont="1" applyFill="1" applyAlignment="1" applyProtection="1">
      <alignment horizontal="center" vertical="center" wrapText="1"/>
    </xf>
    <xf numFmtId="0" fontId="6" fillId="11" borderId="0" xfId="0" applyFont="1" applyFill="1" applyProtection="1"/>
    <xf numFmtId="0" fontId="9" fillId="10" borderId="47" xfId="1" applyFont="1" applyFill="1" applyBorder="1" applyAlignment="1" applyProtection="1">
      <alignment horizontal="center" vertical="center" wrapText="1"/>
    </xf>
    <xf numFmtId="0" fontId="9" fillId="10" borderId="60" xfId="1" applyFont="1" applyFill="1" applyBorder="1" applyAlignment="1" applyProtection="1">
      <alignment horizontal="center" vertical="center" wrapText="1"/>
    </xf>
    <xf numFmtId="0" fontId="6" fillId="11" borderId="64" xfId="0" applyFont="1" applyFill="1" applyBorder="1" applyAlignment="1" applyProtection="1">
      <alignment horizontal="center" vertical="center"/>
    </xf>
    <xf numFmtId="0" fontId="6" fillId="0" borderId="103" xfId="0" applyFont="1" applyBorder="1" applyAlignment="1" applyProtection="1">
      <alignment horizontal="left" vertical="center" indent="1"/>
    </xf>
    <xf numFmtId="0" fontId="6" fillId="0" borderId="46" xfId="0" applyFont="1" applyBorder="1" applyProtection="1"/>
    <xf numFmtId="9" fontId="6" fillId="0" borderId="46" xfId="0" applyNumberFormat="1" applyFont="1" applyBorder="1" applyProtection="1"/>
    <xf numFmtId="0" fontId="6" fillId="0" borderId="21"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46" xfId="0" applyFont="1" applyBorder="1" applyAlignment="1" applyProtection="1">
      <alignment horizontal="left" vertical="center" indent="1"/>
    </xf>
    <xf numFmtId="0" fontId="6" fillId="0" borderId="45" xfId="0" applyFont="1" applyBorder="1" applyProtection="1"/>
    <xf numFmtId="9" fontId="6" fillId="0" borderId="45" xfId="0" applyNumberFormat="1" applyFont="1" applyBorder="1" applyProtection="1"/>
    <xf numFmtId="0" fontId="6" fillId="11" borderId="0" xfId="0" applyFont="1" applyFill="1" applyAlignment="1" applyProtection="1">
      <alignment vertical="center" wrapText="1"/>
    </xf>
    <xf numFmtId="0" fontId="9" fillId="10" borderId="61" xfId="1" applyFont="1" applyFill="1" applyBorder="1" applyAlignment="1" applyProtection="1">
      <alignment horizontal="center" vertical="center" wrapText="1"/>
    </xf>
    <xf numFmtId="0" fontId="12" fillId="11" borderId="0" xfId="1" applyFont="1" applyFill="1" applyProtection="1"/>
    <xf numFmtId="0" fontId="6" fillId="11" borderId="0" xfId="0" applyFont="1" applyFill="1" applyAlignment="1" applyProtection="1">
      <alignment wrapText="1"/>
    </xf>
    <xf numFmtId="0" fontId="6" fillId="0" borderId="62" xfId="0" applyFont="1" applyBorder="1" applyProtection="1"/>
    <xf numFmtId="0" fontId="12" fillId="0" borderId="35" xfId="1" applyFont="1" applyBorder="1" applyAlignment="1" applyProtection="1">
      <alignment vertical="center" wrapText="1"/>
    </xf>
    <xf numFmtId="0" fontId="12" fillId="0" borderId="24" xfId="1" applyFont="1" applyBorder="1" applyAlignment="1" applyProtection="1">
      <alignment horizontal="center" vertical="center" wrapText="1"/>
    </xf>
    <xf numFmtId="0" fontId="12" fillId="0" borderId="28" xfId="1" applyFont="1" applyBorder="1" applyAlignment="1" applyProtection="1">
      <alignment vertical="center" wrapText="1"/>
    </xf>
    <xf numFmtId="0" fontId="6" fillId="0" borderId="99" xfId="0" applyFont="1" applyBorder="1" applyProtection="1"/>
    <xf numFmtId="0" fontId="12" fillId="0" borderId="22" xfId="1" applyFont="1" applyBorder="1" applyAlignment="1" applyProtection="1">
      <alignment vertical="center" wrapText="1"/>
    </xf>
    <xf numFmtId="165" fontId="12" fillId="0" borderId="16" xfId="1" applyNumberFormat="1" applyFont="1" applyBorder="1" applyAlignment="1" applyProtection="1">
      <alignment horizontal="center" vertical="center" wrapText="1"/>
    </xf>
    <xf numFmtId="0" fontId="12" fillId="0" borderId="23" xfId="1" applyFont="1" applyBorder="1" applyAlignment="1" applyProtection="1">
      <alignment vertical="center" wrapText="1"/>
    </xf>
    <xf numFmtId="0" fontId="6" fillId="0" borderId="63" xfId="0" applyFont="1" applyBorder="1" applyProtection="1"/>
    <xf numFmtId="0" fontId="12" fillId="0" borderId="65" xfId="1" applyFont="1" applyBorder="1" applyAlignment="1" applyProtection="1">
      <alignment vertical="center" wrapText="1"/>
    </xf>
    <xf numFmtId="0" fontId="12" fillId="0" borderId="66" xfId="1" applyFont="1" applyBorder="1" applyAlignment="1" applyProtection="1">
      <alignment horizontal="center" vertical="center" wrapText="1"/>
    </xf>
    <xf numFmtId="0" fontId="12" fillId="0" borderId="67" xfId="1" applyFont="1" applyBorder="1" applyAlignment="1" applyProtection="1">
      <alignment vertical="center" wrapText="1"/>
    </xf>
    <xf numFmtId="9" fontId="6" fillId="0" borderId="46" xfId="0" applyNumberFormat="1" applyFont="1" applyBorder="1" applyAlignment="1" applyProtection="1">
      <alignment horizontal="center"/>
    </xf>
    <xf numFmtId="0" fontId="12" fillId="0" borderId="20" xfId="1" applyFont="1" applyBorder="1" applyAlignment="1" applyProtection="1">
      <alignment vertical="center" wrapText="1"/>
    </xf>
    <xf numFmtId="0" fontId="12" fillId="0" borderId="1" xfId="1" applyFont="1" applyBorder="1" applyAlignment="1" applyProtection="1">
      <alignment horizontal="center" vertical="center" wrapText="1"/>
    </xf>
    <xf numFmtId="0" fontId="12" fillId="0" borderId="21" xfId="1" applyFont="1" applyBorder="1" applyAlignment="1" applyProtection="1">
      <alignment vertical="center" wrapText="1"/>
    </xf>
    <xf numFmtId="9" fontId="6" fillId="0" borderId="45" xfId="0" applyNumberFormat="1" applyFont="1" applyBorder="1" applyAlignment="1" applyProtection="1">
      <alignment horizontal="center"/>
    </xf>
    <xf numFmtId="0" fontId="6" fillId="0" borderId="45" xfId="0" applyFont="1" applyBorder="1" applyAlignment="1" applyProtection="1">
      <alignment horizontal="left" vertical="center" indent="1"/>
    </xf>
    <xf numFmtId="3" fontId="12" fillId="0" borderId="1" xfId="1" applyNumberFormat="1" applyFont="1" applyBorder="1" applyAlignment="1" applyProtection="1">
      <alignment horizontal="center" vertical="center" wrapText="1"/>
    </xf>
    <xf numFmtId="0" fontId="12" fillId="0" borderId="16" xfId="1" applyFont="1" applyBorder="1" applyAlignment="1" applyProtection="1">
      <alignment horizontal="center" vertical="center" wrapText="1"/>
    </xf>
    <xf numFmtId="3" fontId="12" fillId="0" borderId="16" xfId="1" applyNumberFormat="1" applyFont="1" applyBorder="1" applyAlignment="1" applyProtection="1">
      <alignment horizontal="center" vertical="center" wrapText="1"/>
    </xf>
    <xf numFmtId="0" fontId="6" fillId="0" borderId="81" xfId="0" applyFont="1" applyBorder="1" applyProtection="1"/>
    <xf numFmtId="0" fontId="16" fillId="3" borderId="82" xfId="0" applyFont="1" applyFill="1" applyBorder="1" applyAlignment="1" applyProtection="1">
      <alignment horizontal="left" vertical="center" wrapText="1"/>
    </xf>
    <xf numFmtId="0" fontId="6" fillId="0" borderId="31" xfId="0" applyFont="1" applyBorder="1" applyAlignment="1" applyProtection="1">
      <alignmen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vertical="center"/>
    </xf>
    <xf numFmtId="0" fontId="6" fillId="0" borderId="23" xfId="0" applyFont="1" applyBorder="1" applyAlignment="1" applyProtection="1">
      <alignment horizontal="center" vertical="center"/>
    </xf>
    <xf numFmtId="0" fontId="6" fillId="0" borderId="39" xfId="0" applyFont="1" applyBorder="1" applyAlignment="1" applyProtection="1">
      <alignment horizontal="center" vertical="center"/>
    </xf>
    <xf numFmtId="0" fontId="8" fillId="6" borderId="47"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92" xfId="0" applyFont="1" applyFill="1" applyBorder="1" applyAlignment="1" applyProtection="1">
      <alignment horizontal="center" vertical="center" wrapText="1"/>
    </xf>
    <xf numFmtId="0" fontId="8" fillId="6" borderId="51" xfId="0" applyFont="1" applyFill="1" applyBorder="1" applyAlignment="1" applyProtection="1">
      <alignment horizontal="left" wrapText="1"/>
    </xf>
    <xf numFmtId="0" fontId="6" fillId="3" borderId="17" xfId="0" applyFont="1" applyFill="1" applyBorder="1" applyAlignment="1" applyProtection="1">
      <alignment horizontal="center"/>
    </xf>
    <xf numFmtId="164" fontId="6" fillId="3" borderId="15" xfId="0" applyNumberFormat="1" applyFont="1" applyFill="1" applyBorder="1" applyAlignment="1" applyProtection="1">
      <alignment horizontal="center"/>
    </xf>
    <xf numFmtId="0" fontId="6" fillId="3" borderId="18" xfId="0" applyFont="1" applyFill="1" applyBorder="1" applyProtection="1"/>
    <xf numFmtId="0" fontId="6" fillId="0" borderId="93" xfId="0" applyFont="1" applyBorder="1" applyAlignment="1" applyProtection="1">
      <alignment wrapText="1"/>
    </xf>
    <xf numFmtId="0" fontId="6" fillId="3" borderId="20"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52" xfId="0" applyFont="1" applyFill="1" applyBorder="1" applyProtection="1"/>
    <xf numFmtId="0" fontId="6" fillId="3" borderId="96" xfId="0" applyFont="1" applyFill="1" applyBorder="1" applyAlignment="1" applyProtection="1">
      <alignment horizontal="left" wrapText="1"/>
    </xf>
    <xf numFmtId="3" fontId="6" fillId="0" borderId="20" xfId="0" applyNumberFormat="1" applyFont="1" applyBorder="1" applyAlignment="1" applyProtection="1">
      <alignment horizontal="center" vertical="center"/>
    </xf>
    <xf numFmtId="1" fontId="6" fillId="3" borderId="1" xfId="0" applyNumberFormat="1" applyFont="1" applyFill="1" applyBorder="1" applyAlignment="1" applyProtection="1">
      <alignment horizontal="center"/>
    </xf>
    <xf numFmtId="0" fontId="6" fillId="3" borderId="97" xfId="0" applyFont="1" applyFill="1" applyBorder="1" applyAlignment="1" applyProtection="1">
      <alignment horizontal="left" wrapText="1"/>
    </xf>
    <xf numFmtId="0" fontId="6" fillId="3" borderId="94" xfId="0" applyFont="1" applyFill="1" applyBorder="1" applyAlignment="1" applyProtection="1">
      <alignment wrapText="1"/>
    </xf>
    <xf numFmtId="0" fontId="6" fillId="3" borderId="51" xfId="0" applyFont="1" applyFill="1" applyBorder="1" applyAlignment="1" applyProtection="1">
      <alignment horizontal="center"/>
    </xf>
    <xf numFmtId="0" fontId="6" fillId="3" borderId="70" xfId="0" applyFont="1" applyFill="1" applyBorder="1" applyAlignment="1" applyProtection="1">
      <alignment horizontal="center"/>
    </xf>
    <xf numFmtId="0" fontId="8" fillId="6" borderId="59" xfId="0" applyFont="1" applyFill="1" applyBorder="1" applyAlignment="1" applyProtection="1">
      <alignment horizontal="left" wrapText="1"/>
    </xf>
    <xf numFmtId="0" fontId="6" fillId="3" borderId="59" xfId="0" applyFont="1" applyFill="1" applyBorder="1" applyProtection="1"/>
    <xf numFmtId="0" fontId="6" fillId="3" borderId="83" xfId="0" applyFont="1" applyFill="1" applyBorder="1" applyProtection="1"/>
    <xf numFmtId="0" fontId="6" fillId="3" borderId="29" xfId="0" applyFont="1" applyFill="1" applyBorder="1" applyProtection="1"/>
    <xf numFmtId="0" fontId="6" fillId="3" borderId="95" xfId="0" applyFont="1" applyFill="1" applyBorder="1" applyAlignment="1" applyProtection="1">
      <alignment wrapText="1"/>
    </xf>
    <xf numFmtId="0" fontId="6" fillId="3" borderId="0" xfId="0" applyFont="1" applyFill="1" applyAlignment="1" applyProtection="1">
      <alignment vertical="top" wrapText="1"/>
    </xf>
    <xf numFmtId="0" fontId="8" fillId="3" borderId="0" xfId="0" applyFont="1" applyFill="1" applyProtection="1"/>
    <xf numFmtId="0" fontId="24" fillId="3" borderId="0" xfId="0" applyFont="1" applyFill="1" applyProtection="1"/>
    <xf numFmtId="0" fontId="6" fillId="3" borderId="0" xfId="0" applyFont="1" applyFill="1" applyAlignment="1" applyProtection="1">
      <alignment horizontal="left" wrapText="1"/>
    </xf>
    <xf numFmtId="0" fontId="6" fillId="3" borderId="0" xfId="0" applyFont="1" applyFill="1" applyAlignment="1" applyProtection="1">
      <alignment wrapText="1"/>
    </xf>
  </cellXfs>
  <cellStyles count="4">
    <cellStyle name="Comma" xfId="3" builtinId="3"/>
    <cellStyle name="Normal" xfId="0" builtinId="0"/>
    <cellStyle name="Normal 2" xfId="1" xr:uid="{BC27F4E2-20B8-47A4-9D90-F2F490171813}"/>
    <cellStyle name="Percent" xfId="2" builtinId="5"/>
  </cellStyles>
  <dxfs count="578">
    <dxf>
      <font>
        <strike val="0"/>
        <outline val="0"/>
        <shadow val="0"/>
        <u val="none"/>
        <vertAlign val="baseline"/>
        <sz val="10"/>
        <color auto="1"/>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sz val="10"/>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9.5"/>
        <color rgb="FF000000"/>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numFmt numFmtId="2" formatCode="0.00"/>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imes New Roman"/>
        <family val="1"/>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Times New Roman"/>
        <family val="1"/>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numFmt numFmtId="166" formatCode="0.0E+00"/>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auto="1"/>
        <name val="Times New Roman"/>
        <family val="1"/>
        <scheme val="none"/>
      </font>
      <numFmt numFmtId="15" formatCode="0.00E+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color auto="1"/>
        <name val="Times New Roman"/>
        <family val="1"/>
        <scheme val="none"/>
      </font>
      <numFmt numFmtId="15" formatCode="0.00E+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medium">
          <color auto="1"/>
        </left>
        <right style="medium">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fgColor indexed="64"/>
          <bgColor theme="0"/>
        </patternFill>
      </fill>
      <alignment horizontal="center"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textRotation="0" wrapText="0" indent="0" justifyLastLine="0" shrinkToFit="0" readingOrder="0"/>
      <protection locked="1" hidden="0"/>
    </dxf>
    <dxf>
      <font>
        <b val="0"/>
        <i val="0"/>
        <strike val="0"/>
        <condense val="0"/>
        <extend val="0"/>
        <outline val="0"/>
        <shadow val="0"/>
        <u val="none"/>
        <vertAlign val="baseline"/>
        <sz val="10"/>
        <color auto="1"/>
        <name val="Times New Roman"/>
        <family val="1"/>
        <scheme val="none"/>
      </font>
      <alignment textRotation="0" wrapText="0" indent="0" justifyLastLine="0" shrinkToFit="0" readingOrder="0"/>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left" vertical="center" textRotation="0" wrapText="0"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textRotation="0" wrapText="0" indent="0" justifyLastLine="0" shrinkToFit="0" readingOrder="0"/>
      <border outline="0">
        <right style="thin">
          <color auto="1"/>
        </right>
      </border>
      <protection locked="1" hidden="0"/>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4" formatCode="0;0;"/>
    </dxf>
    <dxf>
      <fill>
        <patternFill>
          <bgColor rgb="FF00B050"/>
        </patternFill>
      </fill>
    </dxf>
    <dxf>
      <numFmt numFmtId="166" formatCode="0.0E+00"/>
    </dxf>
    <dxf>
      <numFmt numFmtId="2" formatCode="0.00"/>
    </dxf>
    <dxf>
      <numFmt numFmtId="164" formatCode="0.0"/>
    </dxf>
    <dxf>
      <numFmt numFmtId="1" formatCode="0"/>
    </dxf>
    <dxf>
      <numFmt numFmtId="166" formatCode="0.0E+00"/>
    </dxf>
    <dxf>
      <numFmt numFmtId="174" formatCode="0;0;"/>
    </dxf>
    <dxf>
      <numFmt numFmtId="166" formatCode="0.0E+00"/>
    </dxf>
    <dxf>
      <numFmt numFmtId="2" formatCode="0.00"/>
    </dxf>
    <dxf>
      <numFmt numFmtId="164" formatCode="0.0"/>
    </dxf>
    <dxf>
      <numFmt numFmtId="1" formatCode="0"/>
    </dxf>
    <dxf>
      <numFmt numFmtId="166" formatCode="0.0E+00"/>
    </dxf>
    <dxf>
      <numFmt numFmtId="174" formatCode="0;0;"/>
    </dxf>
    <dxf>
      <numFmt numFmtId="166" formatCode="0.0E+00"/>
    </dxf>
    <dxf>
      <numFmt numFmtId="2" formatCode="0.00"/>
    </dxf>
    <dxf>
      <numFmt numFmtId="164" formatCode="0.0"/>
    </dxf>
    <dxf>
      <numFmt numFmtId="1" formatCode="0"/>
    </dxf>
    <dxf>
      <numFmt numFmtId="166" formatCode="0.0E+00"/>
    </dxf>
    <dxf>
      <numFmt numFmtId="174" formatCode="0;0;"/>
    </dxf>
    <dxf>
      <numFmt numFmtId="174" formatCode="0;0;"/>
    </dxf>
    <dxf>
      <numFmt numFmtId="166" formatCode="0.0E+00"/>
    </dxf>
    <dxf>
      <numFmt numFmtId="2" formatCode="0.00"/>
    </dxf>
    <dxf>
      <numFmt numFmtId="164" formatCode="0.0"/>
    </dxf>
    <dxf>
      <numFmt numFmtId="1" formatCode="0"/>
    </dxf>
    <dxf>
      <numFmt numFmtId="166" formatCode="0.0E+00"/>
    </dxf>
    <dxf>
      <numFmt numFmtId="166" formatCode="0.0E+00"/>
    </dxf>
    <dxf>
      <numFmt numFmtId="2" formatCode="0.00"/>
    </dxf>
    <dxf>
      <numFmt numFmtId="164" formatCode="0.0"/>
    </dxf>
    <dxf>
      <numFmt numFmtId="1" formatCode="0"/>
    </dxf>
    <dxf>
      <numFmt numFmtId="166" formatCode="0.0E+00"/>
    </dxf>
    <dxf>
      <numFmt numFmtId="174" formatCode="0;0;"/>
    </dxf>
    <dxf>
      <numFmt numFmtId="166" formatCode="0.0E+00"/>
    </dxf>
    <dxf>
      <numFmt numFmtId="2" formatCode="0.00"/>
    </dxf>
    <dxf>
      <numFmt numFmtId="164" formatCode="0.0"/>
    </dxf>
    <dxf>
      <numFmt numFmtId="1" formatCode="0"/>
    </dxf>
    <dxf>
      <numFmt numFmtId="166" formatCode="0.0E+00"/>
    </dxf>
    <dxf>
      <numFmt numFmtId="174" formatCode="0;0;"/>
    </dxf>
    <dxf>
      <numFmt numFmtId="164" formatCode="0.0"/>
    </dxf>
    <dxf>
      <numFmt numFmtId="1" formatCode="0"/>
    </dxf>
    <dxf>
      <numFmt numFmtId="164" formatCode="0.0"/>
    </dxf>
    <dxf>
      <numFmt numFmtId="2" formatCode="0.00"/>
    </dxf>
    <dxf>
      <numFmt numFmtId="166" formatCode="0.0E+00"/>
    </dxf>
    <dxf>
      <numFmt numFmtId="2" formatCode="0.00"/>
    </dxf>
    <dxf>
      <numFmt numFmtId="164" formatCode="0.0"/>
    </dxf>
    <dxf>
      <numFmt numFmtId="2" formatCode="0.00"/>
    </dxf>
    <dxf>
      <numFmt numFmtId="164" formatCode="0.0"/>
    </dxf>
    <dxf>
      <numFmt numFmtId="166" formatCode="0.0E+00"/>
    </dxf>
    <dxf>
      <numFmt numFmtId="166" formatCode="0.0E+00"/>
    </dxf>
    <dxf>
      <numFmt numFmtId="164" formatCode="0.0"/>
    </dxf>
    <dxf>
      <numFmt numFmtId="2" formatCode="0.00"/>
    </dxf>
    <dxf>
      <numFmt numFmtId="166" formatCode="0.0E+00"/>
    </dxf>
    <dxf>
      <numFmt numFmtId="164" formatCode="0.0"/>
    </dxf>
    <dxf>
      <numFmt numFmtId="166" formatCode="0.0E+00"/>
    </dxf>
    <dxf>
      <numFmt numFmtId="2" formatCode="0.00"/>
    </dxf>
    <dxf>
      <numFmt numFmtId="166" formatCode="0.0E+00"/>
    </dxf>
    <dxf>
      <numFmt numFmtId="2" formatCode="0.00"/>
    </dxf>
    <dxf>
      <numFmt numFmtId="166" formatCode="0.0E+00"/>
    </dxf>
    <dxf>
      <numFmt numFmtId="164" formatCode="0.0"/>
    </dxf>
    <dxf>
      <numFmt numFmtId="166" formatCode="0.0E+00"/>
    </dxf>
    <dxf>
      <numFmt numFmtId="2" formatCode="0.00"/>
    </dxf>
    <dxf>
      <numFmt numFmtId="1" formatCode="0"/>
    </dxf>
    <dxf>
      <numFmt numFmtId="166" formatCode="0.0E+00"/>
    </dxf>
    <dxf>
      <numFmt numFmtId="164" formatCode="0.0"/>
    </dxf>
    <dxf>
      <numFmt numFmtId="166" formatCode="0.0E+00"/>
    </dxf>
    <dxf>
      <numFmt numFmtId="2" formatCode="0.00"/>
    </dxf>
    <dxf>
      <numFmt numFmtId="166" formatCode="0.0E+00"/>
    </dxf>
    <dxf>
      <numFmt numFmtId="166" formatCode="0.0E+00"/>
    </dxf>
    <dxf>
      <numFmt numFmtId="2" formatCode="0.00"/>
    </dxf>
    <dxf>
      <numFmt numFmtId="166" formatCode="0.0E+00"/>
    </dxf>
    <dxf>
      <numFmt numFmtId="166" formatCode="0.0E+00"/>
    </dxf>
    <dxf>
      <numFmt numFmtId="164" formatCode="0.0"/>
    </dxf>
    <dxf>
      <numFmt numFmtId="2" formatCode="0.00"/>
    </dxf>
    <dxf>
      <numFmt numFmtId="1" formatCode="0"/>
    </dxf>
    <dxf>
      <numFmt numFmtId="164" formatCode="0.0"/>
    </dxf>
    <dxf>
      <numFmt numFmtId="15" formatCode="0.00E+00"/>
    </dxf>
    <dxf>
      <fill>
        <patternFill>
          <bgColor theme="0"/>
        </patternFill>
      </fill>
    </dxf>
    <dxf>
      <font>
        <color theme="0"/>
      </font>
      <fill>
        <patternFill>
          <bgColor theme="0"/>
        </patternFill>
      </fill>
    </dxf>
    <dxf>
      <fill>
        <patternFill>
          <bgColor theme="0"/>
        </patternFill>
      </fill>
    </dxf>
    <dxf>
      <numFmt numFmtId="15" formatCode="0.00E+00"/>
    </dxf>
    <dxf>
      <font>
        <color theme="0"/>
      </font>
      <fill>
        <patternFill>
          <bgColor theme="0"/>
        </patternFill>
      </fill>
    </dxf>
    <dxf>
      <numFmt numFmtId="166" formatCode="0.0E+00"/>
    </dxf>
    <dxf>
      <numFmt numFmtId="1" formatCode="0"/>
    </dxf>
    <dxf>
      <numFmt numFmtId="164" formatCode="0.0"/>
    </dxf>
    <dxf>
      <numFmt numFmtId="2" formatCode="0.00"/>
    </dxf>
    <dxf>
      <numFmt numFmtId="166" formatCode="0.0E+00"/>
    </dxf>
    <dxf>
      <numFmt numFmtId="174" formatCode="0;0;"/>
    </dxf>
    <dxf>
      <numFmt numFmtId="2" formatCode="0.00"/>
    </dxf>
    <dxf>
      <numFmt numFmtId="174" formatCode="0;0;"/>
    </dxf>
    <dxf>
      <numFmt numFmtId="166" formatCode="0.0E+00"/>
    </dxf>
    <dxf>
      <numFmt numFmtId="1" formatCode="0"/>
    </dxf>
    <dxf>
      <numFmt numFmtId="164" formatCode="0.0"/>
    </dxf>
    <dxf>
      <numFmt numFmtId="166" formatCode="0.0E+00"/>
    </dxf>
    <dxf>
      <fill>
        <patternFill>
          <bgColor rgb="FF00B050"/>
        </patternFill>
      </fill>
    </dxf>
    <dxf>
      <font>
        <strike val="0"/>
        <color auto="1"/>
      </font>
      <fill>
        <patternFill>
          <bgColor theme="5"/>
        </patternFill>
      </fill>
    </dxf>
    <dxf>
      <font>
        <color theme="0"/>
      </font>
      <fill>
        <patternFill>
          <bgColor theme="0"/>
        </patternFill>
      </fill>
    </dxf>
    <dxf>
      <numFmt numFmtId="1" formatCode="0"/>
    </dxf>
    <dxf>
      <numFmt numFmtId="166" formatCode="0.0E+00"/>
    </dxf>
    <dxf>
      <numFmt numFmtId="173" formatCode="#,##0.0"/>
    </dxf>
    <dxf>
      <fill>
        <patternFill>
          <bgColor theme="0"/>
        </patternFill>
      </fill>
    </dxf>
    <dxf>
      <fill>
        <patternFill>
          <bgColor theme="5"/>
        </patternFill>
      </fill>
    </dxf>
    <dxf>
      <fill>
        <patternFill>
          <bgColor rgb="FF00B050"/>
        </patternFill>
      </fill>
    </dxf>
    <dxf>
      <numFmt numFmtId="164" formatCode="0.0"/>
    </dxf>
    <dxf>
      <numFmt numFmtId="15" formatCode="0.00E+00"/>
    </dxf>
    <dxf>
      <fill>
        <patternFill>
          <bgColor theme="0"/>
        </patternFill>
      </fill>
    </dxf>
    <dxf>
      <font>
        <color theme="0"/>
      </font>
      <fill>
        <patternFill>
          <bgColor theme="0"/>
        </patternFill>
      </fill>
    </dxf>
    <dxf>
      <numFmt numFmtId="3" formatCode="#,##0"/>
    </dxf>
    <dxf>
      <fill>
        <patternFill>
          <bgColor theme="0"/>
        </patternFill>
      </fill>
    </dxf>
    <dxf>
      <numFmt numFmtId="3" formatCode="#,##0"/>
    </dxf>
    <dxf>
      <numFmt numFmtId="15" formatCode="0.00E+00"/>
    </dxf>
    <dxf>
      <numFmt numFmtId="164" formatCode="0.0"/>
    </dxf>
    <dxf>
      <font>
        <color theme="0"/>
      </font>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numFmt numFmtId="15" formatCode="0.00E+00"/>
    </dxf>
    <dxf>
      <numFmt numFmtId="164" formatCode="0.0"/>
    </dxf>
    <dxf>
      <font>
        <color theme="0"/>
      </font>
      <fill>
        <patternFill>
          <bgColor theme="0"/>
        </patternFill>
      </fill>
    </dxf>
    <dxf>
      <numFmt numFmtId="3" formatCode="#,##0"/>
    </dxf>
    <dxf>
      <numFmt numFmtId="3" formatCode="#,##0"/>
    </dxf>
    <dxf>
      <font>
        <color theme="0"/>
      </font>
      <fill>
        <patternFill>
          <bgColor theme="0"/>
        </patternFill>
      </fill>
    </dxf>
    <dxf>
      <fill>
        <patternFill>
          <bgColor theme="0"/>
        </patternFill>
      </fill>
    </dxf>
    <dxf>
      <numFmt numFmtId="15" formatCode="0.00E+00"/>
    </dxf>
    <dxf>
      <numFmt numFmtId="164" formatCode="0.0"/>
    </dxf>
    <dxf>
      <numFmt numFmtId="15" formatCode="0.00E+00"/>
    </dxf>
    <dxf>
      <fill>
        <patternFill>
          <bgColor theme="0"/>
        </patternFill>
      </fill>
    </dxf>
    <dxf>
      <font>
        <color theme="0"/>
      </font>
      <fill>
        <patternFill>
          <bgColor theme="0"/>
        </patternFill>
      </fill>
    </dxf>
    <dxf>
      <numFmt numFmtId="166" formatCode="0.0E+00"/>
    </dxf>
    <dxf>
      <numFmt numFmtId="1" formatCode="0"/>
    </dxf>
    <dxf>
      <numFmt numFmtId="2" formatCode="0.00"/>
    </dxf>
    <dxf>
      <numFmt numFmtId="166" formatCode="0.0E+00"/>
    </dxf>
    <dxf>
      <numFmt numFmtId="164" formatCode="0.0"/>
    </dxf>
    <dxf>
      <numFmt numFmtId="166" formatCode="0.0E+00"/>
    </dxf>
    <dxf>
      <numFmt numFmtId="1" formatCode="0"/>
    </dxf>
    <dxf>
      <numFmt numFmtId="2" formatCode="0.00"/>
    </dxf>
    <dxf>
      <numFmt numFmtId="1" formatCode="0"/>
    </dxf>
    <dxf>
      <numFmt numFmtId="166" formatCode="0.0E+00"/>
    </dxf>
    <dxf>
      <numFmt numFmtId="166" formatCode="0.0E+00"/>
    </dxf>
    <dxf>
      <numFmt numFmtId="164" formatCode="0.0"/>
    </dxf>
    <dxf>
      <font>
        <color theme="0"/>
      </font>
      <numFmt numFmtId="1" formatCode="0"/>
    </dxf>
    <dxf>
      <numFmt numFmtId="1" formatCode="0"/>
    </dxf>
    <dxf>
      <numFmt numFmtId="1" formatCode="0"/>
    </dxf>
    <dxf>
      <numFmt numFmtId="166" formatCode="0.0E+00"/>
    </dxf>
    <dxf>
      <numFmt numFmtId="1" formatCode="0"/>
    </dxf>
    <dxf>
      <numFmt numFmtId="2" formatCode="0.00"/>
    </dxf>
    <dxf>
      <numFmt numFmtId="164" formatCode="0.0"/>
    </dxf>
    <dxf>
      <numFmt numFmtId="1" formatCode="0"/>
    </dxf>
    <dxf>
      <numFmt numFmtId="166" formatCode="0.0E+00"/>
    </dxf>
    <dxf>
      <numFmt numFmtId="166" formatCode="0.0E+00"/>
    </dxf>
    <dxf>
      <numFmt numFmtId="166" formatCode="0.0E+00"/>
    </dxf>
    <dxf>
      <numFmt numFmtId="166" formatCode="0.0E+00"/>
    </dxf>
    <dxf>
      <numFmt numFmtId="2" formatCode="0.00"/>
    </dxf>
    <dxf>
      <numFmt numFmtId="164" formatCode="0.0"/>
    </dxf>
    <dxf>
      <numFmt numFmtId="1" formatCode="0"/>
    </dxf>
    <dxf>
      <numFmt numFmtId="166" formatCode="0.0E+00"/>
    </dxf>
    <dxf>
      <numFmt numFmtId="1" formatCode="0"/>
    </dxf>
    <dxf>
      <numFmt numFmtId="166" formatCode="0.0E+00"/>
    </dxf>
    <dxf>
      <numFmt numFmtId="1" formatCode="0"/>
    </dxf>
    <dxf>
      <numFmt numFmtId="166" formatCode="0.0E+00"/>
    </dxf>
    <dxf>
      <numFmt numFmtId="1" formatCode="0"/>
    </dxf>
    <dxf>
      <numFmt numFmtId="1" formatCode="0"/>
    </dxf>
    <dxf>
      <numFmt numFmtId="166" formatCode="0.0E+00"/>
    </dxf>
    <dxf>
      <numFmt numFmtId="166" formatCode="0.0E+00"/>
    </dxf>
    <dxf>
      <numFmt numFmtId="1" formatCode="0"/>
    </dxf>
    <dxf>
      <numFmt numFmtId="164" formatCode="0.0"/>
    </dxf>
    <dxf>
      <numFmt numFmtId="2" formatCode="0.00"/>
    </dxf>
    <dxf>
      <numFmt numFmtId="1" formatCode="0"/>
    </dxf>
    <dxf>
      <numFmt numFmtId="166" formatCode="0.0E+00"/>
    </dxf>
    <dxf>
      <numFmt numFmtId="1" formatCode="0"/>
    </dxf>
    <dxf>
      <numFmt numFmtId="2" formatCode="0.00"/>
    </dxf>
    <dxf>
      <numFmt numFmtId="164" formatCode="0.0"/>
    </dxf>
    <dxf>
      <numFmt numFmtId="1" formatCode="0"/>
    </dxf>
    <dxf>
      <numFmt numFmtId="166" formatCode="0.0E+00"/>
    </dxf>
    <dxf>
      <numFmt numFmtId="1" formatCode="0"/>
    </dxf>
    <dxf>
      <numFmt numFmtId="164" formatCode="0.0"/>
    </dxf>
    <dxf>
      <numFmt numFmtId="1" formatCode="0"/>
    </dxf>
    <dxf>
      <numFmt numFmtId="2" formatCode="0.00"/>
    </dxf>
    <dxf>
      <numFmt numFmtId="1" formatCode="0"/>
    </dxf>
    <dxf>
      <numFmt numFmtId="166" formatCode="0.0E+00"/>
    </dxf>
    <dxf>
      <numFmt numFmtId="166" formatCode="0.0E+00"/>
    </dxf>
    <dxf>
      <numFmt numFmtId="1" formatCode="0"/>
    </dxf>
    <dxf>
      <numFmt numFmtId="2" formatCode="0.00"/>
    </dxf>
    <dxf>
      <numFmt numFmtId="164" formatCode="0.0"/>
    </dxf>
    <dxf>
      <numFmt numFmtId="1" formatCode="0"/>
    </dxf>
    <dxf>
      <fill>
        <patternFill>
          <bgColor theme="5"/>
        </patternFill>
      </fill>
    </dxf>
    <dxf>
      <fill>
        <patternFill>
          <bgColor rgb="FF00B050"/>
        </patternFill>
      </fill>
    </dxf>
    <dxf>
      <fill>
        <patternFill>
          <bgColor theme="0"/>
        </patternFill>
      </fill>
    </dxf>
    <dxf>
      <fill>
        <patternFill>
          <bgColor theme="5"/>
        </patternFill>
      </fill>
    </dxf>
    <dxf>
      <fill>
        <patternFill>
          <bgColor rgb="FF00B050"/>
        </patternFill>
      </fill>
    </dxf>
    <dxf>
      <font>
        <color theme="0"/>
      </font>
      <fill>
        <patternFill>
          <bgColor theme="0"/>
        </patternFill>
      </fill>
    </dxf>
    <dxf>
      <fill>
        <patternFill>
          <bgColor theme="0"/>
        </patternFill>
      </fill>
    </dxf>
    <dxf>
      <numFmt numFmtId="15" formatCode="0.00E+00"/>
    </dxf>
    <dxf>
      <numFmt numFmtId="166" formatCode="0.0E+00"/>
    </dxf>
    <dxf>
      <numFmt numFmtId="1" formatCode="0"/>
    </dxf>
    <dxf>
      <numFmt numFmtId="164" formatCode="0.0"/>
    </dxf>
    <dxf>
      <numFmt numFmtId="2" formatCode="0.00"/>
    </dxf>
    <dxf>
      <numFmt numFmtId="166" formatCode="0.0E+00"/>
    </dxf>
    <dxf>
      <numFmt numFmtId="174" formatCode="0;0;"/>
    </dxf>
    <dxf>
      <fill>
        <patternFill>
          <bgColor theme="0"/>
        </patternFill>
      </fill>
    </dxf>
    <dxf>
      <numFmt numFmtId="15" formatCode="0.00E+00"/>
    </dxf>
    <dxf>
      <numFmt numFmtId="164" formatCode="0.0"/>
    </dxf>
    <dxf>
      <numFmt numFmtId="3" formatCode="#,##0"/>
    </dxf>
    <dxf>
      <font>
        <color theme="0"/>
      </font>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font>
        <color theme="0"/>
      </font>
      <fill>
        <patternFill>
          <bgColor theme="0"/>
        </patternFill>
      </fill>
    </dxf>
    <dxf>
      <numFmt numFmtId="15" formatCode="0.00E+00"/>
    </dxf>
    <dxf>
      <fill>
        <patternFill>
          <bgColor rgb="FF00B050"/>
        </patternFill>
      </fill>
    </dxf>
    <dxf>
      <fill>
        <patternFill>
          <bgColor theme="5"/>
        </patternFill>
      </fill>
    </dxf>
    <dxf>
      <numFmt numFmtId="1" formatCode="0"/>
    </dxf>
    <dxf>
      <numFmt numFmtId="173" formatCode="#,##0.0"/>
    </dxf>
    <dxf>
      <numFmt numFmtId="15" formatCode="0.00E+00"/>
    </dxf>
    <dxf>
      <font>
        <color theme="0"/>
      </font>
      <fill>
        <patternFill>
          <bgColor theme="0"/>
        </patternFill>
      </fill>
    </dxf>
    <dxf>
      <fill>
        <patternFill>
          <bgColor rgb="FF00B050"/>
        </patternFill>
      </fill>
    </dxf>
    <dxf>
      <fill>
        <patternFill>
          <bgColor theme="5"/>
        </patternFill>
      </fill>
    </dxf>
    <dxf>
      <numFmt numFmtId="2" formatCode="0.00"/>
    </dxf>
    <dxf>
      <numFmt numFmtId="174" formatCode="0;0;"/>
    </dxf>
    <dxf>
      <numFmt numFmtId="166" formatCode="0.0E+00"/>
    </dxf>
    <dxf>
      <numFmt numFmtId="164" formatCode="0.0"/>
    </dxf>
    <dxf>
      <numFmt numFmtId="1" formatCode="0"/>
    </dxf>
    <dxf>
      <numFmt numFmtId="166" formatCode="0.0E+00"/>
    </dxf>
    <dxf>
      <numFmt numFmtId="166" formatCode="0.0E+00"/>
    </dxf>
    <dxf>
      <numFmt numFmtId="174" formatCode="0;0;"/>
    </dxf>
    <dxf>
      <numFmt numFmtId="2" formatCode="0.00"/>
    </dxf>
    <dxf>
      <numFmt numFmtId="164" formatCode="0.0"/>
    </dxf>
    <dxf>
      <numFmt numFmtId="1" formatCode="0"/>
    </dxf>
    <dxf>
      <numFmt numFmtId="166" formatCode="0.0E+00"/>
    </dxf>
    <dxf>
      <font>
        <color theme="0"/>
      </font>
      <fill>
        <patternFill>
          <bgColor theme="0"/>
        </patternFill>
      </fill>
    </dxf>
    <dxf>
      <fill>
        <patternFill>
          <bgColor theme="0"/>
        </patternFill>
      </fill>
    </dxf>
    <dxf>
      <numFmt numFmtId="15" formatCode="0.00E+00"/>
    </dxf>
    <dxf>
      <numFmt numFmtId="164" formatCode="0.0"/>
    </dxf>
    <dxf>
      <numFmt numFmtId="3" formatCode="#,##0"/>
    </dxf>
    <dxf>
      <numFmt numFmtId="15" formatCode="0.00E+00"/>
    </dxf>
    <dxf>
      <numFmt numFmtId="164" formatCode="0.0"/>
    </dxf>
    <dxf>
      <numFmt numFmtId="3" formatCode="#,##0"/>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5" formatCode="0.00E+00"/>
    </dxf>
    <dxf>
      <fill>
        <patternFill>
          <bgColor rgb="FF00B050"/>
        </patternFill>
      </fill>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15" formatCode="0.00E+00"/>
    </dxf>
    <dxf>
      <numFmt numFmtId="3" formatCode="#,##0"/>
    </dxf>
    <dxf>
      <numFmt numFmtId="164" formatCode="0.0"/>
    </dxf>
    <dxf>
      <fill>
        <patternFill>
          <bgColor theme="0"/>
        </patternFill>
      </fill>
    </dxf>
    <dxf>
      <numFmt numFmtId="164" formatCode="0.0"/>
    </dxf>
    <dxf>
      <font>
        <color theme="0"/>
      </font>
      <fill>
        <patternFill>
          <bgColor theme="0"/>
        </patternFill>
      </fill>
    </dxf>
    <dxf>
      <numFmt numFmtId="3" formatCode="#,##0"/>
    </dxf>
    <dxf>
      <numFmt numFmtId="15" formatCode="0.00E+00"/>
    </dxf>
    <dxf>
      <fill>
        <patternFill>
          <bgColor theme="5"/>
        </patternFill>
      </fill>
    </dxf>
    <dxf>
      <fill>
        <patternFill>
          <bgColor rgb="FF00B050"/>
        </patternFill>
      </fill>
    </dxf>
    <dxf>
      <numFmt numFmtId="3" formatCode="#,##0"/>
    </dxf>
    <dxf>
      <numFmt numFmtId="166" formatCode="0.0E+00"/>
    </dxf>
    <dxf>
      <fill>
        <patternFill>
          <bgColor theme="0"/>
        </patternFill>
      </fill>
    </dxf>
    <dxf>
      <font>
        <color theme="0"/>
      </font>
      <fill>
        <patternFill>
          <bgColor theme="0"/>
        </patternFill>
      </fill>
    </dxf>
    <dxf>
      <numFmt numFmtId="164" formatCode="0.0"/>
    </dxf>
    <dxf>
      <numFmt numFmtId="164" formatCode="0.0"/>
    </dxf>
    <dxf>
      <numFmt numFmtId="3" formatCode="#,##0"/>
    </dxf>
    <dxf>
      <font>
        <color theme="0"/>
      </font>
      <fill>
        <patternFill>
          <bgColor theme="0"/>
        </patternFill>
      </fill>
    </dxf>
    <dxf>
      <fill>
        <patternFill>
          <bgColor theme="0"/>
        </patternFill>
      </fill>
    </dxf>
    <dxf>
      <numFmt numFmtId="166" formatCode="0.0E+00"/>
    </dxf>
    <dxf>
      <font>
        <color theme="0"/>
      </font>
      <fill>
        <patternFill>
          <bgColor theme="0"/>
        </patternFill>
      </fill>
    </dxf>
    <dxf>
      <font>
        <color theme="0"/>
      </font>
      <fill>
        <patternFill>
          <bgColor theme="0"/>
        </patternFill>
      </fill>
    </dxf>
    <dxf>
      <fill>
        <patternFill>
          <bgColor theme="0"/>
        </patternFill>
      </fill>
    </dxf>
    <dxf>
      <numFmt numFmtId="164" formatCode="0.0"/>
    </dxf>
    <dxf>
      <numFmt numFmtId="15" formatCode="0.00E+00"/>
    </dxf>
    <dxf>
      <numFmt numFmtId="3" formatCode="#,##0"/>
    </dxf>
    <dxf>
      <numFmt numFmtId="164" formatCode="0.0"/>
    </dxf>
    <dxf>
      <numFmt numFmtId="15" formatCode="0.00E+00"/>
    </dxf>
    <dxf>
      <font>
        <color theme="0"/>
      </font>
      <fill>
        <patternFill>
          <bgColor theme="0"/>
        </patternFill>
      </fill>
    </dxf>
    <dxf>
      <numFmt numFmtId="3" formatCode="#,##0"/>
    </dxf>
    <dxf>
      <fill>
        <patternFill>
          <bgColor theme="0"/>
        </patternFill>
      </fill>
    </dxf>
    <dxf>
      <fill>
        <patternFill>
          <bgColor theme="0"/>
        </patternFill>
      </fill>
    </dxf>
    <dxf>
      <numFmt numFmtId="166" formatCode="0.0E+00"/>
    </dxf>
    <dxf>
      <numFmt numFmtId="164" formatCode="0.0"/>
    </dxf>
    <dxf>
      <numFmt numFmtId="3" formatCode="#,##0"/>
    </dxf>
    <dxf>
      <font>
        <color theme="0"/>
      </font>
      <fill>
        <patternFill>
          <bgColor theme="0"/>
        </patternFill>
      </fill>
    </dxf>
    <dxf>
      <fill>
        <patternFill>
          <bgColor theme="0"/>
        </patternFill>
      </fill>
    </dxf>
    <dxf>
      <numFmt numFmtId="15" formatCode="0.00E+00"/>
    </dxf>
    <dxf>
      <font>
        <color theme="0"/>
      </font>
      <fill>
        <patternFill>
          <bgColor theme="0"/>
        </patternFill>
      </fill>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164" formatCode="0.0"/>
    </dxf>
    <dxf>
      <fill>
        <patternFill>
          <bgColor theme="5"/>
        </patternFill>
      </fill>
    </dxf>
    <dxf>
      <fill>
        <patternFill>
          <bgColor rgb="FF00B050"/>
        </patternFill>
      </fill>
    </dxf>
    <dxf>
      <numFmt numFmtId="3" formatCode="#,##0"/>
    </dxf>
    <dxf>
      <numFmt numFmtId="15" formatCode="0.00E+00"/>
    </dxf>
    <dxf>
      <fill>
        <patternFill>
          <bgColor theme="0"/>
        </patternFill>
      </fill>
    </dxf>
    <dxf>
      <fill>
        <patternFill>
          <bgColor theme="5"/>
        </patternFill>
      </fill>
    </dxf>
    <dxf>
      <font>
        <color theme="0"/>
      </font>
      <fill>
        <patternFill>
          <bgColor theme="0"/>
        </patternFill>
      </fill>
    </dxf>
    <dxf>
      <fill>
        <patternFill>
          <bgColor theme="0"/>
        </patternFill>
      </fill>
    </dxf>
    <dxf>
      <numFmt numFmtId="15" formatCode="0.00E+00"/>
    </dxf>
    <dxf>
      <numFmt numFmtId="3" formatCode="#,##0"/>
    </dxf>
    <dxf>
      <font>
        <color theme="0"/>
      </font>
      <fill>
        <patternFill>
          <bgColor theme="0"/>
        </patternFill>
      </fill>
    </dxf>
    <dxf>
      <fill>
        <patternFill>
          <bgColor theme="0"/>
        </patternFill>
      </fill>
    </dxf>
    <dxf>
      <numFmt numFmtId="164" formatCode="0.0"/>
    </dxf>
    <dxf>
      <numFmt numFmtId="15" formatCode="0.00E+00"/>
    </dxf>
    <dxf>
      <fill>
        <patternFill>
          <bgColor theme="5"/>
        </patternFill>
      </fill>
    </dxf>
    <dxf>
      <fill>
        <patternFill>
          <bgColor rgb="FF00B050"/>
        </patternFill>
      </fill>
    </dxf>
    <dxf>
      <numFmt numFmtId="3" formatCode="#,##0"/>
    </dxf>
    <dxf>
      <numFmt numFmtId="164" formatCode="0.0"/>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15" formatCode="0.00E+00"/>
    </dxf>
    <dxf>
      <fill>
        <patternFill>
          <bgColor theme="0"/>
        </patternFill>
      </fill>
    </dxf>
    <dxf>
      <font>
        <color theme="0"/>
      </font>
      <fill>
        <patternFill>
          <bgColor theme="0"/>
        </patternFill>
      </fill>
    </dxf>
    <dxf>
      <fill>
        <patternFill>
          <bgColor theme="5"/>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ont>
        <color theme="0"/>
      </font>
      <fill>
        <patternFill>
          <bgColor theme="0"/>
        </patternFill>
      </fill>
    </dxf>
    <dxf>
      <fill>
        <patternFill>
          <bgColor rgb="FF00B050"/>
        </patternFill>
      </fill>
    </dxf>
    <dxf>
      <fill>
        <patternFill>
          <bgColor theme="0"/>
        </patternFill>
      </fill>
    </dxf>
    <dxf>
      <font>
        <color theme="0"/>
      </font>
      <fill>
        <patternFill>
          <bgColor theme="0"/>
        </patternFill>
      </fill>
    </dxf>
    <dxf>
      <numFmt numFmtId="15" formatCode="0.00E+00"/>
    </dxf>
    <dxf>
      <fill>
        <patternFill>
          <bgColor theme="0"/>
        </patternFill>
      </fill>
    </dxf>
    <dxf>
      <numFmt numFmtId="164" formatCode="0.0"/>
    </dxf>
    <dxf>
      <numFmt numFmtId="3" formatCode="#,##0"/>
    </dxf>
    <dxf>
      <numFmt numFmtId="15" formatCode="0.00E+00"/>
    </dxf>
    <dxf>
      <fill>
        <patternFill>
          <bgColor theme="0"/>
        </patternFill>
      </fill>
    </dxf>
    <dxf>
      <numFmt numFmtId="3" formatCode="#,##0"/>
    </dxf>
    <dxf>
      <numFmt numFmtId="164" formatCode="0.0"/>
    </dxf>
    <dxf>
      <fill>
        <patternFill>
          <bgColor rgb="FF00B050"/>
        </patternFill>
      </fill>
    </dxf>
    <dxf>
      <fill>
        <patternFill>
          <bgColor theme="0"/>
        </patternFill>
      </fill>
    </dxf>
    <dxf>
      <numFmt numFmtId="15" formatCode="0.00E+00"/>
    </dxf>
    <dxf>
      <numFmt numFmtId="3" formatCode="#,##0"/>
    </dxf>
    <dxf>
      <numFmt numFmtId="164" formatCode="0.0"/>
    </dxf>
    <dxf>
      <font>
        <color theme="0"/>
      </font>
      <fill>
        <patternFill>
          <bgColor theme="0"/>
        </patternFill>
      </fill>
    </dxf>
    <dxf>
      <fill>
        <patternFill>
          <bgColor theme="5"/>
        </patternFill>
      </fill>
    </dxf>
    <dxf>
      <fill>
        <patternFill>
          <bgColor theme="5"/>
        </patternFill>
      </fill>
    </dxf>
    <dxf>
      <fill>
        <patternFill>
          <bgColor rgb="FF00B050"/>
        </patternFill>
      </fill>
    </dxf>
    <dxf>
      <numFmt numFmtId="15" formatCode="0.00E+00"/>
    </dxf>
    <dxf>
      <font>
        <color theme="0"/>
      </font>
      <fill>
        <patternFill>
          <bgColor theme="0"/>
        </patternFill>
      </fill>
    </dxf>
    <dxf>
      <fill>
        <patternFill>
          <bgColor theme="0"/>
        </patternFill>
      </fill>
    </dxf>
    <dxf>
      <numFmt numFmtId="3" formatCode="#,##0"/>
    </dxf>
    <dxf>
      <numFmt numFmtId="164" formatCode="0.0"/>
    </dxf>
    <dxf>
      <numFmt numFmtId="2" formatCode="0.00"/>
    </dxf>
    <dxf>
      <numFmt numFmtId="164" formatCode="0.0"/>
    </dxf>
    <dxf>
      <numFmt numFmtId="166" formatCode="0.0E+00"/>
    </dxf>
    <dxf>
      <numFmt numFmtId="174" formatCode="0;0;"/>
    </dxf>
    <dxf>
      <numFmt numFmtId="1" formatCode="0"/>
    </dxf>
    <dxf>
      <numFmt numFmtId="166" formatCode="0.0E+00"/>
    </dxf>
    <dxf>
      <numFmt numFmtId="3" formatCode="#,##0"/>
    </dxf>
    <dxf>
      <numFmt numFmtId="15" formatCode="0.00E+00"/>
    </dxf>
    <dxf>
      <fill>
        <patternFill>
          <bgColor theme="0"/>
        </patternFill>
      </fill>
    </dxf>
    <dxf>
      <font>
        <color theme="0"/>
      </font>
      <fill>
        <patternFill>
          <bgColor theme="0"/>
        </patternFill>
      </fill>
    </dxf>
    <dxf>
      <numFmt numFmtId="164" formatCode="0.0"/>
    </dxf>
    <dxf>
      <font>
        <color theme="0"/>
      </font>
      <fill>
        <patternFill>
          <bgColor theme="0"/>
        </patternFill>
      </fill>
    </dxf>
    <dxf>
      <numFmt numFmtId="15" formatCode="0.00E+00"/>
    </dxf>
    <dxf>
      <fill>
        <patternFill>
          <bgColor theme="0"/>
        </patternFill>
      </fill>
    </dxf>
    <dxf>
      <fill>
        <patternFill>
          <bgColor rgb="FF00B050"/>
        </patternFill>
      </fill>
    </dxf>
    <dxf>
      <numFmt numFmtId="164" formatCode="0.0"/>
    </dxf>
    <dxf>
      <numFmt numFmtId="166" formatCode="0.0E+00"/>
    </dxf>
    <dxf>
      <fill>
        <patternFill>
          <bgColor theme="0"/>
        </patternFill>
      </fill>
    </dxf>
    <dxf>
      <font>
        <color theme="0"/>
      </font>
      <fill>
        <patternFill>
          <bgColor theme="0"/>
        </patternFill>
      </fill>
    </dxf>
    <dxf>
      <numFmt numFmtId="3" formatCode="#,##0"/>
    </dxf>
    <dxf>
      <fill>
        <patternFill>
          <bgColor theme="5"/>
        </patternFill>
      </fill>
    </dxf>
    <dxf>
      <fill>
        <patternFill>
          <bgColor rgb="FF00B050"/>
        </patternFill>
      </fill>
    </dxf>
    <dxf>
      <fill>
        <patternFill>
          <bgColor theme="5"/>
        </patternFill>
      </fill>
    </dxf>
    <dxf>
      <font>
        <color theme="0"/>
      </font>
      <fill>
        <patternFill>
          <bgColor theme="0"/>
        </patternFill>
      </fill>
    </dxf>
    <dxf>
      <numFmt numFmtId="3" formatCode="#,##0"/>
    </dxf>
    <dxf>
      <numFmt numFmtId="164" formatCode="0.0"/>
    </dxf>
    <dxf>
      <fill>
        <patternFill>
          <bgColor theme="0"/>
        </patternFill>
      </fill>
    </dxf>
    <dxf>
      <numFmt numFmtId="15" formatCode="0.00E+00"/>
    </dxf>
    <dxf>
      <font>
        <color theme="0"/>
      </font>
      <fill>
        <patternFill>
          <bgColor theme="0"/>
        </patternFill>
      </fill>
    </dxf>
    <dxf>
      <fill>
        <patternFill>
          <bgColor theme="5"/>
        </patternFill>
      </fill>
    </dxf>
    <dxf>
      <fill>
        <patternFill>
          <bgColor rgb="FF00B050"/>
        </patternFill>
      </fill>
    </dxf>
    <dxf>
      <numFmt numFmtId="174" formatCode="0;0;"/>
    </dxf>
    <dxf>
      <numFmt numFmtId="1" formatCode="0"/>
    </dxf>
    <dxf>
      <numFmt numFmtId="166" formatCode="0.0E+00"/>
    </dxf>
    <dxf>
      <numFmt numFmtId="2" formatCode="0.00"/>
    </dxf>
    <dxf>
      <numFmt numFmtId="166" formatCode="0.0E+00"/>
    </dxf>
    <dxf>
      <numFmt numFmtId="164" formatCode="0.0"/>
    </dxf>
    <dxf>
      <numFmt numFmtId="166" formatCode="0.0E+00"/>
    </dxf>
    <dxf>
      <numFmt numFmtId="164" formatCode="0.0"/>
    </dxf>
    <dxf>
      <numFmt numFmtId="3" formatCode="#,##0"/>
    </dxf>
    <dxf>
      <fill>
        <patternFill>
          <bgColor theme="0"/>
        </patternFill>
      </fill>
    </dxf>
    <dxf>
      <numFmt numFmtId="15" formatCode="0.00E+00"/>
    </dxf>
    <dxf>
      <fill>
        <patternFill>
          <bgColor theme="0"/>
        </patternFill>
      </fill>
    </dxf>
    <dxf>
      <font>
        <color theme="0"/>
      </font>
      <fill>
        <patternFill>
          <bgColor theme="0"/>
        </patternFill>
      </fill>
    </dxf>
    <dxf>
      <border outline="0">
        <left style="thin">
          <color auto="1"/>
        </left>
        <right style="thin">
          <color auto="1"/>
        </right>
        <bottom style="thin">
          <color auto="1"/>
        </bottom>
      </border>
    </dxf>
    <dxf>
      <border outline="0">
        <left style="thin">
          <color auto="1"/>
        </left>
        <right style="thin">
          <color auto="1"/>
        </right>
        <bottom style="thin">
          <color auto="1"/>
        </bottom>
      </border>
    </dxf>
    <dxf>
      <border outline="0">
        <bottom style="dashed">
          <color auto="1"/>
        </bottom>
      </border>
    </dxf>
    <dxf>
      <border outline="0">
        <left style="medium">
          <color indexed="64"/>
        </left>
        <right style="medium">
          <color indexed="64"/>
        </right>
        <bottom style="medium">
          <color indexed="64"/>
        </bottom>
      </border>
    </dxf>
    <dxf>
      <border outline="0">
        <right style="thin">
          <color auto="1"/>
        </right>
        <bottom style="thin">
          <color indexed="64"/>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numFmt numFmtId="15" formatCode="0.00E+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medium">
          <color auto="1"/>
        </left>
        <right style="medium">
          <color auto="1"/>
        </right>
        <top style="thin">
          <color auto="1"/>
        </top>
        <bottom/>
      </border>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style="medium">
          <color auto="1"/>
        </left>
        <right style="medium">
          <color auto="1"/>
        </right>
        <top style="thin">
          <color auto="1"/>
        </top>
        <bottom/>
      </border>
    </dxf>
    <dxf>
      <font>
        <b val="0"/>
        <i val="0"/>
        <strike val="0"/>
        <condense val="0"/>
        <extend val="0"/>
        <outline val="0"/>
        <shadow val="0"/>
        <u val="none"/>
        <vertAlign val="baseline"/>
        <sz val="10"/>
        <color theme="1"/>
        <name val="Times New Roman"/>
        <family val="1"/>
        <scheme val="none"/>
      </font>
      <border diagonalUp="0" diagonalDown="0" outline="0">
        <left/>
        <right style="thin">
          <color auto="1"/>
        </right>
        <top/>
        <bottom/>
      </border>
    </dxf>
  </dxfs>
  <tableStyles count="0" defaultTableStyle="TableStyleMedium2" defaultPivotStyle="PivotStyleLight16"/>
  <colors>
    <mruColors>
      <color rgb="FFF04B18"/>
      <color rgb="FFD43D0E"/>
      <color rgb="FFF15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"Inhalation Cancer Risk Estimates"</c:f>
          <c:strCache>
            <c:ptCount val="1"/>
            <c:pt idx="0">
              <c:v>Inhalation Cancer Risk Estimates</c:v>
            </c:pt>
          </c:strCache>
        </c:strRef>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57646326211389221"/>
          <c:h val="0.58920985270720716"/>
        </c:manualLayout>
      </c:layout>
      <c:barChart>
        <c:barDir val="bar"/>
        <c:grouping val="stacked"/>
        <c:varyColors val="0"/>
        <c:ser>
          <c:idx val="4"/>
          <c:order val="0"/>
          <c:tx>
            <c:strRef>
              <c:f>Dashboard!$E$67</c:f>
              <c:strCache>
                <c:ptCount val="1"/>
                <c:pt idx="0">
                  <c:v>Cancer Risk with APF of 10</c:v>
                </c:pt>
              </c:strCache>
            </c:strRef>
          </c:tx>
          <c:spPr>
            <a:solidFill>
              <a:schemeClr val="accent5"/>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Dashboard!$E$68:$E$71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0-711A-46F9-818E-EF3CDD75C90A}"/>
            </c:ext>
          </c:extLst>
        </c:ser>
        <c:ser>
          <c:idx val="0"/>
          <c:order val="1"/>
          <c:tx>
            <c:strRef>
              <c:f>Dashboard!$D$67</c:f>
              <c:strCache>
                <c:ptCount val="1"/>
                <c:pt idx="0">
                  <c:v>Cancer Risk</c:v>
                </c:pt>
              </c:strCache>
            </c:strRef>
          </c:tx>
          <c:spPr>
            <a:solidFill>
              <a:schemeClr val="accent1"/>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Dashboard!$D$68:$D$71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9-711A-46F9-818E-EF3CDD75C90A}"/>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711A-46F9-818E-EF3CDD75C90A}"/>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711A-46F9-818E-EF3CDD75C90A}"/>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711A-46F9-818E-EF3CDD75C90A}"/>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ysClr val="windowText" lastClr="000000"/>
          </a:solidFill>
        </a:ln>
        <a:effectLst/>
      </c:spPr>
    </c:plotArea>
    <c:legend>
      <c:legendPos val="r"/>
      <c:legendEntry>
        <c:idx val="2"/>
        <c:delete val="1"/>
      </c:legendEntry>
      <c:legendEntry>
        <c:idx val="3"/>
        <c:delete val="1"/>
      </c:legendEntry>
      <c:legendEntry>
        <c:idx val="4"/>
        <c:delete val="1"/>
      </c:legendEntry>
      <c:layout>
        <c:manualLayout>
          <c:xMode val="edge"/>
          <c:yMode val="edge"/>
          <c:x val="0.78144800973247541"/>
          <c:y val="0.48592904914666896"/>
          <c:w val="0.20873604061175266"/>
          <c:h val="0.1010115760437011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"Dermal Cancer Risk Estimates"</c:f>
          <c:strCache>
            <c:ptCount val="1"/>
            <c:pt idx="0">
              <c:v>Dermal Cancer Risk Estimates</c:v>
            </c:pt>
          </c:strCache>
        </c:strRef>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Dashboard!$M$67</c:f>
              <c:strCache>
                <c:ptCount val="1"/>
                <c:pt idx="0">
                  <c:v>High-End</c:v>
                </c:pt>
              </c:strCache>
            </c:strRef>
          </c:tx>
          <c:spPr>
            <a:solidFill>
              <a:schemeClr val="accent5"/>
            </a:solidFill>
            <a:ln>
              <a:noFill/>
            </a:ln>
            <a:effectLst/>
          </c:spPr>
          <c:invertIfNegative val="0"/>
          <c:cat>
            <c:strRef>
              <c:f>(Dashboard!$O$32,Dashboard!$Q$32)</c:f>
              <c:strCache>
                <c:ptCount val="2"/>
                <c:pt idx="0">
                  <c:v>Worker No Gloves</c:v>
                </c:pt>
                <c:pt idx="1">
                  <c:v>Gloves: PF of 10</c:v>
                </c:pt>
              </c:strCache>
            </c:strRef>
          </c:cat>
          <c:val>
            <c:numRef>
              <c:f>Dashboard!$M$68:$M$69</c:f>
              <c:numCache>
                <c:formatCode>0.00E+00</c:formatCode>
                <c:ptCount val="2"/>
                <c:pt idx="0">
                  <c:v>0</c:v>
                </c:pt>
                <c:pt idx="1">
                  <c:v>0</c:v>
                </c:pt>
              </c:numCache>
            </c:numRef>
          </c:val>
          <c:extLst>
            <c:ext xmlns:c16="http://schemas.microsoft.com/office/drawing/2014/chart" uri="{C3380CC4-5D6E-409C-BE32-E72D297353CC}">
              <c16:uniqueId val="{00000000-1E4C-4BAD-88BF-7259784D8F46}"/>
            </c:ext>
          </c:extLst>
        </c:ser>
        <c:ser>
          <c:idx val="0"/>
          <c:order val="1"/>
          <c:tx>
            <c:strRef>
              <c:f>Dashboard!$N$67</c:f>
              <c:strCache>
                <c:ptCount val="1"/>
                <c:pt idx="0">
                  <c:v>Central Tendency</c:v>
                </c:pt>
              </c:strCache>
            </c:strRef>
          </c:tx>
          <c:spPr>
            <a:solidFill>
              <a:schemeClr val="accent1"/>
            </a:solidFill>
            <a:ln>
              <a:noFill/>
            </a:ln>
            <a:effectLst/>
          </c:spPr>
          <c:invertIfNegative val="0"/>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8-1E4C-4BAD-88BF-7259784D8F46}"/>
              </c:ext>
            </c:extLst>
          </c:dPt>
          <c:cat>
            <c:strRef>
              <c:f>(Dashboard!$O$32,Dashboard!$Q$32)</c:f>
              <c:strCache>
                <c:ptCount val="2"/>
                <c:pt idx="0">
                  <c:v>Worker No Gloves</c:v>
                </c:pt>
                <c:pt idx="1">
                  <c:v>Gloves: PF of 10</c:v>
                </c:pt>
              </c:strCache>
            </c:strRef>
          </c:cat>
          <c:val>
            <c:numRef>
              <c:f>Dashboard!$N$68:$N$69</c:f>
              <c:numCache>
                <c:formatCode>0.00E+00</c:formatCode>
                <c:ptCount val="2"/>
                <c:pt idx="0">
                  <c:v>0</c:v>
                </c:pt>
                <c:pt idx="1">
                  <c:v>0</c:v>
                </c:pt>
              </c:numCache>
            </c:numRef>
          </c:val>
          <c:extLst>
            <c:ext xmlns:c16="http://schemas.microsoft.com/office/drawing/2014/chart" uri="{C3380CC4-5D6E-409C-BE32-E72D297353CC}">
              <c16:uniqueId val="{00000009-1E4C-4BAD-88BF-7259784D8F46}"/>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1E4C-4BAD-88BF-7259784D8F46}"/>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1E4C-4BAD-88BF-7259784D8F46}"/>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1E4C-4BAD-88BF-7259784D8F46}"/>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Aggregate Cancer Risk Estimates</a:t>
            </a:r>
          </a:p>
        </c:rich>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Dashboard!$U$67</c:f>
              <c:strCache>
                <c:ptCount val="1"/>
                <c:pt idx="0">
                  <c:v>High-End</c:v>
                </c:pt>
              </c:strCache>
            </c:strRef>
          </c:tx>
          <c:spPr>
            <a:solidFill>
              <a:schemeClr val="accent5"/>
            </a:solidFill>
            <a:ln>
              <a:noFill/>
            </a:ln>
            <a:effectLst/>
          </c:spPr>
          <c:invertIfNegative val="0"/>
          <c:val>
            <c:numRef>
              <c:f>Dashboard!$U$68:$U$71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10</c:v>
                      </c:pt>
                      <c:pt idx="3">
                        <c:v>Respirator and Glove Scenario</c:v>
                      </c:pt>
                    </c:strCache>
                  </c:strRef>
                </c15:cat>
              </c15:filteredCategoryTitle>
            </c:ext>
            <c:ext xmlns:c16="http://schemas.microsoft.com/office/drawing/2014/chart" uri="{C3380CC4-5D6E-409C-BE32-E72D297353CC}">
              <c16:uniqueId val="{00000000-3B55-4CB3-BDAB-2D02D0235C9D}"/>
            </c:ext>
          </c:extLst>
        </c:ser>
        <c:ser>
          <c:idx val="0"/>
          <c:order val="1"/>
          <c:tx>
            <c:strRef>
              <c:f>Dashboard!$V$67</c:f>
              <c:strCache>
                <c:ptCount val="1"/>
                <c:pt idx="0">
                  <c:v>Central Tendency</c:v>
                </c:pt>
              </c:strCache>
            </c:strRef>
          </c:tx>
          <c:spPr>
            <a:solidFill>
              <a:schemeClr val="accent1"/>
            </a:solidFill>
            <a:ln>
              <a:noFill/>
            </a:ln>
            <a:effectLst/>
          </c:spPr>
          <c:invertIfNegative val="0"/>
          <c:val>
            <c:numRef>
              <c:f>Dashboard!$V$68:$V$71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10</c:v>
                      </c:pt>
                      <c:pt idx="3">
                        <c:v>Respirator and Glove Scenario</c:v>
                      </c:pt>
                    </c:strCache>
                  </c:strRef>
                </c15:cat>
              </c15:filteredCategoryTitle>
            </c:ext>
            <c:ext xmlns:c16="http://schemas.microsoft.com/office/drawing/2014/chart" uri="{C3380CC4-5D6E-409C-BE32-E72D297353CC}">
              <c16:uniqueId val="{00000003-3B55-4CB3-BDAB-2D02D0235C9D}"/>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4-3B55-4CB3-BDAB-2D02D0235C9D}"/>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5-3B55-4CB3-BDAB-2D02D0235C9D}"/>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6-3B55-4CB3-BDAB-2D02D0235C9D}"/>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947207</xdr:colOff>
      <xdr:row>79</xdr:row>
      <xdr:rowOff>52916</xdr:rowOff>
    </xdr:from>
    <xdr:to>
      <xdr:col>8</xdr:col>
      <xdr:colOff>912812</xdr:colOff>
      <xdr:row>109</xdr:row>
      <xdr:rowOff>88305</xdr:rowOff>
    </xdr:to>
    <xdr:graphicFrame macro="">
      <xdr:nvGraphicFramePr>
        <xdr:cNvPr id="2" name="Chart 1">
          <a:extLst>
            <a:ext uri="{FF2B5EF4-FFF2-40B4-BE49-F238E27FC236}">
              <a16:creationId xmlns:a16="http://schemas.microsoft.com/office/drawing/2014/main" i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624417</xdr:colOff>
      <xdr:row>35</xdr:row>
      <xdr:rowOff>74083</xdr:rowOff>
    </xdr:from>
    <xdr:to>
      <xdr:col>15</xdr:col>
      <xdr:colOff>547688</xdr:colOff>
      <xdr:row>64</xdr:row>
      <xdr:rowOff>77522</xdr:rowOff>
    </xdr:to>
    <xdr:graphicFrame macro="">
      <xdr:nvGraphicFramePr>
        <xdr:cNvPr id="3" name="Chart 2">
          <a:extLst>
            <a:ext uri="{FF2B5EF4-FFF2-40B4-BE49-F238E27FC236}">
              <a16:creationId xmlns:a16="http://schemas.microsoft.com/office/drawing/2014/main" id="{24BED884-0E58-47CA-9D22-2C97DD19BF23}"/>
            </a:ext>
            <a:ext uri="{147F2762-F138-4A5C-976F-8EAC2B608ADB}">
              <a16:predDERef xmlns:a16="http://schemas.microsoft.com/office/drawing/2014/main" pre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338667</xdr:colOff>
      <xdr:row>36</xdr:row>
      <xdr:rowOff>42334</xdr:rowOff>
    </xdr:from>
    <xdr:to>
      <xdr:col>23</xdr:col>
      <xdr:colOff>304272</xdr:colOff>
      <xdr:row>65</xdr:row>
      <xdr:rowOff>45773</xdr:rowOff>
    </xdr:to>
    <xdr:graphicFrame macro="">
      <xdr:nvGraphicFramePr>
        <xdr:cNvPr id="4" name="Chart 3">
          <a:extLst>
            <a:ext uri="{FF2B5EF4-FFF2-40B4-BE49-F238E27FC236}">
              <a16:creationId xmlns:a16="http://schemas.microsoft.com/office/drawing/2014/main" id="{C55DC01D-AACD-4CAE-9642-850E08A3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981075</xdr:colOff>
      <xdr:row>1</xdr:row>
      <xdr:rowOff>19049</xdr:rowOff>
    </xdr:from>
    <xdr:to>
      <xdr:col>11</xdr:col>
      <xdr:colOff>400050</xdr:colOff>
      <xdr:row>3</xdr:row>
      <xdr:rowOff>245268</xdr:rowOff>
    </xdr:to>
    <xdr:sp macro="" textlink="">
      <xdr:nvSpPr>
        <xdr:cNvPr id="4" name="TextBox 3">
          <a:extLst>
            <a:ext uri="{FF2B5EF4-FFF2-40B4-BE49-F238E27FC236}">
              <a16:creationId xmlns:a16="http://schemas.microsoft.com/office/drawing/2014/main" id="{2C23DA81-FB55-437E-9302-C2E02213CA4A}"/>
            </a:ext>
          </a:extLst>
        </xdr:cNvPr>
        <xdr:cNvSpPr txBox="1"/>
      </xdr:nvSpPr>
      <xdr:spPr>
        <a:xfrm>
          <a:off x="5267325" y="190499"/>
          <a:ext cx="4152900" cy="123586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7</xdr:row>
      <xdr:rowOff>171449</xdr:rowOff>
    </xdr:from>
    <xdr:to>
      <xdr:col>4</xdr:col>
      <xdr:colOff>676275</xdr:colOff>
      <xdr:row>11</xdr:row>
      <xdr:rowOff>38100</xdr:rowOff>
    </xdr:to>
    <xdr:sp macro="" textlink="">
      <xdr:nvSpPr>
        <xdr:cNvPr id="3" name="TextBox 2">
          <a:extLst>
            <a:ext uri="{FF2B5EF4-FFF2-40B4-BE49-F238E27FC236}">
              <a16:creationId xmlns:a16="http://schemas.microsoft.com/office/drawing/2014/main" id="{00C24D45-490A-452B-9CC3-B52F76EE2535}"/>
            </a:ext>
          </a:extLst>
        </xdr:cNvPr>
        <xdr:cNvSpPr txBox="1"/>
      </xdr:nvSpPr>
      <xdr:spPr>
        <a:xfrm>
          <a:off x="247650" y="2438399"/>
          <a:ext cx="3552825" cy="106680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01935-84AF-4270-8FB1-5E2E43DBF2D4}" name="Inhalation_Exp" displayName="Inhalation_Exp" ref="A4:Y52" totalsRowShown="0" headerRowDxfId="62" dataDxfId="61">
  <autoFilter ref="A4:Y52" xr:uid="{D8401935-84AF-4270-8FB1-5E2E43DBF2D4}"/>
  <tableColumns count="25">
    <tableColumn id="1" xr3:uid="{8B9E498B-E535-487D-BD43-3A1DC38F8269}" name="Column1" dataDxfId="87" totalsRowDxfId="577"/>
    <tableColumn id="2" xr3:uid="{031D3ED0-7732-4916-93A6-570184F31658}" name="OES Group" dataDxfId="86" totalsRowDxfId="576"/>
    <tableColumn id="3" xr3:uid="{C54AC08B-2171-4932-9675-344FCE6A4CAE}" name="OES" dataDxfId="85" totalsRowDxfId="575"/>
    <tableColumn id="4" xr3:uid="{F737B7D7-234B-4298-9FE4-C56434A78344}" name="Worker Type" dataDxfId="84" totalsRowDxfId="574"/>
    <tableColumn id="5" xr3:uid="{89394E55-C669-41DA-8B58-BEB3216B6932}" name="Vapor Exposure Scenario" dataDxfId="83" totalsRowDxfId="573"/>
    <tableColumn id="6" xr3:uid="{CDFD586A-A503-40F6-B1F2-119C056FF477}" name="ED_High-End" dataDxfId="82" totalsRowDxfId="572"/>
    <tableColumn id="7" xr3:uid="{1E4E25BD-BB7A-4F49-9926-3FF8EB0F649B}" name="ED_Central Tendency" dataDxfId="81" totalsRowDxfId="571"/>
    <tableColumn id="8" xr3:uid="{1F235D25-0699-476A-999A-BAE54EB68501}" name="Vapor_High-End" dataDxfId="80" totalsRowDxfId="570"/>
    <tableColumn id="9" xr3:uid="{7CE221CF-6ABC-4C39-BB1F-EE22EB921A7E}" name="Vapor_Central Tendency" dataDxfId="79" totalsRowDxfId="569"/>
    <tableColumn id="12" xr3:uid="{A9BD5AAC-94A5-4DE9-A9E3-3AFC2ACEBCCE}" name="Dust_High-End" dataDxfId="78" totalsRowDxfId="568"/>
    <tableColumn id="13" xr3:uid="{DE67AA51-0A35-43E3-B82D-CBD1B91311E1}" name="Dust_Central Tendency" dataDxfId="77" totalsRowDxfId="567"/>
    <tableColumn id="10" xr3:uid="{2D1C3CBB-2959-4240-BE7F-3DA4DB464EB8}" name="All Forms HE" dataDxfId="76" totalsRowDxfId="566"/>
    <tableColumn id="11" xr3:uid="{CF089516-A289-41C8-9217-FC8260BBAEC8}" name="All Forms CT" dataDxfId="75" totalsRowDxfId="565"/>
    <tableColumn id="14" xr3:uid="{D8D13849-0619-4A64-8E83-8771B61FFED2}" name="24hr_High-End" dataDxfId="74" totalsRowDxfId="564">
      <calculatedColumnFormula>(((L5*ED_8))*WorkBreathRate)/IF(Inhalation_Exp[[#This Row],[Worker Type]]="Female of Reproductive Age",BW_F,BW_default)</calculatedColumnFormula>
    </tableColumn>
    <tableColumn id="15" xr3:uid="{59BA6381-8B7F-4F1F-A431-183C58C00B76}" name="24hr_Central Tendency" dataDxfId="73" totalsRowDxfId="563">
      <calculatedColumnFormula>((M5*ED_8)*WorkBreathRate)/IF(Inhalation_Exp[[#This Row],[Worker Type]]="Female of Reproductive Age",BW_F,BW_default)</calculatedColumnFormula>
    </tableColumn>
    <tableColumn id="18" xr3:uid="{34A66C89-4510-4FFE-8377-0BAD909E0C24}" name="Int_High-End" dataDxfId="72" totalsRowDxfId="562">
      <calculatedColumnFormula>IF(EFID&gt;Inhalation_Exp[[#This Row],[ED_High-End]],Inhalation_Exp[[#This Row],[24hr_High-End]]*Inhalation_Exp[[#This Row],[ED_High-End]]/ID,Inhalation_Exp[[#This Row],[24hr_High-End]]*EFID/ID)</calculatedColumnFormula>
    </tableColumn>
    <tableColumn id="19" xr3:uid="{72F83336-E929-4C33-964A-3EB6EB40A105}" name="Int_Central Tendency" dataDxfId="71" totalsRowDxfId="561">
      <calculatedColumnFormula>IF(EFID&gt;Inhalation_Exp[[#This Row],[ED_Central Tendency]],Inhalation_Exp[[#This Row],[24hr_Central Tendency]]*Inhalation_Exp[[#This Row],[ED_Central Tendency]]/ID,Inhalation_Exp[[#This Row],[24hr_Central Tendency]]*EFID/ID)</calculatedColumnFormula>
    </tableColumn>
    <tableColumn id="24" xr3:uid="{2EF85EA6-053F-499C-9BF0-0F5656E94B6D}" name="ADD_High-End" dataDxfId="70" totalsRowDxfId="560">
      <calculatedColumnFormula>N5*F5*WY_high/(WY_high*365)</calculatedColumnFormula>
    </tableColumn>
    <tableColumn id="25" xr3:uid="{36CF039B-AE1A-42DA-856B-8E000BED49A0}" name="ADD_Central Tendency" dataDxfId="69" totalsRowDxfId="559">
      <calculatedColumnFormula>O5*G5*WY_mid/(WY_mid*365)</calculatedColumnFormula>
    </tableColumn>
    <tableColumn id="26" xr3:uid="{3A77D090-2E90-4046-AED4-F7BE62ECBB01}" name="LADD_High-End" dataDxfId="68" totalsRowDxfId="558">
      <calculatedColumnFormula>N5*F5*WY_high/(LT*365)</calculatedColumnFormula>
    </tableColumn>
    <tableColumn id="27" xr3:uid="{B2E4B413-F9F2-4C69-AD7F-9F9B83B1F9E1}" name="LADD_Central Tendency" dataDxfId="67" totalsRowDxfId="557">
      <calculatedColumnFormula>O5*G5*WY_mid/(LT*365)</calculatedColumnFormula>
    </tableColumn>
    <tableColumn id="20" xr3:uid="{D66C692A-95A3-46A6-B519-23B552732334}" name="Eight-Hour TWA Data Points" dataDxfId="66" totalsRowDxfId="556"/>
    <tableColumn id="21" xr3:uid="{95F01858-982C-4E6C-B071-590CFEA5B034}" name="Total Data Points" dataDxfId="65" totalsRowDxfId="555"/>
    <tableColumn id="22" xr3:uid="{3D024B1C-C570-43E2-A1C7-77868DE73688}" name="Sources &amp; Notes" dataDxfId="64" totalsRowDxfId="554"/>
    <tableColumn id="23" xr3:uid="{14E1BB3A-BA6D-4CB5-8802-3B7332A0EEA5}" name="Data Type" dataDxfId="63" totalsRowDxfId="5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F39C-8328-4698-9F18-12CEF82BB456}" name="Dermal_Exp" displayName="Dermal_Exp" ref="A3:Q45" totalsRowShown="0" headerRowDxfId="43" dataDxfId="42" tableBorderDxfId="552">
  <autoFilter ref="A3:Q45" xr:uid="{4DE0F39C-8328-4698-9F18-12CEF82BB456}"/>
  <tableColumns count="17">
    <tableColumn id="5" xr3:uid="{0201E299-ACE7-41CE-89FF-44176D0FE674}" name="sort" dataDxfId="60"/>
    <tableColumn id="2" xr3:uid="{01B060B3-40B7-4FDE-AA23-E13A2121A0C7}" name="OES" dataDxfId="59"/>
    <tableColumn id="11" xr3:uid="{2F31C538-873A-4287-9C89-B20290605EE9}" name="Worker Type" dataDxfId="58"/>
    <tableColumn id="10" xr3:uid="{116A4532-98BD-4EDF-B594-BE709576A9B6}" name="ED_High-End" dataDxfId="57"/>
    <tableColumn id="9" xr3:uid="{4B7F3F7C-93BF-4171-87B1-BBB8D1899EA6}" name="ED_Central Tendency" dataDxfId="56"/>
    <tableColumn id="12" xr3:uid="{C7648BE0-0833-4475-87EF-BC432104B35D}" name="High-End Exposure to Liquid" dataDxfId="55"/>
    <tableColumn id="13" xr3:uid="{A5995FE9-0A48-495E-BD77-893C549EACE2}" name=" Central Tendency Exposure to Liquids" dataDxfId="54"/>
    <tableColumn id="3" xr3:uid="{7C011295-03C7-4BDF-89A2-E6A13D93574B}" name="High-End Exposure to Solids" dataDxfId="53"/>
    <tableColumn id="4" xr3:uid="{E09F1D04-39E4-4DBB-B848-59F151856E71}" name="Central Tendency  Exposure to Solids" dataDxfId="52"/>
    <tableColumn id="6" xr3:uid="{45D16D1A-3B38-4BFA-A319-40AD303429C3}" name="High-End AD (mg/kg-day)" dataDxfId="51">
      <calculatedColumnFormula>IF(Dermal_Exp[[#This Row],[Worker Type]]&lt;&gt;"",(Dermal_Exp[[#This Row],[High-End Exposure to Liquid]]+Dermal_Exp[[#This Row],[High-End Exposure to Solids]]),"Not Assessed")</calculatedColumnFormula>
    </tableColumn>
    <tableColumn id="14" xr3:uid="{1B601C22-CB24-41BB-BD6C-305E4E626652}" name="Central Tendency AD (mg/kg-day)" dataDxfId="50">
      <calculatedColumnFormula>IF(Dermal_Exp[[#This Row],[Worker Type]]&lt;&gt;"",(Dermal_Exp[[#This Row],[ Central Tendency Exposure to Liquids]]+Dermal_Exp[[#This Row],[Central Tendency  Exposure to Solids]]),"Not Assessed")</calculatedColumnFormula>
    </tableColumn>
    <tableColumn id="1" xr3:uid="{14C869CE-3DCC-42FD-B791-771CF8BE7F4A}" name="High-End IADD (mg/kg-day)" dataDxfId="49">
      <calculatedColumnFormula>IFERROR(Dermal_Exp[[#This Row],[High-End AD (mg/kg-day)]]*IF(Dermal_Exp[[#This Row],[ED_High-End]]&gt;EFID,EFID,Dermal_Exp[[#This Row],[ED_High-End]])/ID,"Not Assessed")</calculatedColumnFormula>
    </tableColumn>
    <tableColumn id="17" xr3:uid="{9EFC90CB-A461-4ADE-A8B4-75F6D64EE2CD}" name="Central Tendency IADD (mg/kg-day)" dataDxfId="48">
      <calculatedColumnFormula>IFERROR(Dermal_Exp[[#This Row],[Central Tendency AD (mg/kg-day)]]*IF(Dermal_Exp[[#This Row],[ED_Central Tendency]]&gt;EFID,EFID,Dermal_Exp[[#This Row],[ED_Central Tendency]])/ID,"Not Assessed")</calculatedColumnFormula>
    </tableColumn>
    <tableColumn id="7" xr3:uid="{A473226B-926A-43B0-8063-C950222670D0}" name="High-End ADD (mg/kg-day)" dataDxfId="47">
      <calculatedColumnFormula>IFERROR(Dermal_Exp[[#This Row],[High-End AD (mg/kg-day)]]*Dermal_Exp[[#This Row],[ED_High-End]]*WY_high/(365*WY_high),"Not Assessed")</calculatedColumnFormula>
    </tableColumn>
    <tableColumn id="18" xr3:uid="{04D45394-DB7F-4B02-BB50-A4A68373A612}" name="Central Tendency ADD (mg/kg-day)" dataDxfId="46">
      <calculatedColumnFormula>IFERROR(Dermal_Exp[[#This Row],[Central Tendency AD (mg/kg-day)]]*Dermal_Exp[[#This Row],[ED_Central Tendency]]*WY_mid/(365*WY_mid),"Not Assessed")</calculatedColumnFormula>
    </tableColumn>
    <tableColumn id="8" xr3:uid="{20F74786-E9A7-4230-8932-3462A12F8F91}" name="High-End LADD (mg/kg-day)" dataDxfId="45">
      <calculatedColumnFormula>IFERROR(Dermal_Exp[[#This Row],[High-End AD (mg/kg-day)]]*Dermal_Exp[[#This Row],[ED_High-End]]*WY_high/(365*LT),"Not Assessed")</calculatedColumnFormula>
    </tableColumn>
    <tableColumn id="19" xr3:uid="{3C989027-0728-4C9E-9D69-7608287CC55C}" name="Central Tendency LADD (mg/kg-day)" dataDxfId="44">
      <calculatedColumnFormula>IFERROR(Dermal_Exp[[#This Row],[Central Tendency AD (mg/kg-day)]]*Dermal_Exp[[#This Row],[ED_Central Tendency]]*WY_mid/(365*LT),"Not Assessed")</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08F797-26E6-49EE-8181-7578E373F46A}" name="Table5" displayName="Table5" ref="C4:Q100" totalsRowShown="0" headerRowDxfId="26" dataDxfId="25" tableBorderDxfId="551">
  <autoFilter ref="C4:Q100" xr:uid="{7708F797-26E6-49EE-8181-7578E373F46A}"/>
  <tableColumns count="15">
    <tableColumn id="1" xr3:uid="{05A3AC02-B7CD-48EA-A860-74DE9A67DD28}" name="OES" dataDxfId="41">
      <calculatedColumnFormula array="1">INDEX('List Values'!$B$2:$B$17,(1+ROUNDDOWN((ROW()-ROW($C$5))*1/6,2)))</calculatedColumnFormula>
    </tableColumn>
    <tableColumn id="2" xr3:uid="{67DBF9A9-0336-4468-AD74-6734541AE9D1}" name="Population" dataDxfId="40"/>
    <tableColumn id="3" xr3:uid="{8F91AD57-97D0-4634-8CA5-122E1100CC78}" name="Exposure Level" dataDxfId="39"/>
    <tableColumn id="4" xr3:uid="{1799808E-5713-4B35-A5CE-C128B9431614}" name="AD (mg/kg/day)" dataDxfId="38">
      <calculatedColumnFormula>IF(E5="High-End",SUMIFS(Inhalation_Exp[24hr_High-End],Inhalation_Exp[OES],$C5,Inhalation_Exp[Worker Type],$D5),SUMIFS(Inhalation_Exp[24hr_Central Tendency],Inhalation_Exp[OES],$C5,Inhalation_Exp[Worker Type],$D5))</calculatedColumnFormula>
    </tableColumn>
    <tableColumn id="5" xr3:uid="{43AABD8D-F37C-42A8-94C0-0DB4306EE9CB}" name="IADD (mg/m3)" dataDxfId="37">
      <calculatedColumnFormula>IF(E5="High-End",SUMIFS(Inhalation_Exp[Int_High-End],Inhalation_Exp[OES],$C5,Inhalation_Exp[Worker Type],$D5),SUMIFS(Inhalation_Exp[Int_Central Tendency],Inhalation_Exp[OES],$C5,Inhalation_Exp[Worker Type],$D5))</calculatedColumnFormula>
    </tableColumn>
    <tableColumn id="6" xr3:uid="{6450D4A1-C2B6-4D2F-8B11-28AD230F5246}" name="ADD (mg/kg/day)" dataDxfId="36">
      <calculatedColumnFormula>IF(E5="High-End",SUMIFS(Inhalation_Exp[ADD_High-End],Inhalation_Exp[OES],$C5,Inhalation_Exp[Worker Type],$D5),SUMIFS(Inhalation_Exp[ADD_Central Tendency],Inhalation_Exp[OES],$C5,Inhalation_Exp[Worker Type],$D5))</calculatedColumnFormula>
    </tableColumn>
    <tableColumn id="7" xr3:uid="{A4CC7DF3-7149-4145-B84D-07996890F619}" name="LADD (mg/kg/day)" dataDxfId="35">
      <calculatedColumnFormula>IF(E5="High-End",SUMIFS(Inhalation_Exp[LADD_High-End],Inhalation_Exp[OES],$C5,Inhalation_Exp[Worker Type],$D5),SUMIFS(Inhalation_Exp[LADD_Central Tendency],Inhalation_Exp[OES],$C5,Inhalation_Exp[Worker Type],$D5))</calculatedColumnFormula>
    </tableColumn>
    <tableColumn id="8" xr3:uid="{43207011-03D8-4323-8D79-7556858EEC36}" name="AD (mg/kg/day)5" dataDxfId="34">
      <calculatedColumnFormula>IF($E5="High-End",SUMIFS(Dermal_Exp[High-End AD (mg/kg-day)],Dermal_Exp[Worker Type],$D5,Dermal_Exp[OES],$C5),SUMIFS(Dermal_Exp[Central Tendency AD (mg/kg-day)],Dermal_Exp[Worker Type],$D5,Dermal_Exp[OES],$C5))</calculatedColumnFormula>
    </tableColumn>
    <tableColumn id="9" xr3:uid="{A9C1CA0A-D631-4CE6-874B-2F803F5CF996}" name="IADD (mg/m3)6" dataDxfId="33">
      <calculatedColumnFormula>IF($E5="High-End",SUMIFS(Dermal_Exp[High-End IADD (mg/kg-day)],Dermal_Exp[Worker Type],$D5,Dermal_Exp[OES],$C5),SUMIFS(Dermal_Exp[Central Tendency IADD (mg/kg-day)],Dermal_Exp[Worker Type],$D5,Dermal_Exp[OES],$C5))</calculatedColumnFormula>
    </tableColumn>
    <tableColumn id="10" xr3:uid="{EE6100F1-83C9-4232-8E41-DE64616BC584}" name="ADD (mg/kg/day)7" dataDxfId="32">
      <calculatedColumnFormula>IF($E5="High-End",SUMIFS(Dermal_Exp[High-End ADD (mg/kg-day)],Dermal_Exp[Worker Type],$D5,Dermal_Exp[OES],$C5),SUMIFS(Dermal_Exp[Central Tendency ADD (mg/kg-day)],Dermal_Exp[Worker Type],$D5,Dermal_Exp[OES],$C5))</calculatedColumnFormula>
    </tableColumn>
    <tableColumn id="11" xr3:uid="{AC5C1205-1B01-414B-B165-359015F9719A}" name="LADD (mg/kg/day)8" dataDxfId="31">
      <calculatedColumnFormula>IF($E5="High-End",SUMIFS(Dermal_Exp[High-End LADD (mg/kg-day)],Dermal_Exp[Worker Type],$D5,Dermal_Exp[OES],$C5),SUMIFS(Dermal_Exp[Central Tendency LADD (mg/kg-day)],Dermal_Exp[Worker Type],$D5,Dermal_Exp[OES],$C5))</calculatedColumnFormula>
    </tableColumn>
    <tableColumn id="12" xr3:uid="{11D00EBE-9AF2-4AC8-9076-6C0A2A53ADBC}" name="Acute" dataDxfId="30">
      <calculatedColumnFormula>F5+J5</calculatedColumnFormula>
    </tableColumn>
    <tableColumn id="13" xr3:uid="{B991B662-D716-4F02-A608-C031424AF80B}" name="Intermed." dataDxfId="29">
      <calculatedColumnFormula>G5+K5</calculatedColumnFormula>
    </tableColumn>
    <tableColumn id="14" xr3:uid="{3C90F6D2-E4E8-4673-A206-108CF0E085C8}" name="Chronic" dataDxfId="28">
      <calculatedColumnFormula>H5+L5</calculatedColumnFormula>
    </tableColumn>
    <tableColumn id="15" xr3:uid="{9A1538A6-215E-48BD-8016-ECDE5049D357}" name="Cancer" dataDxfId="27">
      <calculatedColumnFormula>I5+M5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DC64D-8EB3-4501-870A-D2291E5D1931}" name="Tox_Table" displayName="Tox_Table" ref="B11:L16" totalsRowShown="0" headerRowDxfId="13" dataDxfId="12" headerRowBorderDxfId="550" tableBorderDxfId="549">
  <autoFilter ref="B11:L16" xr:uid="{E33DC64D-8EB3-4501-870A-D2291E5D1931}"/>
  <tableColumns count="11">
    <tableColumn id="1" xr3:uid="{EE67F4A7-6CA6-4037-85CB-90F21462F8D8}" name="Exposure Type" dataDxfId="24"/>
    <tableColumn id="3" xr3:uid="{8043AA1D-35D8-4428-A2DB-4CD78DBBEADD}" name="Health Effect" dataDxfId="23"/>
    <tableColumn id="4" xr3:uid="{3E18B802-0F43-4860-ACE8-BECBFB6A254B}" name="Endpoint" dataDxfId="22"/>
    <tableColumn id="5" xr3:uid="{3832D19D-7F09-45DE-8FF8-E748D2DF228E}" name="Study" dataDxfId="21"/>
    <tableColumn id="6" xr3:uid="{86FA5EF5-8257-4B7D-B67F-81533F26169D}" name="Code" dataDxfId="20"/>
    <tableColumn id="7" xr3:uid="{167C2AF7-F3D6-4569-BA48-0421171478DF}" name="HEC (mg/m3)" dataDxfId="19"/>
    <tableColumn id="8" xr3:uid="{CBBF44F9-78BA-4F5D-B479-0AE98FEBF3BF}" name="HEC (ppm)" dataDxfId="18"/>
    <tableColumn id="9" xr3:uid="{BEF18460-7978-4A17-89D2-4AE396E867BC}" name="HED / POD (mg/kg/day)" dataDxfId="17"/>
    <tableColumn id="10" xr3:uid="{9E0456CF-018C-45C3-867D-D19DEF864DBE}" name="Benchmark MOE" dataDxfId="16"/>
    <tableColumn id="11" xr3:uid="{8A108CB0-4931-41ED-BAFA-789F9D4AC56A}" name="IUR (ppm-1)" dataDxfId="15"/>
    <tableColumn id="12" xr3:uid="{6108CA2F-F7B0-4D12-AEB6-AE3B95A6A2DD}" name="CSF (mg/kg-day-1)" dataDxfId="1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559093-7373-429C-8127-29E318B09181}" name="AEGL_Table" displayName="AEGL_Table" ref="B5:K7" totalsRowShown="0" headerRowDxfId="1" dataDxfId="0" tableBorderDxfId="548">
  <autoFilter ref="B5:K7" xr:uid="{77559093-7373-429C-8127-29E318B09181}"/>
  <tableColumns count="10">
    <tableColumn id="1" xr3:uid="{E09A7697-B506-4F05-8E1E-79D8EA865ACB}" name="Column1" dataDxfId="11"/>
    <tableColumn id="3" xr3:uid="{C788C624-DA81-49B0-8B69-054D97CFFA8C}" name="Toxicity Endpoint" dataDxfId="10"/>
    <tableColumn id="4" xr3:uid="{F86D2B03-EBA9-4512-9A55-456C97028BF6}" name="Study" dataDxfId="9"/>
    <tableColumn id="5" xr3:uid="{A7D48F76-C8C6-471E-B609-F3652DCF0AFD}" name="Code" dataDxfId="8"/>
    <tableColumn id="6" xr3:uid="{2CD20B61-A298-438F-A315-51319315A567}" name="AEGL-1 HEC (mg/m3)" dataDxfId="7"/>
    <tableColumn id="7" xr3:uid="{A3BEF587-F8BD-49BC-9BAF-C3CEC1AC28A7}" name="AEGL-1 HEC (ppm)" dataDxfId="6"/>
    <tableColumn id="8" xr3:uid="{647F1209-AF4A-4FB1-90F2-7FFB5644970E}" name="AEGL-2 HEC (mg/m3)" dataDxfId="5"/>
    <tableColumn id="9" xr3:uid="{ED1AEC0B-DEA7-433A-BF7A-BC77E3385ED2}" name="AEGL-2 HEC (ppm)" dataDxfId="4"/>
    <tableColumn id="10" xr3:uid="{0C4B6FE2-A202-4184-A282-CFEFF98F5C3C}" name="AEGL-3 HEC (mg/m3)" dataDxfId="3"/>
    <tableColumn id="11" xr3:uid="{3AA98D77-89DB-4638-B474-ADB02DA19559}" name="AEGL-3 HEC (ppm)"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537-E5C4-4707-A268-AEAA2A512243}">
  <sheetPr codeName="Sheet6">
    <tabColor rgb="FF92D050"/>
  </sheetPr>
  <dimension ref="B3:F13"/>
  <sheetViews>
    <sheetView tabSelected="1" workbookViewId="0">
      <selection activeCell="L3" sqref="L3"/>
    </sheetView>
  </sheetViews>
  <sheetFormatPr defaultColWidth="9.140625" defaultRowHeight="15" x14ac:dyDescent="0.25"/>
  <cols>
    <col min="1" max="1" width="13.42578125" style="2" customWidth="1"/>
    <col min="2" max="2" width="11.5703125" style="2" customWidth="1"/>
    <col min="3" max="3" width="10.85546875" style="2" customWidth="1"/>
    <col min="4" max="4" width="11.42578125" style="2" customWidth="1"/>
    <col min="5" max="5" width="11.85546875" style="2" customWidth="1"/>
    <col min="6" max="16384" width="9.140625" style="2"/>
  </cols>
  <sheetData>
    <row r="3" spans="2:6" ht="36" customHeight="1" x14ac:dyDescent="0.25">
      <c r="B3" s="1" t="s">
        <v>473</v>
      </c>
      <c r="C3" s="1"/>
      <c r="D3" s="1"/>
      <c r="E3" s="1"/>
      <c r="F3" s="1"/>
    </row>
    <row r="4" spans="2:6" ht="20.100000000000001" customHeight="1" x14ac:dyDescent="0.25">
      <c r="B4" s="1"/>
      <c r="C4" s="1"/>
      <c r="D4" s="1"/>
      <c r="E4" s="1"/>
      <c r="F4" s="1"/>
    </row>
    <row r="7" spans="2:6" ht="63" customHeight="1" x14ac:dyDescent="0.25">
      <c r="B7" s="1" t="s">
        <v>0</v>
      </c>
      <c r="C7" s="1"/>
      <c r="D7" s="1"/>
      <c r="E7" s="1"/>
      <c r="F7" s="1"/>
    </row>
    <row r="9" spans="2:6" ht="20.25" x14ac:dyDescent="0.25">
      <c r="B9" s="1" t="s">
        <v>1</v>
      </c>
      <c r="C9" s="1"/>
      <c r="D9" s="1"/>
      <c r="E9" s="1"/>
      <c r="F9" s="1"/>
    </row>
    <row r="11" spans="2:6" ht="19.5" x14ac:dyDescent="0.35">
      <c r="B11" s="3"/>
      <c r="C11" s="3"/>
      <c r="D11" s="3"/>
      <c r="E11" s="3"/>
      <c r="F11" s="3"/>
    </row>
    <row r="13" spans="2:6" ht="20.25" x14ac:dyDescent="0.3">
      <c r="D13" s="4" t="s">
        <v>472</v>
      </c>
    </row>
  </sheetData>
  <sheetProtection sheet="1" objects="1" scenarios="1" formatCells="0" formatColumns="0" formatRows="0" sort="0" autoFilter="0"/>
  <mergeCells count="4">
    <mergeCell ref="B3:F4"/>
    <mergeCell ref="B7:F7"/>
    <mergeCell ref="B9:F9"/>
    <mergeCell ref="B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E7E-60EB-4022-BE19-E14BB305BE60}">
  <sheetPr codeName="Sheet2">
    <tabColor rgb="FF92D050"/>
  </sheetPr>
  <dimension ref="A1:B13"/>
  <sheetViews>
    <sheetView workbookViewId="0">
      <selection activeCell="A13" sqref="A13"/>
    </sheetView>
  </sheetViews>
  <sheetFormatPr defaultColWidth="9.140625" defaultRowHeight="12.75" x14ac:dyDescent="0.2"/>
  <cols>
    <col min="1" max="1" width="18.140625" style="7" customWidth="1"/>
    <col min="2" max="2" width="176.85546875" style="7" customWidth="1"/>
    <col min="3" max="16384" width="9.140625" style="7"/>
  </cols>
  <sheetData>
    <row r="1" spans="1:2" ht="15.75" x14ac:dyDescent="0.2">
      <c r="A1" s="5" t="s">
        <v>2</v>
      </c>
      <c r="B1" s="6"/>
    </row>
    <row r="2" spans="1:2" ht="50.25" customHeight="1" x14ac:dyDescent="0.2">
      <c r="A2" s="8" t="s">
        <v>3</v>
      </c>
      <c r="B2" s="8"/>
    </row>
    <row r="3" spans="1:2" x14ac:dyDescent="0.2">
      <c r="A3" s="6"/>
      <c r="B3" s="6"/>
    </row>
    <row r="4" spans="1:2" x14ac:dyDescent="0.2">
      <c r="A4" s="9" t="s">
        <v>4</v>
      </c>
      <c r="B4" s="9" t="s">
        <v>5</v>
      </c>
    </row>
    <row r="5" spans="1:2" ht="25.5" x14ac:dyDescent="0.2">
      <c r="A5" s="9" t="s">
        <v>6</v>
      </c>
      <c r="B5" s="9" t="s">
        <v>7</v>
      </c>
    </row>
    <row r="6" spans="1:2" ht="89.25" x14ac:dyDescent="0.2">
      <c r="A6" s="9" t="s">
        <v>8</v>
      </c>
      <c r="B6" s="9" t="s">
        <v>9</v>
      </c>
    </row>
    <row r="7" spans="1:2" ht="38.25" x14ac:dyDescent="0.2">
      <c r="A7" s="9" t="s">
        <v>10</v>
      </c>
      <c r="B7" s="9" t="s">
        <v>11</v>
      </c>
    </row>
    <row r="8" spans="1:2" ht="45.75" customHeight="1" x14ac:dyDescent="0.2">
      <c r="A8" s="9" t="s">
        <v>12</v>
      </c>
      <c r="B8" s="9" t="s">
        <v>13</v>
      </c>
    </row>
    <row r="9" spans="1:2" ht="63.75" x14ac:dyDescent="0.2">
      <c r="A9" s="9" t="s">
        <v>14</v>
      </c>
      <c r="B9" s="9" t="s">
        <v>15</v>
      </c>
    </row>
    <row r="10" spans="1:2" ht="27" customHeight="1" x14ac:dyDescent="0.2"/>
    <row r="11" spans="1:2" ht="27" customHeight="1" x14ac:dyDescent="0.2"/>
    <row r="12" spans="1:2" ht="27" customHeight="1" x14ac:dyDescent="0.2"/>
    <row r="13" spans="1:2" ht="27" customHeight="1" x14ac:dyDescent="0.2"/>
  </sheetData>
  <sheetProtection sheet="1" objects="1" scenarios="1" formatCells="0" formatColumns="0" formatRows="0" sort="0" autoFilter="0"/>
  <mergeCells count="1">
    <mergeCell ref="A2:B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C1A0-D2AE-4E8C-83FD-637F8818DD82}">
  <sheetPr codeName="Sheet10">
    <tabColor rgb="FF92D050"/>
  </sheetPr>
  <dimension ref="A1:F38"/>
  <sheetViews>
    <sheetView workbookViewId="0">
      <selection activeCell="B17" sqref="B17"/>
    </sheetView>
  </sheetViews>
  <sheetFormatPr defaultColWidth="9.140625" defaultRowHeight="12.75" x14ac:dyDescent="0.2"/>
  <cols>
    <col min="1" max="1" width="54.140625" style="7" bestFit="1" customWidth="1"/>
    <col min="2" max="2" width="64.85546875" style="7" customWidth="1"/>
    <col min="3" max="3" width="94.85546875" style="7" customWidth="1"/>
    <col min="4" max="4" width="29.140625" style="7" customWidth="1"/>
    <col min="5" max="16384" width="9.140625" style="7"/>
  </cols>
  <sheetData>
    <row r="1" spans="1:6" ht="15.75" x14ac:dyDescent="0.25">
      <c r="A1" s="10" t="s">
        <v>16</v>
      </c>
      <c r="B1" s="11"/>
      <c r="C1" s="11"/>
      <c r="D1" s="11"/>
      <c r="E1" s="11"/>
      <c r="F1" s="11"/>
    </row>
    <row r="2" spans="1:6" x14ac:dyDescent="0.2">
      <c r="A2" s="12" t="s">
        <v>17</v>
      </c>
      <c r="B2" s="12" t="s">
        <v>18</v>
      </c>
      <c r="C2" s="12" t="s">
        <v>19</v>
      </c>
      <c r="D2" s="11"/>
      <c r="E2" s="11"/>
      <c r="F2" s="11"/>
    </row>
    <row r="3" spans="1:6" ht="15.75" x14ac:dyDescent="0.2">
      <c r="A3" s="13" t="s">
        <v>20</v>
      </c>
      <c r="B3" s="13"/>
      <c r="C3" s="13"/>
      <c r="D3" s="11"/>
      <c r="E3" s="11"/>
      <c r="F3" s="11"/>
    </row>
    <row r="4" spans="1:6" ht="41.25" x14ac:dyDescent="0.2">
      <c r="A4" s="14" t="s">
        <v>21</v>
      </c>
      <c r="B4" s="15" t="s">
        <v>22</v>
      </c>
      <c r="C4" s="16" t="s">
        <v>23</v>
      </c>
      <c r="D4" s="11"/>
      <c r="E4" s="11"/>
      <c r="F4" s="11"/>
    </row>
    <row r="5" spans="1:6" ht="114.75" x14ac:dyDescent="0.2">
      <c r="A5" s="14" t="s">
        <v>24</v>
      </c>
      <c r="B5" s="17" t="s">
        <v>25</v>
      </c>
      <c r="C5" s="16" t="s">
        <v>26</v>
      </c>
      <c r="D5" s="11"/>
      <c r="E5" s="11"/>
      <c r="F5" s="11"/>
    </row>
    <row r="6" spans="1:6" ht="63.75" x14ac:dyDescent="0.2">
      <c r="A6" s="14" t="s">
        <v>27</v>
      </c>
      <c r="B6" s="17" t="s">
        <v>28</v>
      </c>
      <c r="C6" s="16" t="s">
        <v>29</v>
      </c>
      <c r="D6" s="11"/>
      <c r="E6" s="11"/>
      <c r="F6" s="11"/>
    </row>
    <row r="7" spans="1:6" ht="76.5" x14ac:dyDescent="0.2">
      <c r="A7" s="14" t="s">
        <v>30</v>
      </c>
      <c r="B7" s="17" t="s">
        <v>31</v>
      </c>
      <c r="C7" s="16" t="s">
        <v>32</v>
      </c>
      <c r="D7" s="11"/>
      <c r="E7" s="11"/>
      <c r="F7" s="11"/>
    </row>
    <row r="8" spans="1:6" x14ac:dyDescent="0.2">
      <c r="A8" s="18" t="s">
        <v>33</v>
      </c>
      <c r="B8" s="19"/>
      <c r="C8" s="20"/>
      <c r="D8" s="11"/>
      <c r="E8" s="11"/>
      <c r="F8" s="11"/>
    </row>
    <row r="9" spans="1:6" x14ac:dyDescent="0.2">
      <c r="A9" s="21" t="s">
        <v>34</v>
      </c>
      <c r="B9" s="22" t="s">
        <v>35</v>
      </c>
      <c r="C9" s="23"/>
      <c r="D9" s="11"/>
      <c r="E9" s="11"/>
      <c r="F9" s="11"/>
    </row>
    <row r="10" spans="1:6" x14ac:dyDescent="0.2">
      <c r="A10" s="21" t="s">
        <v>36</v>
      </c>
      <c r="B10" s="22" t="s">
        <v>35</v>
      </c>
      <c r="C10" s="24"/>
      <c r="D10" s="11"/>
      <c r="E10" s="11"/>
      <c r="F10" s="11"/>
    </row>
    <row r="11" spans="1:6" ht="25.5" x14ac:dyDescent="0.2">
      <c r="A11" s="22" t="s">
        <v>37</v>
      </c>
      <c r="B11" s="22" t="s">
        <v>38</v>
      </c>
      <c r="C11" s="21" t="s">
        <v>39</v>
      </c>
      <c r="D11" s="11"/>
      <c r="E11" s="11"/>
      <c r="F11" s="11"/>
    </row>
    <row r="12" spans="1:6" ht="25.5" x14ac:dyDescent="0.2">
      <c r="A12" s="22" t="s">
        <v>40</v>
      </c>
      <c r="B12" s="22" t="s">
        <v>41</v>
      </c>
      <c r="C12" s="21" t="s">
        <v>39</v>
      </c>
      <c r="D12" s="11"/>
      <c r="E12" s="11"/>
      <c r="F12" s="11"/>
    </row>
    <row r="13" spans="1:6" ht="25.5" x14ac:dyDescent="0.2">
      <c r="A13" s="22" t="s">
        <v>42</v>
      </c>
      <c r="B13" s="22" t="s">
        <v>43</v>
      </c>
      <c r="C13" s="21" t="s">
        <v>39</v>
      </c>
      <c r="D13" s="11"/>
      <c r="E13" s="11"/>
      <c r="F13" s="11"/>
    </row>
    <row r="14" spans="1:6" ht="25.5" x14ac:dyDescent="0.2">
      <c r="A14" s="22" t="s">
        <v>44</v>
      </c>
      <c r="B14" s="22" t="s">
        <v>45</v>
      </c>
      <c r="C14" s="21" t="s">
        <v>46</v>
      </c>
      <c r="D14" s="11"/>
      <c r="E14" s="11"/>
      <c r="F14" s="11"/>
    </row>
    <row r="15" spans="1:6" x14ac:dyDescent="0.2">
      <c r="A15" s="13" t="s">
        <v>47</v>
      </c>
      <c r="B15" s="13"/>
      <c r="C15" s="13"/>
      <c r="D15" s="11"/>
      <c r="E15" s="11"/>
      <c r="F15" s="11"/>
    </row>
    <row r="16" spans="1:6" ht="38.25" x14ac:dyDescent="0.2">
      <c r="A16" s="14" t="s">
        <v>21</v>
      </c>
      <c r="B16" s="22" t="s">
        <v>48</v>
      </c>
      <c r="C16" s="16" t="s">
        <v>49</v>
      </c>
      <c r="D16" s="11"/>
      <c r="E16" s="11"/>
      <c r="F16" s="11"/>
    </row>
    <row r="17" spans="1:6" ht="115.5" x14ac:dyDescent="0.25">
      <c r="A17" s="14" t="s">
        <v>50</v>
      </c>
      <c r="B17" s="22" t="s">
        <v>51</v>
      </c>
      <c r="C17" s="25" t="s">
        <v>52</v>
      </c>
      <c r="D17" s="11"/>
      <c r="E17" s="11"/>
      <c r="F17" s="11"/>
    </row>
    <row r="18" spans="1:6" ht="51" x14ac:dyDescent="0.2">
      <c r="A18" s="14" t="s">
        <v>27</v>
      </c>
      <c r="B18" s="17" t="s">
        <v>53</v>
      </c>
      <c r="C18" s="16" t="s">
        <v>54</v>
      </c>
      <c r="D18" s="11"/>
      <c r="E18" s="11"/>
      <c r="F18" s="11"/>
    </row>
    <row r="19" spans="1:6" ht="63.75" x14ac:dyDescent="0.2">
      <c r="A19" s="14" t="s">
        <v>30</v>
      </c>
      <c r="B19" s="17" t="s">
        <v>55</v>
      </c>
      <c r="C19" s="16" t="s">
        <v>56</v>
      </c>
      <c r="D19" s="11"/>
      <c r="E19" s="11"/>
      <c r="F19" s="11"/>
    </row>
    <row r="20" spans="1:6" x14ac:dyDescent="0.2">
      <c r="A20" s="18" t="s">
        <v>57</v>
      </c>
      <c r="B20" s="19"/>
      <c r="C20" s="20"/>
      <c r="D20" s="11"/>
      <c r="E20" s="11"/>
      <c r="F20" s="11"/>
    </row>
    <row r="21" spans="1:6" x14ac:dyDescent="0.2">
      <c r="A21" s="21" t="s">
        <v>34</v>
      </c>
      <c r="B21" s="22" t="s">
        <v>35</v>
      </c>
      <c r="C21" s="23"/>
      <c r="D21" s="11"/>
      <c r="E21" s="11"/>
      <c r="F21" s="11"/>
    </row>
    <row r="22" spans="1:6" x14ac:dyDescent="0.2">
      <c r="A22" s="21" t="s">
        <v>36</v>
      </c>
      <c r="B22" s="22" t="s">
        <v>35</v>
      </c>
      <c r="C22" s="24"/>
      <c r="D22" s="11"/>
      <c r="E22" s="11"/>
      <c r="F22" s="11"/>
    </row>
    <row r="23" spans="1:6" ht="25.5" x14ac:dyDescent="0.2">
      <c r="A23" s="22" t="s">
        <v>37</v>
      </c>
      <c r="B23" s="22" t="s">
        <v>58</v>
      </c>
      <c r="C23" s="21" t="s">
        <v>39</v>
      </c>
      <c r="D23" s="11"/>
      <c r="E23" s="11"/>
      <c r="F23" s="11"/>
    </row>
    <row r="24" spans="1:6" ht="25.5" x14ac:dyDescent="0.2">
      <c r="A24" s="22" t="s">
        <v>40</v>
      </c>
      <c r="B24" s="22" t="s">
        <v>59</v>
      </c>
      <c r="C24" s="21" t="s">
        <v>39</v>
      </c>
      <c r="D24" s="11"/>
      <c r="E24" s="11"/>
      <c r="F24" s="11"/>
    </row>
    <row r="25" spans="1:6" ht="25.5" x14ac:dyDescent="0.2">
      <c r="A25" s="22" t="s">
        <v>42</v>
      </c>
      <c r="B25" s="22" t="s">
        <v>60</v>
      </c>
      <c r="C25" s="21" t="s">
        <v>39</v>
      </c>
      <c r="D25" s="11"/>
      <c r="E25" s="11"/>
      <c r="F25" s="11"/>
    </row>
    <row r="26" spans="1:6" ht="25.5" x14ac:dyDescent="0.2">
      <c r="A26" s="22" t="s">
        <v>44</v>
      </c>
      <c r="B26" s="22" t="s">
        <v>61</v>
      </c>
      <c r="C26" s="21" t="s">
        <v>46</v>
      </c>
      <c r="D26" s="11"/>
      <c r="E26" s="11"/>
      <c r="F26" s="11"/>
    </row>
    <row r="27" spans="1:6" x14ac:dyDescent="0.2">
      <c r="A27" s="11"/>
      <c r="B27" s="11"/>
      <c r="C27" s="11"/>
      <c r="D27" s="11"/>
      <c r="E27" s="11"/>
      <c r="F27" s="11"/>
    </row>
    <row r="28" spans="1:6" x14ac:dyDescent="0.2">
      <c r="A28" s="11"/>
      <c r="B28" s="11"/>
      <c r="C28" s="11"/>
      <c r="D28" s="11"/>
      <c r="E28" s="11"/>
      <c r="F28" s="11"/>
    </row>
    <row r="29" spans="1:6" x14ac:dyDescent="0.2">
      <c r="A29" s="11"/>
      <c r="B29" s="11"/>
      <c r="C29" s="11"/>
      <c r="D29" s="11"/>
      <c r="E29" s="11"/>
      <c r="F29" s="11"/>
    </row>
    <row r="30" spans="1:6" x14ac:dyDescent="0.2">
      <c r="A30" s="11"/>
      <c r="B30" s="11"/>
      <c r="C30" s="11"/>
      <c r="D30" s="11"/>
      <c r="E30" s="11"/>
      <c r="F30" s="11"/>
    </row>
    <row r="31" spans="1:6" x14ac:dyDescent="0.2">
      <c r="A31" s="11"/>
      <c r="B31" s="11"/>
      <c r="C31" s="11"/>
      <c r="D31" s="11"/>
      <c r="E31" s="11"/>
      <c r="F31" s="11"/>
    </row>
    <row r="32" spans="1:6" x14ac:dyDescent="0.2">
      <c r="A32" s="11"/>
      <c r="B32" s="11"/>
      <c r="C32" s="11"/>
      <c r="D32" s="11"/>
      <c r="E32" s="11"/>
      <c r="F32" s="11"/>
    </row>
    <row r="33" spans="1:6" x14ac:dyDescent="0.2">
      <c r="A33" s="11"/>
      <c r="B33" s="11"/>
      <c r="C33" s="11"/>
      <c r="D33" s="11"/>
      <c r="E33" s="11"/>
      <c r="F33" s="11"/>
    </row>
    <row r="34" spans="1:6" x14ac:dyDescent="0.2">
      <c r="A34" s="11"/>
      <c r="B34" s="11"/>
      <c r="C34" s="11"/>
      <c r="D34" s="11"/>
      <c r="E34" s="11"/>
      <c r="F34" s="11"/>
    </row>
    <row r="35" spans="1:6" x14ac:dyDescent="0.2">
      <c r="A35" s="11"/>
      <c r="B35" s="11"/>
      <c r="C35" s="11"/>
      <c r="D35" s="11"/>
      <c r="E35" s="11"/>
      <c r="F35" s="11"/>
    </row>
    <row r="36" spans="1:6" x14ac:dyDescent="0.2">
      <c r="A36" s="11"/>
      <c r="B36" s="11"/>
      <c r="C36" s="11"/>
      <c r="D36" s="11"/>
      <c r="E36" s="11"/>
      <c r="F36" s="11"/>
    </row>
    <row r="37" spans="1:6" x14ac:dyDescent="0.2">
      <c r="A37" s="11"/>
      <c r="B37" s="11"/>
      <c r="C37" s="11"/>
      <c r="D37" s="11"/>
      <c r="E37" s="11"/>
      <c r="F37" s="11"/>
    </row>
    <row r="38" spans="1:6" x14ac:dyDescent="0.2">
      <c r="F38" s="11"/>
    </row>
  </sheetData>
  <sheetProtection sheet="1" objects="1" scenarios="1" formatCells="0" formatColumns="0" formatRows="0" sort="0" autoFilter="0"/>
  <mergeCells count="4">
    <mergeCell ref="A3:C3"/>
    <mergeCell ref="A8:C8"/>
    <mergeCell ref="A20:C20"/>
    <mergeCell ref="A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FG87"/>
  <sheetViews>
    <sheetView topLeftCell="C1" zoomScale="90" zoomScaleNormal="90" workbookViewId="0">
      <selection activeCell="C4" sqref="C4"/>
    </sheetView>
  </sheetViews>
  <sheetFormatPr defaultColWidth="8.85546875" defaultRowHeight="12.75" x14ac:dyDescent="0.25"/>
  <cols>
    <col min="1" max="1" width="4.5703125" style="26" customWidth="1"/>
    <col min="2" max="2" width="5.140625" style="27" customWidth="1"/>
    <col min="3" max="3" width="28" style="26" customWidth="1"/>
    <col min="4" max="4" width="16.85546875" style="27" bestFit="1" customWidth="1"/>
    <col min="5" max="5" width="19.85546875" style="26" bestFit="1" customWidth="1"/>
    <col min="6" max="6" width="24.140625" style="26" customWidth="1"/>
    <col min="7" max="7" width="27.42578125" style="26" customWidth="1"/>
    <col min="8" max="8" width="19.85546875" style="26" bestFit="1" customWidth="1"/>
    <col min="9" max="9" width="18.140625" style="26" customWidth="1"/>
    <col min="10" max="10" width="3.85546875" style="26" customWidth="1"/>
    <col min="11" max="11" width="28.5703125" style="26" customWidth="1"/>
    <col min="12" max="12" width="19" style="26" customWidth="1"/>
    <col min="13" max="13" width="16.5703125" style="26" customWidth="1"/>
    <col min="14" max="14" width="24.85546875" style="26" customWidth="1"/>
    <col min="15" max="15" width="25.5703125" style="26" customWidth="1"/>
    <col min="16" max="16" width="19.140625" style="26" customWidth="1"/>
    <col min="17" max="17" width="17" style="26" customWidth="1"/>
    <col min="18" max="18" width="3.140625" style="26" customWidth="1"/>
    <col min="19" max="19" width="26.5703125" style="26" customWidth="1"/>
    <col min="20" max="20" width="16.85546875" style="26" customWidth="1"/>
    <col min="21" max="21" width="18.85546875" style="26" customWidth="1"/>
    <col min="22" max="22" width="22.140625" style="26" customWidth="1"/>
    <col min="23" max="23" width="25.85546875" style="26" bestFit="1" customWidth="1"/>
    <col min="24" max="27" width="20.42578125" style="26" customWidth="1"/>
    <col min="28" max="29" width="18.85546875" style="26" customWidth="1"/>
    <col min="30" max="30" width="28.42578125" style="113" customWidth="1"/>
    <col min="31" max="31" width="26.85546875" style="113" customWidth="1"/>
    <col min="32" max="32" width="15.140625" style="113" customWidth="1"/>
    <col min="33" max="33" width="17.85546875" style="113" customWidth="1"/>
    <col min="34" max="34" width="22.42578125" style="113" customWidth="1"/>
    <col min="35" max="35" width="21.85546875" style="113" customWidth="1"/>
    <col min="36" max="36" width="17.42578125" style="113" customWidth="1"/>
    <col min="37" max="37" width="14.5703125" style="26" customWidth="1"/>
    <col min="38" max="38" width="17.140625" style="26" customWidth="1"/>
    <col min="39" max="39" width="16" style="26" customWidth="1"/>
    <col min="40" max="40" width="24.140625" style="26" customWidth="1"/>
    <col min="41" max="41" width="15.5703125" style="26" customWidth="1"/>
    <col min="42" max="42" width="14.140625" style="26" customWidth="1"/>
    <col min="43" max="44" width="8.85546875" style="26"/>
    <col min="45" max="45" width="18.42578125" style="26" customWidth="1"/>
    <col min="46" max="46" width="15" style="26" customWidth="1"/>
    <col min="47" max="47" width="21.42578125" style="26" customWidth="1"/>
    <col min="48" max="48" width="15.42578125" style="26" customWidth="1"/>
    <col min="49" max="49" width="16.5703125" style="26" customWidth="1"/>
    <col min="50" max="51" width="8.85546875" style="26"/>
    <col min="52" max="52" width="17.85546875" style="26" customWidth="1"/>
    <col min="53" max="53" width="14.42578125" style="26" customWidth="1"/>
    <col min="54" max="54" width="18.5703125" style="26" customWidth="1"/>
    <col min="55" max="55" width="13.5703125" style="26" customWidth="1"/>
    <col min="56" max="56" width="15.140625" style="26" customWidth="1"/>
    <col min="57" max="58" width="8.85546875" style="26"/>
    <col min="59" max="59" width="16.140625" style="26" customWidth="1"/>
    <col min="60" max="60" width="12" style="26" customWidth="1"/>
    <col min="61" max="61" width="18" style="26" customWidth="1"/>
    <col min="62" max="62" width="16.140625" style="26" customWidth="1"/>
    <col min="63" max="63" width="14.140625" style="26" customWidth="1"/>
    <col min="64" max="64" width="10.140625" style="26" customWidth="1"/>
    <col min="65" max="16384" width="8.85546875" style="26"/>
  </cols>
  <sheetData>
    <row r="1" spans="1:163" ht="13.5" thickBot="1" x14ac:dyDescent="0.3">
      <c r="J1" s="28"/>
      <c r="K1" s="28"/>
      <c r="L1" s="28"/>
      <c r="AD1" s="26"/>
      <c r="AE1" s="26"/>
      <c r="AF1" s="26"/>
      <c r="AG1" s="26"/>
      <c r="AH1" s="26"/>
      <c r="AI1" s="26"/>
      <c r="AJ1" s="26"/>
    </row>
    <row r="2" spans="1:163" s="28" customFormat="1" ht="14.25" thickBot="1" x14ac:dyDescent="0.25">
      <c r="B2" s="29"/>
      <c r="C2" s="30" t="s">
        <v>62</v>
      </c>
      <c r="D2" s="31" t="s">
        <v>63</v>
      </c>
      <c r="E2" s="32"/>
      <c r="F2" s="33" t="s">
        <v>64</v>
      </c>
      <c r="G2" s="34"/>
      <c r="H2" s="35" t="s">
        <v>65</v>
      </c>
      <c r="L2" s="36"/>
    </row>
    <row r="3" spans="1:163" s="28" customFormat="1" ht="25.5" x14ac:dyDescent="0.2">
      <c r="B3" s="29"/>
      <c r="C3" s="37" t="s">
        <v>66</v>
      </c>
      <c r="D3" s="38" t="s">
        <v>67</v>
      </c>
      <c r="E3" s="39"/>
      <c r="F3" s="40" t="s">
        <v>68</v>
      </c>
      <c r="G3" s="41" t="s">
        <v>69</v>
      </c>
      <c r="H3" s="42" t="s">
        <v>70</v>
      </c>
      <c r="L3" s="36"/>
    </row>
    <row r="4" spans="1:163" s="28" customFormat="1" ht="30.75" customHeight="1" x14ac:dyDescent="0.2">
      <c r="B4" s="29"/>
      <c r="C4" s="43" t="s">
        <v>71</v>
      </c>
      <c r="D4" s="44" t="str">
        <f>_xlfn.XLOOKUP($C$4,Inhalation_Exp[OES],Inhalation_Exp[Data Type])</f>
        <v>Monitoring Data</v>
      </c>
      <c r="E4" s="45"/>
      <c r="F4" s="46">
        <v>10</v>
      </c>
      <c r="G4" s="47">
        <v>10</v>
      </c>
      <c r="H4" s="48" t="s">
        <v>72</v>
      </c>
      <c r="L4" s="36"/>
    </row>
    <row r="5" spans="1:163" s="28" customFormat="1" x14ac:dyDescent="0.25">
      <c r="B5" s="29"/>
      <c r="C5" s="49"/>
      <c r="D5" s="49"/>
      <c r="E5" s="49"/>
      <c r="H5" s="50"/>
      <c r="I5" s="51"/>
      <c r="L5" s="49"/>
    </row>
    <row r="6" spans="1:163" ht="13.5" x14ac:dyDescent="0.25">
      <c r="A6" s="28"/>
      <c r="C6" s="52" t="s">
        <v>73</v>
      </c>
      <c r="D6" s="29"/>
      <c r="E6" s="50"/>
      <c r="F6" s="50"/>
      <c r="G6" s="50"/>
      <c r="H6" s="50"/>
      <c r="I6" s="50"/>
      <c r="K6" s="52" t="s">
        <v>65</v>
      </c>
      <c r="M6" s="28"/>
      <c r="N6" s="28"/>
      <c r="O6" s="50"/>
      <c r="P6" s="50"/>
      <c r="R6" s="28"/>
      <c r="S6" s="52" t="s">
        <v>74</v>
      </c>
      <c r="T6" s="29"/>
      <c r="U6" s="50"/>
      <c r="V6" s="50"/>
      <c r="W6" s="50"/>
      <c r="X6" s="50"/>
      <c r="Y6" s="28"/>
      <c r="Z6" s="28"/>
      <c r="AA6" s="28"/>
      <c r="AB6" s="28"/>
      <c r="AD6" s="26"/>
      <c r="AE6" s="26"/>
      <c r="AF6" s="26"/>
      <c r="AG6" s="26"/>
      <c r="AH6" s="26"/>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row>
    <row r="7" spans="1:163" ht="13.5" thickBot="1" x14ac:dyDescent="0.3">
      <c r="A7" s="28"/>
      <c r="C7" s="53" t="s">
        <v>75</v>
      </c>
      <c r="G7" s="54"/>
      <c r="H7" s="54"/>
      <c r="I7" s="55"/>
      <c r="K7" s="53" t="s">
        <v>75</v>
      </c>
      <c r="N7" s="56"/>
      <c r="O7" s="50"/>
      <c r="P7" s="50"/>
      <c r="S7" s="53" t="s">
        <v>75</v>
      </c>
      <c r="T7" s="27"/>
      <c r="V7" s="54"/>
      <c r="W7" s="54"/>
      <c r="X7" s="55"/>
      <c r="AD7" s="26"/>
      <c r="AE7" s="26"/>
      <c r="AF7" s="26"/>
      <c r="AG7" s="26"/>
      <c r="AH7" s="26"/>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row>
    <row r="8" spans="1:163" ht="25.5" customHeight="1" x14ac:dyDescent="0.25">
      <c r="A8" s="28"/>
      <c r="C8" s="57" t="s">
        <v>76</v>
      </c>
      <c r="D8" s="58" t="s">
        <v>77</v>
      </c>
      <c r="E8" s="59" t="s">
        <v>78</v>
      </c>
      <c r="F8" s="59" t="s">
        <v>79</v>
      </c>
      <c r="G8" s="59" t="s">
        <v>80</v>
      </c>
      <c r="H8" s="60" t="s">
        <v>81</v>
      </c>
      <c r="I8" s="61"/>
      <c r="K8" s="62" t="s">
        <v>76</v>
      </c>
      <c r="L8" s="63" t="s">
        <v>77</v>
      </c>
      <c r="M8" s="59" t="s">
        <v>78</v>
      </c>
      <c r="N8" s="59" t="s">
        <v>79</v>
      </c>
      <c r="O8" s="59" t="s">
        <v>80</v>
      </c>
      <c r="P8" s="60" t="s">
        <v>81</v>
      </c>
      <c r="S8" s="64" t="s">
        <v>76</v>
      </c>
      <c r="T8" s="65" t="s">
        <v>77</v>
      </c>
      <c r="U8" s="66" t="s">
        <v>78</v>
      </c>
      <c r="V8" s="66" t="s">
        <v>82</v>
      </c>
      <c r="W8" s="66" t="s">
        <v>80</v>
      </c>
      <c r="X8" s="67" t="s">
        <v>81</v>
      </c>
      <c r="Y8" s="61"/>
      <c r="Z8" s="61"/>
      <c r="AA8" s="61"/>
      <c r="AB8" s="61"/>
      <c r="AC8" s="61"/>
      <c r="AD8" s="26"/>
      <c r="AE8" s="26"/>
      <c r="AF8" s="26"/>
      <c r="AG8" s="26"/>
      <c r="AH8" s="26"/>
      <c r="AI8" s="26"/>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row>
    <row r="9" spans="1:163" ht="27.75" customHeight="1" thickBot="1" x14ac:dyDescent="0.3">
      <c r="A9" s="28"/>
      <c r="C9" s="68"/>
      <c r="D9" s="69"/>
      <c r="E9" s="70" t="s">
        <v>83</v>
      </c>
      <c r="F9" s="70" t="s">
        <v>84</v>
      </c>
      <c r="G9" s="70" t="s">
        <v>85</v>
      </c>
      <c r="H9" s="71" t="s">
        <v>86</v>
      </c>
      <c r="I9" s="61"/>
      <c r="K9" s="72"/>
      <c r="L9" s="73"/>
      <c r="M9" s="74" t="s">
        <v>83</v>
      </c>
      <c r="N9" s="74" t="s">
        <v>84</v>
      </c>
      <c r="O9" s="74" t="s">
        <v>87</v>
      </c>
      <c r="P9" s="75" t="s">
        <v>88</v>
      </c>
      <c r="S9" s="76"/>
      <c r="T9" s="69"/>
      <c r="U9" s="74" t="s">
        <v>89</v>
      </c>
      <c r="V9" s="74" t="s">
        <v>84</v>
      </c>
      <c r="W9" s="74" t="s">
        <v>85</v>
      </c>
      <c r="X9" s="77" t="s">
        <v>86</v>
      </c>
      <c r="Y9" s="61"/>
      <c r="Z9" s="61"/>
      <c r="AA9" s="61"/>
      <c r="AB9" s="61"/>
      <c r="AC9" s="61"/>
      <c r="AD9" s="26"/>
      <c r="AE9" s="26"/>
      <c r="AF9" s="26"/>
      <c r="AG9" s="26"/>
      <c r="AH9" s="26"/>
      <c r="AI9" s="26"/>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row>
    <row r="10" spans="1:163" ht="15" customHeight="1" thickBot="1" x14ac:dyDescent="0.3">
      <c r="A10" s="28"/>
      <c r="C10" s="78" t="str">
        <f>$H$4</f>
        <v>Female of Reproductive Age</v>
      </c>
      <c r="D10" s="79" t="s">
        <v>90</v>
      </c>
      <c r="E10" s="80">
        <f>SUMIFS(Inhalation_Exp[24hr_High-End],Inhalation_Exp[OES],$C$4,Inhalation_Exp[Worker Type],$C10,Inhalation_Exp[Data Type],$D$4)</f>
        <v>0.13807386952019329</v>
      </c>
      <c r="F10" s="81">
        <f>SUMIFS(Inhalation_Exp[Int_High-End],Inhalation_Exp[OES],$C$4,Inhalation_Exp[Worker Type],$C10,Inhalation_Exp[Data Type],$D$4)</f>
        <v>0.10125417098147509</v>
      </c>
      <c r="G10" s="81">
        <f>SUMIFS(Inhalation_Exp[ADD_High-End],Inhalation_Exp[OES],$C$4,Inhalation_Exp[Worker Type],$C10,Inhalation_Exp[Data Type],$D$4)</f>
        <v>9.4571143506981703E-2</v>
      </c>
      <c r="H10" s="82">
        <f>SUMIFS(Inhalation_Exp[LADD_High-End],Inhalation_Exp[OES],$C$4,Inhalation_Exp[Worker Type],$C10,Inhalation_Exp[Data Type],$D$4)</f>
        <v>4.8498022311272669E-2</v>
      </c>
      <c r="I10" s="83"/>
      <c r="K10" s="78" t="str">
        <f>$H$4</f>
        <v>Female of Reproductive Age</v>
      </c>
      <c r="L10" s="84" t="s">
        <v>90</v>
      </c>
      <c r="M10" s="81">
        <f>SUMIFS(Dermal_Exp[High-End AD (mg/kg-day)],Dermal_Exp[Worker Type],Dashboard!$K$10,Dermal_Exp[OES],Dashboard!$C$4)</f>
        <v>2.3069521178637196</v>
      </c>
      <c r="N10" s="81">
        <f>SUMIFS(Dermal_Exp[High-End IADD (mg/kg-day)],Dermal_Exp[Worker Type],Dashboard!$K$10,Dermal_Exp[OES],Dashboard!$C$4)</f>
        <v>1.6917648864333943</v>
      </c>
      <c r="O10" s="81">
        <f>SUMIFS(Dermal_Exp[High-End ADD (mg/kg-day)],Dermal_Exp[Worker Type],Dashboard!$K$10,Dermal_Exp[OES],Dashboard!$C$4)</f>
        <v>1.5801041903176161</v>
      </c>
      <c r="P10" s="82">
        <f>SUMIFS(Dermal_Exp[High-End LADD (mg/kg-day)],Dermal_Exp[Worker Type],Dashboard!$K$10,Dermal_Exp[OES],Dashboard!$C$4)</f>
        <v>0.81030984118852112</v>
      </c>
      <c r="S10" s="85" t="str">
        <f>$H$4</f>
        <v>Female of Reproductive Age</v>
      </c>
      <c r="T10" s="84" t="s">
        <v>90</v>
      </c>
      <c r="U10" s="86">
        <f>E10+M10</f>
        <v>2.4450259873839126</v>
      </c>
      <c r="V10" s="86">
        <f t="shared" ref="V10:X13" si="0">F10+N10</f>
        <v>1.7930190574148694</v>
      </c>
      <c r="W10" s="86">
        <f t="shared" si="0"/>
        <v>1.6746753338245979</v>
      </c>
      <c r="X10" s="87">
        <f t="shared" si="0"/>
        <v>0.85880786349979377</v>
      </c>
      <c r="Y10" s="83"/>
      <c r="Z10" s="83"/>
      <c r="AA10" s="83"/>
      <c r="AB10" s="83"/>
      <c r="AC10" s="83"/>
      <c r="AD10" s="26"/>
      <c r="AE10" s="26"/>
      <c r="AF10" s="26"/>
      <c r="AG10" s="26"/>
      <c r="AH10" s="26"/>
      <c r="AI10" s="26"/>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row>
    <row r="11" spans="1:163" ht="15.75" customHeight="1" thickBot="1" x14ac:dyDescent="0.3">
      <c r="A11" s="28"/>
      <c r="C11" s="88"/>
      <c r="D11" s="89" t="s">
        <v>91</v>
      </c>
      <c r="E11" s="90">
        <f>SUMIFS(Inhalation_Exp[24hr_Central Tendency],Inhalation_Exp[OES],$C$4,Inhalation_Exp[Worker Type],$C10,Inhalation_Exp[Data Type],$D$4)</f>
        <v>6.9036934760096647E-2</v>
      </c>
      <c r="F11" s="91">
        <f>SUMIFS(Inhalation_Exp[Int_Central Tendency],Inhalation_Exp[OES],$C$4,Inhalation_Exp[Worker Type],$C10,Inhalation_Exp[Data Type],$D$4)</f>
        <v>5.0627085490737543E-2</v>
      </c>
      <c r="G11" s="91">
        <f>SUMIFS(Inhalation_Exp[ADD_Central Tendency],Inhalation_Exp[OES],$C$4,Inhalation_Exp[Worker Type],$C10,Inhalation_Exp[Data Type],$D$4)</f>
        <v>4.7285571753490852E-2</v>
      </c>
      <c r="H11" s="92">
        <f>SUMIFS(Inhalation_Exp[LADD_Central Tendency],Inhalation_Exp[OES],$C$4,Inhalation_Exp[Worker Type],$C10,Inhalation_Exp[Data Type],$D$4)</f>
        <v>1.8792983645618159E-2</v>
      </c>
      <c r="I11" s="83"/>
      <c r="K11" s="88"/>
      <c r="L11" s="93" t="s">
        <v>91</v>
      </c>
      <c r="M11" s="81">
        <f>SUMIFS(Dermal_Exp[Central Tendency AD (mg/kg-day)],Dermal_Exp[Worker Type],Dashboard!$K$10,Dermal_Exp[OES],Dashboard!$C$4)</f>
        <v>1.1534760589318598</v>
      </c>
      <c r="N11" s="81">
        <f>SUMIFS(Dermal_Exp[Central Tendency IADD (mg/kg-day)],Dermal_Exp[Worker Type],Dashboard!$K$10,Dermal_Exp[OES],Dashboard!$C$4)</f>
        <v>0.84588244321669714</v>
      </c>
      <c r="O11" s="81">
        <f>SUMIFS(Dermal_Exp[Central Tendency ADD (mg/kg-day)],Dermal_Exp[Worker Type],Dashboard!$K$10,Dermal_Exp[OES],Dashboard!$C$4)</f>
        <v>0.79005209515880803</v>
      </c>
      <c r="P11" s="82">
        <f>SUMIFS(Dermal_Exp[Central Tendency LADD (mg/kg-day)],Dermal_Exp[Worker Type],Dashboard!$K$10,Dermal_Exp[OES],Dashboard!$C$4)</f>
        <v>0.31399506346055195</v>
      </c>
      <c r="S11" s="94"/>
      <c r="T11" s="93" t="s">
        <v>91</v>
      </c>
      <c r="U11" s="86">
        <f>E11+M11</f>
        <v>1.2225129936919563</v>
      </c>
      <c r="V11" s="86">
        <f t="shared" si="0"/>
        <v>0.89650952870743472</v>
      </c>
      <c r="W11" s="86">
        <f t="shared" si="0"/>
        <v>0.83733766691229894</v>
      </c>
      <c r="X11" s="87">
        <f t="shared" si="0"/>
        <v>0.3327880471061701</v>
      </c>
      <c r="Y11" s="83"/>
      <c r="Z11" s="83"/>
      <c r="AA11" s="83"/>
      <c r="AB11" s="83"/>
      <c r="AC11" s="83"/>
      <c r="AD11" s="26"/>
      <c r="AE11" s="26"/>
      <c r="AF11" s="26"/>
      <c r="AG11" s="26"/>
      <c r="AH11" s="26"/>
      <c r="AI11" s="26"/>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row>
    <row r="12" spans="1:163" ht="15" customHeight="1" thickBot="1" x14ac:dyDescent="0.3">
      <c r="A12" s="28"/>
      <c r="C12" s="95" t="s">
        <v>92</v>
      </c>
      <c r="D12" s="96" t="s">
        <v>90</v>
      </c>
      <c r="E12" s="97">
        <f>SUMIFS(Inhalation_Exp[24hr_High-End],Inhalation_Exp[OES],$C$4,Inhalation_Exp[Worker Type],$C12,Inhalation_Exp[Data Type],$D$4)</f>
        <v>6.25E-2</v>
      </c>
      <c r="F12" s="86">
        <f>SUMIFS(Inhalation_Exp[Int_High-End],Inhalation_Exp[OES],$C$4,Inhalation_Exp[Worker Type],$C12,Inhalation_Exp[Data Type],$D$4)</f>
        <v>4.583333333333333E-2</v>
      </c>
      <c r="G12" s="86">
        <f>SUMIFS(Inhalation_Exp[ADD_High-End],Inhalation_Exp[OES],$C$4,Inhalation_Exp[Worker Type],$C12,Inhalation_Exp[Data Type],$D$4)</f>
        <v>4.2808219178082189E-2</v>
      </c>
      <c r="H12" s="98">
        <f>SUMIFS(Inhalation_Exp[LADD_High-End],Inhalation_Exp[OES],$C$4,Inhalation_Exp[Worker Type],$C12,Inhalation_Exp[Data Type],$D$4)</f>
        <v>2.195293291183702E-2</v>
      </c>
      <c r="I12" s="83"/>
      <c r="K12" s="95" t="s">
        <v>92</v>
      </c>
      <c r="L12" s="99" t="s">
        <v>90</v>
      </c>
      <c r="M12" s="81">
        <f>SUMIFS(Dermal_Exp[High-End AD (mg/kg-day)],Dermal_Exp[Worker Type],Dashboard!$K$12,Dermal_Exp[OES],Dashboard!$C$4)</f>
        <v>0</v>
      </c>
      <c r="N12" s="81">
        <f>SUMIFS(Dermal_Exp[High-End IADD (mg/kg-day)],Dermal_Exp[Worker Type],Dashboard!$K$12,Dermal_Exp[OES],Dashboard!$C$4)</f>
        <v>0</v>
      </c>
      <c r="O12" s="81">
        <f>SUMIFS(Dermal_Exp[High-End ADD (mg/kg-day)],Dermal_Exp[Worker Type],Dashboard!$K$12,Dermal_Exp[OES],Dashboard!$C$4)</f>
        <v>0</v>
      </c>
      <c r="P12" s="82">
        <f>SUMIFS(Dermal_Exp[High-End LADD (mg/kg-day)],Dermal_Exp[Worker Type],Dashboard!$K$12,Dermal_Exp[OES],Dashboard!$C$4)</f>
        <v>0</v>
      </c>
      <c r="S12" s="100" t="s">
        <v>92</v>
      </c>
      <c r="T12" s="99" t="s">
        <v>90</v>
      </c>
      <c r="U12" s="86">
        <f>E12+M12</f>
        <v>6.25E-2</v>
      </c>
      <c r="V12" s="86">
        <f t="shared" si="0"/>
        <v>4.583333333333333E-2</v>
      </c>
      <c r="W12" s="86">
        <f t="shared" si="0"/>
        <v>4.2808219178082189E-2</v>
      </c>
      <c r="X12" s="87">
        <f t="shared" si="0"/>
        <v>2.195293291183702E-2</v>
      </c>
      <c r="Y12" s="83"/>
      <c r="Z12" s="83"/>
      <c r="AA12" s="83"/>
      <c r="AB12" s="83"/>
      <c r="AC12" s="83"/>
      <c r="AD12" s="26"/>
      <c r="AE12" s="26"/>
      <c r="AF12" s="26"/>
      <c r="AG12" s="26"/>
      <c r="AH12" s="26"/>
      <c r="AI12" s="26"/>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row>
    <row r="13" spans="1:163" ht="15.75" customHeight="1" thickBot="1" x14ac:dyDescent="0.3">
      <c r="A13" s="28"/>
      <c r="C13" s="101"/>
      <c r="D13" s="96" t="s">
        <v>91</v>
      </c>
      <c r="E13" s="102">
        <f>SUMIFS(Inhalation_Exp[24hr_Central Tendency],Inhalation_Exp[OES],$C$4,Inhalation_Exp[Worker Type],$C12,Inhalation_Exp[Data Type],$D$4)</f>
        <v>6.25E-2</v>
      </c>
      <c r="F13" s="103">
        <f>SUMIFS(Inhalation_Exp[Int_Central Tendency],Inhalation_Exp[OES],$C$4,Inhalation_Exp[Worker Type],$C12,Inhalation_Exp[Data Type],$D$4)</f>
        <v>4.583333333333333E-2</v>
      </c>
      <c r="G13" s="103">
        <f>SUMIFS(Inhalation_Exp[ADD_Central Tendency],Inhalation_Exp[OES],$C$4,Inhalation_Exp[Worker Type],$C12,Inhalation_Exp[Data Type],$D$4)</f>
        <v>4.2808219178082189E-2</v>
      </c>
      <c r="H13" s="104">
        <f>SUMIFS(Inhalation_Exp[LADD_Central Tendency],Inhalation_Exp[OES],$C$4,Inhalation_Exp[Worker Type],$C12,Inhalation_Exp[Data Type],$D$4)</f>
        <v>1.7013523006673692E-2</v>
      </c>
      <c r="I13" s="83"/>
      <c r="K13" s="101"/>
      <c r="L13" s="99" t="s">
        <v>91</v>
      </c>
      <c r="M13" s="105">
        <f>SUMIFS(Dermal_Exp[Central Tendency AD (mg/kg-day)],Dermal_Exp[Worker Type],Dashboard!$K$12,Dermal_Exp[OES],Dashboard!$C$4)</f>
        <v>0</v>
      </c>
      <c r="N13" s="105">
        <f>SUMIFS(Dermal_Exp[Central Tendency IADD (mg/kg-day)],Dermal_Exp[Worker Type],Dashboard!$K$12,Dermal_Exp[OES],Dashboard!$C$4)</f>
        <v>0</v>
      </c>
      <c r="O13" s="105">
        <f>SUMIFS(Dermal_Exp[Central Tendency ADD (mg/kg-day)],Dermal_Exp[Worker Type],Dashboard!$K$12,Dermal_Exp[OES],Dashboard!$C$4)</f>
        <v>0</v>
      </c>
      <c r="P13" s="106">
        <f>SUMIFS(Dermal_Exp[Central Tendency LADD (mg/kg-day)],Dermal_Exp[Worker Type],Dashboard!$K$12,Dermal_Exp[OES],Dashboard!$C$4)</f>
        <v>0</v>
      </c>
      <c r="Q13" s="107"/>
      <c r="S13" s="108"/>
      <c r="T13" s="109" t="s">
        <v>91</v>
      </c>
      <c r="U13" s="110">
        <f>E13+M13</f>
        <v>6.25E-2</v>
      </c>
      <c r="V13" s="110">
        <f t="shared" si="0"/>
        <v>4.583333333333333E-2</v>
      </c>
      <c r="W13" s="110">
        <f t="shared" si="0"/>
        <v>4.2808219178082189E-2</v>
      </c>
      <c r="X13" s="111">
        <f t="shared" si="0"/>
        <v>1.7013523006673692E-2</v>
      </c>
      <c r="Y13" s="83"/>
      <c r="Z13" s="83"/>
      <c r="AA13" s="83"/>
      <c r="AB13" s="83"/>
      <c r="AC13" s="83"/>
      <c r="AD13" s="26"/>
      <c r="AE13" s="26"/>
      <c r="AF13" s="26"/>
      <c r="AG13" s="26"/>
      <c r="AH13" s="26"/>
      <c r="AI13" s="26"/>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row>
    <row r="14" spans="1:163" s="113" customFormat="1" x14ac:dyDescent="0.25">
      <c r="A14" s="28"/>
      <c r="B14" s="26"/>
      <c r="C14" s="112"/>
      <c r="D14" s="112"/>
      <c r="F14" s="61"/>
      <c r="G14" s="61"/>
      <c r="H14" s="61"/>
      <c r="I14" s="51"/>
      <c r="J14" s="26"/>
      <c r="K14" s="27"/>
      <c r="L14" s="27"/>
      <c r="M14" s="114"/>
      <c r="N14" s="114"/>
      <c r="O14" s="114"/>
      <c r="P14" s="114"/>
      <c r="Q14" s="114"/>
      <c r="R14" s="28"/>
      <c r="S14" s="28"/>
      <c r="T14" s="28"/>
      <c r="U14" s="28"/>
      <c r="V14" s="28"/>
      <c r="W14" s="28"/>
      <c r="X14" s="28"/>
      <c r="Y14" s="28"/>
      <c r="Z14" s="28"/>
      <c r="AA14" s="28"/>
      <c r="AB14" s="28"/>
      <c r="AC14" s="26"/>
      <c r="AD14" s="26"/>
      <c r="AE14" s="26"/>
      <c r="AF14" s="26"/>
      <c r="AG14" s="26"/>
      <c r="AH14" s="26"/>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row>
    <row r="15" spans="1:163" s="29" customFormat="1" ht="30" customHeight="1" x14ac:dyDescent="0.25">
      <c r="A15" s="28"/>
      <c r="C15" s="115" t="s">
        <v>93</v>
      </c>
      <c r="D15" s="49"/>
      <c r="E15" s="50"/>
      <c r="F15" s="28"/>
      <c r="G15" s="49"/>
      <c r="H15" s="28"/>
      <c r="I15" s="28"/>
      <c r="J15" s="28"/>
      <c r="K15" s="116" t="s">
        <v>94</v>
      </c>
      <c r="L15" s="116"/>
      <c r="M15" s="116"/>
      <c r="N15" s="117"/>
      <c r="O15" s="28"/>
      <c r="P15" s="28"/>
      <c r="Q15" s="28"/>
      <c r="R15" s="26"/>
      <c r="S15" s="116" t="s">
        <v>95</v>
      </c>
      <c r="T15" s="117"/>
      <c r="U15" s="116"/>
      <c r="V15" s="117"/>
      <c r="W15" s="28"/>
      <c r="X15" s="28"/>
      <c r="Y15" s="28"/>
      <c r="Z15" s="28"/>
      <c r="AA15" s="28"/>
      <c r="AB15" s="28"/>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8"/>
      <c r="BN15" s="28"/>
      <c r="BO15" s="28"/>
      <c r="BP15" s="28"/>
      <c r="BQ15" s="26"/>
      <c r="BR15" s="26"/>
      <c r="BS15" s="26"/>
      <c r="BT15" s="26"/>
      <c r="BU15" s="26"/>
      <c r="BV15" s="26"/>
      <c r="BW15" s="26"/>
      <c r="BX15" s="26"/>
      <c r="BY15" s="26"/>
    </row>
    <row r="16" spans="1:163" s="29" customFormat="1" ht="51.6" customHeight="1" x14ac:dyDescent="0.25">
      <c r="A16" s="28"/>
      <c r="C16" s="118" t="s">
        <v>96</v>
      </c>
      <c r="D16" s="119" t="s">
        <v>97</v>
      </c>
      <c r="E16" s="120" t="s">
        <v>77</v>
      </c>
      <c r="F16" s="38" t="s">
        <v>98</v>
      </c>
      <c r="G16" s="119" t="s">
        <v>99</v>
      </c>
      <c r="H16" s="119"/>
      <c r="I16" s="121" t="str">
        <f>_xlfn.CONCAT("Respirator Scenario: APF of ",$F$4)</f>
        <v>Respirator Scenario: APF of 10</v>
      </c>
      <c r="J16" s="61"/>
      <c r="K16" s="118" t="s">
        <v>96</v>
      </c>
      <c r="L16" s="119" t="s">
        <v>97</v>
      </c>
      <c r="M16" s="120" t="s">
        <v>77</v>
      </c>
      <c r="N16" s="38" t="s">
        <v>98</v>
      </c>
      <c r="O16" s="38" t="s">
        <v>99</v>
      </c>
      <c r="P16" s="122"/>
      <c r="Q16" s="121" t="s">
        <v>100</v>
      </c>
      <c r="R16" s="26"/>
      <c r="S16" s="123" t="s">
        <v>96</v>
      </c>
      <c r="T16" s="58" t="s">
        <v>97</v>
      </c>
      <c r="U16" s="124" t="s">
        <v>77</v>
      </c>
      <c r="V16" s="58" t="s">
        <v>98</v>
      </c>
      <c r="W16" s="119" t="s">
        <v>99</v>
      </c>
      <c r="X16" s="119"/>
      <c r="Y16" s="125" t="str">
        <f>_xlfn.CONCAT("Respirator-Only Scenario: APF of ",$F$4)</f>
        <v>Respirator-Only Scenario: APF of 10</v>
      </c>
      <c r="Z16" s="126" t="str">
        <f>_xlfn.CONCAT("Gloved-only Scenario: APF of ",$G$4)</f>
        <v>Gloved-only Scenario: APF of 10</v>
      </c>
      <c r="AA16" s="127" t="s">
        <v>101</v>
      </c>
      <c r="AB16" s="61"/>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s="29" customFormat="1" ht="30" customHeight="1" x14ac:dyDescent="0.25">
      <c r="A17" s="28"/>
      <c r="C17" s="128"/>
      <c r="D17" s="129"/>
      <c r="E17" s="130"/>
      <c r="F17" s="131"/>
      <c r="G17" s="74" t="s">
        <v>102</v>
      </c>
      <c r="H17" s="74" t="s">
        <v>103</v>
      </c>
      <c r="I17" s="75" t="s">
        <v>102</v>
      </c>
      <c r="J17" s="61"/>
      <c r="K17" s="128"/>
      <c r="L17" s="129"/>
      <c r="M17" s="130"/>
      <c r="N17" s="131"/>
      <c r="O17" s="74" t="s">
        <v>104</v>
      </c>
      <c r="P17" s="74" t="s">
        <v>105</v>
      </c>
      <c r="Q17" s="132" t="str">
        <f>_xlfn.CONCAT("Worker MOE with Gloves: ",$G$4)</f>
        <v>Worker MOE with Gloves: 10</v>
      </c>
      <c r="R17" s="26"/>
      <c r="S17" s="133"/>
      <c r="T17" s="134"/>
      <c r="U17" s="135"/>
      <c r="V17" s="69"/>
      <c r="W17" s="74" t="s">
        <v>102</v>
      </c>
      <c r="X17" s="74" t="s">
        <v>103</v>
      </c>
      <c r="Y17" s="74" t="s">
        <v>102</v>
      </c>
      <c r="Z17" s="74" t="s">
        <v>102</v>
      </c>
      <c r="AA17" s="75" t="s">
        <v>102</v>
      </c>
      <c r="AB17" s="61"/>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s="29" customFormat="1" ht="34.5" customHeight="1" x14ac:dyDescent="0.25">
      <c r="A18" s="28"/>
      <c r="B18" s="29" t="s">
        <v>106</v>
      </c>
      <c r="C18" s="136" t="str">
        <f>_xlfn.CONCAT(_xlfn.XLOOKUP($B18,Tox_Table[Code],Tox_Table[Health Effect],"",0,1),"
",_xlfn.XLOOKUP($B18,Tox_Table[Code],Tox_Table[Endpoint],"",0,1),"
",_xlfn.XLOOKUP($B18,Tox_Table[Code],Tox_Table[Study],"",0,1))</f>
        <v xml:space="preserve">↓ Fetal testicular testosterone
</v>
      </c>
      <c r="D18" s="137">
        <f>_xlfn.XLOOKUP($B18, Tox_Table[Code],Tox_Table[HED / POD (mg/kg/day)], FALSE)</f>
        <v>2.1</v>
      </c>
      <c r="E18" s="138" t="s">
        <v>90</v>
      </c>
      <c r="F18" s="139">
        <f>_xlfn.XLOOKUP($B18,Tox_Table[Code],Tox_Table[Benchmark MOE])</f>
        <v>30</v>
      </c>
      <c r="G18" s="140">
        <f>IFERROR(D18/$E$10, "")</f>
        <v>15.209250000000003</v>
      </c>
      <c r="H18" s="141">
        <f>IFERROR(D18/$E$12, "")</f>
        <v>33.6</v>
      </c>
      <c r="I18" s="142">
        <f>IFERROR(G18*$F$4,"")</f>
        <v>152.09250000000003</v>
      </c>
      <c r="J18" s="61"/>
      <c r="K18" s="136" t="str">
        <f>_xlfn.CONCAT(_xlfn.XLOOKUP($B18,Tox_Table[Code],Tox_Table[Health Effect],"",0,1),"
",_xlfn.XLOOKUP($B18,Tox_Table[Code],Tox_Table[Endpoint],"",0,1),"
",_xlfn.XLOOKUP($B18,Tox_Table[Code],Tox_Table[Study],"",0,1))</f>
        <v xml:space="preserve">↓ Fetal testicular testosterone
</v>
      </c>
      <c r="L18" s="137">
        <f>_xlfn.XLOOKUP($B18, Tox_Table[Code],Tox_Table[HED / POD (mg/kg/day)], FALSE)</f>
        <v>2.1</v>
      </c>
      <c r="M18" s="138" t="s">
        <v>90</v>
      </c>
      <c r="N18" s="139">
        <f>_xlfn.XLOOKUP($B18,Tox_Table[Code],Tox_Table[Benchmark MOE])</f>
        <v>30</v>
      </c>
      <c r="O18" s="143">
        <f>IFERROR(L18/$M$10, "")</f>
        <v>0.91029197517312976</v>
      </c>
      <c r="P18" s="143" t="str">
        <f>IFERROR(L18/$M$12, "")</f>
        <v/>
      </c>
      <c r="Q18" s="142">
        <f>IFERROR(L18/($M$10/$G$4), "")</f>
        <v>9.1029197517312976</v>
      </c>
      <c r="R18" s="26"/>
      <c r="S18" s="144" t="str">
        <f>_xlfn.CONCAT(_xlfn.XLOOKUP($B18,Tox_Table[Code],Tox_Table[Health Effect],"",0,1),"
",_xlfn.XLOOKUP($B18,Tox_Table[Code],Tox_Table[Endpoint],"",0,1),"
",_xlfn.XLOOKUP($B18,Tox_Table[Code],Tox_Table[Study],"",0,1))</f>
        <v xml:space="preserve">↓ Fetal testicular testosterone
</v>
      </c>
      <c r="T18" s="145">
        <f>_xlfn.XLOOKUP($B18, Tox_Table[Code],Tox_Table[HED / POD (mg/kg/day)], FALSE)</f>
        <v>2.1</v>
      </c>
      <c r="U18" s="138" t="s">
        <v>90</v>
      </c>
      <c r="V18" s="139">
        <f>_xlfn.XLOOKUP($B18,Tox_Table[Code],Tox_Table[Benchmark MOE])</f>
        <v>30</v>
      </c>
      <c r="W18" s="140">
        <f>IFERROR(T18/$U$10, "")</f>
        <v>0.85888657659909884</v>
      </c>
      <c r="X18" s="141">
        <f>IFERROR(T18/$U$12, "")</f>
        <v>33.6</v>
      </c>
      <c r="Y18" s="141">
        <f>IFERROR($T18/((E$10/$F$4)+M$10),"")</f>
        <v>0.90487618197506148</v>
      </c>
      <c r="Z18" s="141">
        <f>IFERROR(T18/((E$10)+M$10/$G$4),"")</f>
        <v>5.6946205808784365</v>
      </c>
      <c r="AA18" s="146">
        <f>IFERROR(T18/((E$10/$F$4)+M$10/$G$4),"")</f>
        <v>8.5888657659909882</v>
      </c>
      <c r="AB18" s="61"/>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s="29" customFormat="1" ht="34.5" customHeight="1" thickBot="1" x14ac:dyDescent="0.3">
      <c r="A19" s="28"/>
      <c r="B19" s="29" t="s">
        <v>106</v>
      </c>
      <c r="C19" s="147"/>
      <c r="D19" s="148"/>
      <c r="E19" s="149" t="s">
        <v>91</v>
      </c>
      <c r="F19" s="150">
        <f>_xlfn.XLOOKUP($B19,Tox_Table[Code],Tox_Table[Benchmark MOE])</f>
        <v>30</v>
      </c>
      <c r="G19" s="151">
        <f>IFERROR(D18/$E$11, "")</f>
        <v>30.418500000000005</v>
      </c>
      <c r="H19" s="152">
        <f>IFERROR(D18/$E$13, "")</f>
        <v>33.6</v>
      </c>
      <c r="I19" s="153">
        <f>IFERROR(G19*$F$4,"")</f>
        <v>304.18500000000006</v>
      </c>
      <c r="J19" s="61"/>
      <c r="K19" s="147"/>
      <c r="L19" s="148"/>
      <c r="M19" s="149" t="s">
        <v>91</v>
      </c>
      <c r="N19" s="150">
        <f>_xlfn.XLOOKUP($B19,Tox_Table[Code],Tox_Table[Benchmark MOE])</f>
        <v>30</v>
      </c>
      <c r="O19" s="154">
        <f>IFERROR(L18/$M$11, "")</f>
        <v>1.8205839503462595</v>
      </c>
      <c r="P19" s="154" t="str">
        <f>IFERROR(L18/$M$13, "")</f>
        <v/>
      </c>
      <c r="Q19" s="153">
        <f>IFERROR(L18/($M$11/$G$4), "")</f>
        <v>18.205839503462595</v>
      </c>
      <c r="R19" s="26"/>
      <c r="S19" s="155"/>
      <c r="T19" s="156"/>
      <c r="U19" s="149" t="s">
        <v>91</v>
      </c>
      <c r="V19" s="150">
        <f>_xlfn.XLOOKUP($B19,Tox_Table[Code],Tox_Table[Benchmark MOE])</f>
        <v>30</v>
      </c>
      <c r="W19" s="157">
        <f>IFERROR(T18/$U$11, "")</f>
        <v>1.7177731531981977</v>
      </c>
      <c r="X19" s="158">
        <f>IFERROR(T18/$U$13, "")</f>
        <v>33.6</v>
      </c>
      <c r="Y19" s="158">
        <f>IFERROR(T18/((E11/$F$4)+M11),"")</f>
        <v>1.809752363950123</v>
      </c>
      <c r="Z19" s="158">
        <f>IFERROR(T18/((E11)+M11/$G$4),"")</f>
        <v>11.389241161756873</v>
      </c>
      <c r="AA19" s="159">
        <f>IFERROR(T18/((E11/$F$4)+M11/$G$4),"")</f>
        <v>17.177731531981976</v>
      </c>
      <c r="AB19" s="61"/>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s="29" customFormat="1" ht="30" customHeight="1" x14ac:dyDescent="0.25">
      <c r="A20" s="28"/>
      <c r="C20" s="115" t="s">
        <v>107</v>
      </c>
      <c r="D20" s="49"/>
      <c r="E20" s="50"/>
      <c r="F20" s="28"/>
      <c r="G20" s="49"/>
      <c r="H20" s="28"/>
      <c r="I20" s="28"/>
      <c r="J20" s="28"/>
      <c r="K20" s="116" t="s">
        <v>108</v>
      </c>
      <c r="L20" s="116"/>
      <c r="M20" s="116"/>
      <c r="N20" s="117"/>
      <c r="O20" s="50"/>
      <c r="P20" s="50"/>
      <c r="Q20" s="28"/>
      <c r="R20" s="26"/>
      <c r="S20" s="116" t="s">
        <v>109</v>
      </c>
      <c r="T20" s="116"/>
      <c r="U20" s="116"/>
      <c r="V20" s="117"/>
      <c r="W20" s="28"/>
      <c r="X20" s="28"/>
      <c r="Y20" s="28"/>
      <c r="Z20" s="28"/>
      <c r="AA20" s="28"/>
      <c r="AB20" s="61"/>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s="29" customFormat="1" ht="30" customHeight="1" x14ac:dyDescent="0.25">
      <c r="A21" s="28"/>
      <c r="C21" s="118" t="s">
        <v>96</v>
      </c>
      <c r="D21" s="119" t="s">
        <v>97</v>
      </c>
      <c r="E21" s="120" t="s">
        <v>77</v>
      </c>
      <c r="F21" s="38" t="s">
        <v>98</v>
      </c>
      <c r="G21" s="119" t="s">
        <v>110</v>
      </c>
      <c r="H21" s="119"/>
      <c r="I21" s="121" t="str">
        <f>_xlfn.CONCAT("Respirator Scenario: APF of ",$F$4)</f>
        <v>Respirator Scenario: APF of 10</v>
      </c>
      <c r="J21" s="61"/>
      <c r="K21" s="118" t="s">
        <v>96</v>
      </c>
      <c r="L21" s="119" t="s">
        <v>97</v>
      </c>
      <c r="M21" s="120" t="s">
        <v>77</v>
      </c>
      <c r="N21" s="38" t="s">
        <v>98</v>
      </c>
      <c r="O21" s="38" t="s">
        <v>110</v>
      </c>
      <c r="P21" s="122"/>
      <c r="Q21" s="121" t="s">
        <v>100</v>
      </c>
      <c r="R21" s="26"/>
      <c r="S21" s="160" t="s">
        <v>96</v>
      </c>
      <c r="T21" s="58" t="s">
        <v>97</v>
      </c>
      <c r="U21" s="120" t="s">
        <v>77</v>
      </c>
      <c r="V21" s="58" t="s">
        <v>98</v>
      </c>
      <c r="W21" s="119" t="s">
        <v>110</v>
      </c>
      <c r="X21" s="119"/>
      <c r="Y21" s="125" t="str">
        <f>_xlfn.CONCAT("Respirator-Only Scenario: APF of ",$F$4)</f>
        <v>Respirator-Only Scenario: APF of 10</v>
      </c>
      <c r="Z21" s="126" t="str">
        <f>_xlfn.CONCAT("Gloved-only Scenario: APF of ",$G$4)</f>
        <v>Gloved-only Scenario: APF of 10</v>
      </c>
      <c r="AA21" s="127" t="s">
        <v>101</v>
      </c>
      <c r="AB21" s="61"/>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row>
    <row r="22" spans="1:77" s="29" customFormat="1" ht="30" customHeight="1" x14ac:dyDescent="0.25">
      <c r="A22" s="28"/>
      <c r="C22" s="128"/>
      <c r="D22" s="129"/>
      <c r="E22" s="130"/>
      <c r="F22" s="131"/>
      <c r="G22" s="74" t="s">
        <v>102</v>
      </c>
      <c r="H22" s="74" t="s">
        <v>103</v>
      </c>
      <c r="I22" s="75" t="s">
        <v>102</v>
      </c>
      <c r="J22" s="61"/>
      <c r="K22" s="128"/>
      <c r="L22" s="129"/>
      <c r="M22" s="130"/>
      <c r="N22" s="131"/>
      <c r="O22" s="74" t="s">
        <v>104</v>
      </c>
      <c r="P22" s="74" t="s">
        <v>105</v>
      </c>
      <c r="Q22" s="132" t="str">
        <f>_xlfn.CONCAT("Worker MOE with Gloves: ",$G$4)</f>
        <v>Worker MOE with Gloves: 10</v>
      </c>
      <c r="R22" s="26"/>
      <c r="S22" s="161"/>
      <c r="T22" s="134"/>
      <c r="U22" s="130"/>
      <c r="V22" s="69"/>
      <c r="W22" s="74" t="s">
        <v>102</v>
      </c>
      <c r="X22" s="74" t="s">
        <v>103</v>
      </c>
      <c r="Y22" s="74" t="s">
        <v>102</v>
      </c>
      <c r="Z22" s="74" t="s">
        <v>102</v>
      </c>
      <c r="AA22" s="75" t="s">
        <v>102</v>
      </c>
      <c r="AB22" s="61"/>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row>
    <row r="23" spans="1:77" s="29" customFormat="1" ht="34.5" customHeight="1" x14ac:dyDescent="0.25">
      <c r="A23" s="28"/>
      <c r="B23" s="49" t="s">
        <v>111</v>
      </c>
      <c r="C23" s="136" t="str">
        <f>_xlfn.CONCAT(_xlfn.XLOOKUP($B23,Tox_Table[Code],Tox_Table[Health Effect],"",0,1),"
",_xlfn.XLOOKUP($B23,Tox_Table[Code],Tox_Table[Endpoint],"",0,1),"
",_xlfn.XLOOKUP($B23,Tox_Table[Code],Tox_Table[Study],"",0,1))</f>
        <v xml:space="preserve">↓ Fetal testicular testosterone
</v>
      </c>
      <c r="D23" s="137">
        <f>_xlfn.XLOOKUP($B23, Tox_Table[Code],Tox_Table[HED / POD (mg/kg/day)], FALSE)</f>
        <v>2.1</v>
      </c>
      <c r="E23" s="138" t="s">
        <v>90</v>
      </c>
      <c r="F23" s="139">
        <f>_xlfn.XLOOKUP($B23,Tox_Table[Code],Tox_Table[Benchmark MOE])</f>
        <v>30</v>
      </c>
      <c r="G23" s="162">
        <f>IFERROR(D23/$F$10, "")</f>
        <v>20.739886363636366</v>
      </c>
      <c r="H23" s="141">
        <f>IFERROR(D23/$F$12, "")</f>
        <v>45.81818181818182</v>
      </c>
      <c r="I23" s="142">
        <f>IFERROR(G23*$F$4,"")</f>
        <v>207.39886363636367</v>
      </c>
      <c r="J23" s="61"/>
      <c r="K23" s="136" t="str">
        <f>_xlfn.CONCAT(_xlfn.XLOOKUP($B23,Tox_Table[Code],Tox_Table[Health Effect],"",0,1),"
",_xlfn.XLOOKUP($B23,Tox_Table[Code],Tox_Table[Endpoint],"",0,1),"
",_xlfn.XLOOKUP($B23,Tox_Table[Code],Tox_Table[Study],"",0,1))</f>
        <v xml:space="preserve">↓ Fetal testicular testosterone
</v>
      </c>
      <c r="L23" s="137">
        <f>_xlfn.XLOOKUP($B23, Tox_Table[Code],Tox_Table[HED / POD (mg/kg/day)], FALSE)</f>
        <v>2.1</v>
      </c>
      <c r="M23" s="138" t="s">
        <v>90</v>
      </c>
      <c r="N23" s="139">
        <f>_xlfn.XLOOKUP($B23,Tox_Table[Code],Tox_Table[Benchmark MOE])</f>
        <v>30</v>
      </c>
      <c r="O23" s="143">
        <f>IFERROR(L23/$N$10, "")</f>
        <v>1.2413072388724498</v>
      </c>
      <c r="P23" s="143" t="str">
        <f>IFERROR(L23/$N$12, "")</f>
        <v/>
      </c>
      <c r="Q23" s="163">
        <f>IFERROR(L23/($N$10/$G$4), "")</f>
        <v>12.413072388724498</v>
      </c>
      <c r="R23" s="26"/>
      <c r="S23" s="144" t="str">
        <f>_xlfn.CONCAT(_xlfn.XLOOKUP($B23,Tox_Table[Code],Tox_Table[Health Effect],"",0,1),"
",_xlfn.XLOOKUP($B23,Tox_Table[Code],Tox_Table[Endpoint],"",0,1),"
",_xlfn.XLOOKUP($B23,Tox_Table[Code],Tox_Table[Study],"",0,1))</f>
        <v xml:space="preserve">↓ Fetal testicular testosterone
</v>
      </c>
      <c r="T23" s="145">
        <f>_xlfn.XLOOKUP($B23, Tox_Table[Code],Tox_Table[HED / POD (mg/kg/day)], FALSE)</f>
        <v>2.1</v>
      </c>
      <c r="U23" s="138" t="s">
        <v>90</v>
      </c>
      <c r="V23" s="139">
        <f>_xlfn.XLOOKUP($B23,Tox_Table[Code],Tox_Table[Benchmark MOE])</f>
        <v>30</v>
      </c>
      <c r="W23" s="140">
        <f>IFERROR(T23/$V$10, "")</f>
        <v>1.17120896808968</v>
      </c>
      <c r="X23" s="141">
        <f>IFERROR(T23/$V$12, "")</f>
        <v>45.81818181818182</v>
      </c>
      <c r="Y23" s="141">
        <f>IFERROR(T23/((F$10/$F$4)+N$10),"")</f>
        <v>1.2339220663296293</v>
      </c>
      <c r="Z23" s="141">
        <f>IFERROR(T23/((F$10)+N$10/$G$4),"")</f>
        <v>7.7653917011978688</v>
      </c>
      <c r="AA23" s="146">
        <f>IFERROR(T23/((F$10/$F$4)+N$10/$G$4),"")</f>
        <v>11.712089680896801</v>
      </c>
      <c r="AB23" s="61"/>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row>
    <row r="24" spans="1:77" s="29" customFormat="1" ht="34.5" customHeight="1" x14ac:dyDescent="0.25">
      <c r="A24" s="28"/>
      <c r="B24" s="49" t="s">
        <v>111</v>
      </c>
      <c r="C24" s="147"/>
      <c r="D24" s="148"/>
      <c r="E24" s="149" t="s">
        <v>91</v>
      </c>
      <c r="F24" s="150">
        <f>_xlfn.XLOOKUP($B24,Tox_Table[Code],Tox_Table[Benchmark MOE])</f>
        <v>30</v>
      </c>
      <c r="G24" s="151">
        <f>IFERROR(D23/$F$11, "")</f>
        <v>41.479772727272731</v>
      </c>
      <c r="H24" s="152">
        <f>IFERROR(D23/$F$13, "")</f>
        <v>45.81818181818182</v>
      </c>
      <c r="I24" s="153">
        <f>IFERROR(G24*$F$4,"")</f>
        <v>414.79772727272734</v>
      </c>
      <c r="J24" s="61"/>
      <c r="K24" s="147"/>
      <c r="L24" s="148"/>
      <c r="M24" s="149" t="s">
        <v>91</v>
      </c>
      <c r="N24" s="150">
        <f>_xlfn.XLOOKUP($B24,Tox_Table[Code],Tox_Table[Benchmark MOE])</f>
        <v>30</v>
      </c>
      <c r="O24" s="154">
        <f>IFERROR(L23/$N$11, "")</f>
        <v>2.4826144777448995</v>
      </c>
      <c r="P24" s="154" t="str">
        <f>IFERROR(L23/$N$13, "")</f>
        <v/>
      </c>
      <c r="Q24" s="164">
        <f>IFERROR(L23/($N$11/$G$4), "")</f>
        <v>24.826144777448995</v>
      </c>
      <c r="R24" s="26"/>
      <c r="S24" s="155"/>
      <c r="T24" s="156"/>
      <c r="U24" s="149" t="s">
        <v>91</v>
      </c>
      <c r="V24" s="150">
        <f>_xlfn.XLOOKUP($B24,Tox_Table[Code],Tox_Table[Benchmark MOE])</f>
        <v>30</v>
      </c>
      <c r="W24" s="157">
        <f>IFERROR(T23/$V$11, "")</f>
        <v>2.34241793617936</v>
      </c>
      <c r="X24" s="158">
        <f>IFERROR(T23/$V$13, "")</f>
        <v>45.81818181818182</v>
      </c>
      <c r="Y24" s="158">
        <f>IFERROR(T23/((F$11/$F$4)+N$11),"")</f>
        <v>2.4678441326592586</v>
      </c>
      <c r="Z24" s="158">
        <f>IFERROR(T23/((F$11)+N$11/$G$4),"")</f>
        <v>15.530783402395738</v>
      </c>
      <c r="AA24" s="159">
        <f>IFERROR(T23/((F$11/$F$4)+N$11/$G$4),"")</f>
        <v>23.424179361793602</v>
      </c>
      <c r="AB24" s="61"/>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row>
    <row r="25" spans="1:77" s="29" customFormat="1" ht="30" customHeight="1" x14ac:dyDescent="0.25">
      <c r="A25" s="28"/>
      <c r="B25" s="49"/>
      <c r="C25" s="165" t="s">
        <v>112</v>
      </c>
      <c r="D25" s="165"/>
      <c r="E25" s="166"/>
      <c r="F25" s="167"/>
      <c r="G25" s="168"/>
      <c r="H25" s="169"/>
      <c r="I25" s="169"/>
      <c r="J25" s="112"/>
      <c r="K25" s="165" t="s">
        <v>113</v>
      </c>
      <c r="L25" s="165"/>
      <c r="M25" s="165"/>
      <c r="N25" s="169"/>
      <c r="O25" s="112"/>
      <c r="P25" s="112"/>
      <c r="Q25" s="115"/>
      <c r="R25" s="28"/>
      <c r="S25" s="165" t="s">
        <v>114</v>
      </c>
      <c r="T25" s="165"/>
      <c r="U25" s="165"/>
      <c r="V25" s="169"/>
      <c r="W25" s="168"/>
      <c r="X25" s="169"/>
      <c r="Y25" s="169"/>
      <c r="Z25" s="115"/>
      <c r="AA25" s="112"/>
      <c r="AB25" s="112"/>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6"/>
      <c r="BN25" s="26"/>
      <c r="BO25" s="26"/>
      <c r="BP25" s="26"/>
      <c r="BQ25" s="26"/>
      <c r="BR25" s="26"/>
      <c r="BS25" s="26"/>
      <c r="BT25" s="26"/>
      <c r="BU25" s="26"/>
      <c r="BV25" s="26"/>
      <c r="BW25" s="26"/>
      <c r="BX25" s="26"/>
      <c r="BY25" s="26"/>
    </row>
    <row r="26" spans="1:77" s="29" customFormat="1" ht="35.25" customHeight="1" x14ac:dyDescent="0.25">
      <c r="A26" s="28"/>
      <c r="B26" s="49"/>
      <c r="C26" s="118" t="s">
        <v>96</v>
      </c>
      <c r="D26" s="119" t="s">
        <v>97</v>
      </c>
      <c r="E26" s="120" t="s">
        <v>77</v>
      </c>
      <c r="F26" s="38" t="s">
        <v>98</v>
      </c>
      <c r="G26" s="119" t="s">
        <v>115</v>
      </c>
      <c r="H26" s="119"/>
      <c r="I26" s="121" t="str">
        <f>_xlfn.CONCAT("Respirator Scenario: APF of ",$F$4)</f>
        <v>Respirator Scenario: APF of 10</v>
      </c>
      <c r="J26" s="61"/>
      <c r="K26" s="118" t="s">
        <v>96</v>
      </c>
      <c r="L26" s="119" t="s">
        <v>116</v>
      </c>
      <c r="M26" s="120" t="s">
        <v>77</v>
      </c>
      <c r="N26" s="38" t="s">
        <v>98</v>
      </c>
      <c r="O26" s="38" t="s">
        <v>115</v>
      </c>
      <c r="P26" s="122"/>
      <c r="Q26" s="121" t="s">
        <v>100</v>
      </c>
      <c r="R26" s="26"/>
      <c r="S26" s="160" t="s">
        <v>96</v>
      </c>
      <c r="T26" s="58" t="s">
        <v>116</v>
      </c>
      <c r="U26" s="120" t="s">
        <v>77</v>
      </c>
      <c r="V26" s="58" t="s">
        <v>98</v>
      </c>
      <c r="W26" s="119" t="s">
        <v>115</v>
      </c>
      <c r="X26" s="119"/>
      <c r="Y26" s="125" t="str">
        <f>_xlfn.CONCAT("Respirator-Only Scenario: APF of ",$F$4)</f>
        <v>Respirator-Only Scenario: APF of 10</v>
      </c>
      <c r="Z26" s="126" t="str">
        <f>_xlfn.CONCAT("Gloved-only Scenario: APF of ",$G$4)</f>
        <v>Gloved-only Scenario: APF of 10</v>
      </c>
      <c r="AA26" s="127" t="s">
        <v>101</v>
      </c>
      <c r="AB26" s="61"/>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row>
    <row r="27" spans="1:77" s="29" customFormat="1" ht="30" customHeight="1" x14ac:dyDescent="0.25">
      <c r="A27" s="28"/>
      <c r="B27" s="49"/>
      <c r="C27" s="128"/>
      <c r="D27" s="129"/>
      <c r="E27" s="130"/>
      <c r="F27" s="131"/>
      <c r="G27" s="74" t="s">
        <v>102</v>
      </c>
      <c r="H27" s="74" t="s">
        <v>103</v>
      </c>
      <c r="I27" s="75" t="s">
        <v>102</v>
      </c>
      <c r="J27" s="61"/>
      <c r="K27" s="128"/>
      <c r="L27" s="129"/>
      <c r="M27" s="130"/>
      <c r="N27" s="131"/>
      <c r="O27" s="74" t="s">
        <v>104</v>
      </c>
      <c r="P27" s="74" t="s">
        <v>105</v>
      </c>
      <c r="Q27" s="132" t="str">
        <f>_xlfn.CONCAT("Worker MOE with Gloves: ",$G$4)</f>
        <v>Worker MOE with Gloves: 10</v>
      </c>
      <c r="R27" s="26"/>
      <c r="S27" s="170"/>
      <c r="T27" s="171"/>
      <c r="U27" s="172"/>
      <c r="V27" s="171"/>
      <c r="W27" s="74" t="s">
        <v>102</v>
      </c>
      <c r="X27" s="74" t="s">
        <v>103</v>
      </c>
      <c r="Y27" s="74" t="s">
        <v>102</v>
      </c>
      <c r="Z27" s="74" t="s">
        <v>102</v>
      </c>
      <c r="AA27" s="75" t="s">
        <v>102</v>
      </c>
      <c r="AB27" s="61"/>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row>
    <row r="28" spans="1:77" s="28" customFormat="1" ht="37.5" customHeight="1" x14ac:dyDescent="0.25">
      <c r="B28" s="27" t="s">
        <v>117</v>
      </c>
      <c r="C28" s="136" t="str">
        <f>_xlfn.CONCAT(_xlfn.XLOOKUP($B28,Tox_Table[Code],Tox_Table[Health Effect],"",0,1),"
",_xlfn.XLOOKUP($B28,Tox_Table[Code],Tox_Table[Endpoint],"",0,1),"
",_xlfn.XLOOKUP($B28,Tox_Table[Code],Tox_Table[Study],"",0,1))</f>
        <v xml:space="preserve">↓ Fetal testicular testosterone
</v>
      </c>
      <c r="D28" s="137">
        <f>_xlfn.XLOOKUP($B28, Tox_Table[Code],Tox_Table[HED / POD (mg/kg/day)], FALSE)</f>
        <v>2.1</v>
      </c>
      <c r="E28" s="138" t="s">
        <v>90</v>
      </c>
      <c r="F28" s="139">
        <f>_xlfn.XLOOKUP($B28,Tox_Table[Code],Tox_Table[Benchmark MOE])</f>
        <v>30</v>
      </c>
      <c r="G28" s="173">
        <f>IFERROR(D28/$G$10, "")</f>
        <v>22.205505000000002</v>
      </c>
      <c r="H28" s="173">
        <f>IFERROR(D28/$G$12, "")</f>
        <v>49.056000000000004</v>
      </c>
      <c r="I28" s="174">
        <f>IFERROR(G28*$F$4,"")</f>
        <v>222.05505000000002</v>
      </c>
      <c r="K28" s="144" t="str">
        <f>_xlfn.CONCAT(_xlfn.XLOOKUP($B28,Tox_Table[Code],Tox_Table[Health Effect],"",0,1),"
",_xlfn.XLOOKUP($B28,Tox_Table[Code],Tox_Table[Endpoint],"",0,1),"
",_xlfn.XLOOKUP($B28,Tox_Table[Code],Tox_Table[Study],"",0,1))</f>
        <v xml:space="preserve">↓ Fetal testicular testosterone
</v>
      </c>
      <c r="L28" s="145">
        <f>_xlfn.XLOOKUP($B28, Tox_Table[Code],Tox_Table[HED / POD (mg/kg/day)], FALSE)</f>
        <v>2.1</v>
      </c>
      <c r="M28" s="138" t="s">
        <v>90</v>
      </c>
      <c r="N28" s="139">
        <f>_xlfn.XLOOKUP($B28,Tox_Table[Code],Tox_Table[Benchmark MOE])</f>
        <v>30</v>
      </c>
      <c r="O28" s="143">
        <f>IFERROR(L28/$O$10, "")</f>
        <v>1.3290262837527695</v>
      </c>
      <c r="P28" s="143" t="str">
        <f>IFERROR(L28/$O$12, "")</f>
        <v/>
      </c>
      <c r="Q28" s="142">
        <f>IFERROR(L28/($O$10/$G$4), "")</f>
        <v>13.290262837527695</v>
      </c>
      <c r="R28" s="26"/>
      <c r="S28" s="136" t="str">
        <f>_xlfn.CONCAT(_xlfn.XLOOKUP($B28,Tox_Table[Code],Tox_Table[Health Effect],"",0,1),"
",_xlfn.XLOOKUP($B28,Tox_Table[Code],Tox_Table[Endpoint],"",0,1),"
",_xlfn.XLOOKUP($B28,Tox_Table[Code],Tox_Table[Study],"",0,1))</f>
        <v xml:space="preserve">↓ Fetal testicular testosterone
</v>
      </c>
      <c r="T28" s="175">
        <f>_xlfn.XLOOKUP($B28, Tox_Table[Code],Tox_Table[HED / POD (mg/kg/day)], FALSE)</f>
        <v>2.1</v>
      </c>
      <c r="U28" s="138" t="s">
        <v>90</v>
      </c>
      <c r="V28" s="139">
        <f>_xlfn.XLOOKUP($B28,Tox_Table[Code],Tox_Table[Benchmark MOE])</f>
        <v>30</v>
      </c>
      <c r="W28" s="173">
        <f>IFERROR(T28/$W$10, "")</f>
        <v>1.2539744018346841</v>
      </c>
      <c r="X28" s="173">
        <f>IFERROR(T28/$W$12, "")</f>
        <v>49.056000000000004</v>
      </c>
      <c r="Y28" s="141">
        <f>IFERROR(T28/((G$10/$F$4)+O$10),"")</f>
        <v>1.32111922568359</v>
      </c>
      <c r="Z28" s="141">
        <f>IFERROR(T28/((G$10)+O$10/$G$4),"")</f>
        <v>8.3141460480825184</v>
      </c>
      <c r="AA28" s="146">
        <f>IFERROR(T28/((G$10/$F$4)+O$10/$G$4),"")</f>
        <v>12.539744018346841</v>
      </c>
      <c r="AB28" s="17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row>
    <row r="29" spans="1:77" s="28" customFormat="1" ht="40.5" customHeight="1" x14ac:dyDescent="0.25">
      <c r="B29" s="27" t="s">
        <v>117</v>
      </c>
      <c r="C29" s="147"/>
      <c r="D29" s="148"/>
      <c r="E29" s="149" t="s">
        <v>91</v>
      </c>
      <c r="F29" s="150">
        <f>_xlfn.XLOOKUP($B29,Tox_Table[Code],Tox_Table[Benchmark MOE])</f>
        <v>30</v>
      </c>
      <c r="G29" s="177">
        <f>IFERROR(D28/$G$11, "")</f>
        <v>44.411010000000005</v>
      </c>
      <c r="H29" s="177">
        <f>IFERROR(D28/$G$13, "")</f>
        <v>49.056000000000004</v>
      </c>
      <c r="I29" s="178">
        <f>IFERROR(G29*$F$4,"")</f>
        <v>444.11010000000005</v>
      </c>
      <c r="K29" s="155"/>
      <c r="L29" s="156"/>
      <c r="M29" s="149" t="s">
        <v>91</v>
      </c>
      <c r="N29" s="150">
        <f>_xlfn.XLOOKUP($B29,Tox_Table[Code],Tox_Table[Benchmark MOE])</f>
        <v>30</v>
      </c>
      <c r="O29" s="154">
        <f>IFERROR(L28/$O$11, "")</f>
        <v>2.6580525675055391</v>
      </c>
      <c r="P29" s="154" t="str">
        <f>IFERROR(L28/$O$13, "")</f>
        <v/>
      </c>
      <c r="Q29" s="153">
        <f>IFERROR(L28/($O$11/$G$4), "")</f>
        <v>26.580525675055391</v>
      </c>
      <c r="R29" s="26"/>
      <c r="S29" s="147"/>
      <c r="T29" s="148"/>
      <c r="U29" s="149" t="s">
        <v>91</v>
      </c>
      <c r="V29" s="150">
        <f>_xlfn.XLOOKUP($B29,Tox_Table[Code],Tox_Table[Benchmark MOE])</f>
        <v>30</v>
      </c>
      <c r="W29" s="177">
        <f>IFERROR(T28/$W$11, "")</f>
        <v>2.5079488036693682</v>
      </c>
      <c r="X29" s="177">
        <f>IFERROR(T28/$W$13, "")</f>
        <v>49.056000000000004</v>
      </c>
      <c r="Y29" s="158">
        <f>IFERROR(T28/((G$11/$F$4)+O$11),"")</f>
        <v>2.6422384513671799</v>
      </c>
      <c r="Z29" s="158">
        <f>IFERROR(T28/((G$11)+O$11/$G$4),"")</f>
        <v>16.628292096165037</v>
      </c>
      <c r="AA29" s="159">
        <f>IFERROR(T28/((G$11/$F$4)+O$11/$G$4),"")</f>
        <v>25.079488036693682</v>
      </c>
      <c r="AB29" s="17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row>
    <row r="30" spans="1:77" ht="13.5" thickBot="1" x14ac:dyDescent="0.3">
      <c r="A30" s="29"/>
      <c r="B30" s="49"/>
      <c r="C30" s="49"/>
      <c r="D30" s="26"/>
      <c r="E30" s="179"/>
      <c r="F30" s="180"/>
      <c r="G30" s="181"/>
      <c r="H30" s="182"/>
      <c r="I30" s="28"/>
      <c r="J30" s="28"/>
      <c r="K30" s="49"/>
      <c r="L30" s="49"/>
      <c r="M30" s="49"/>
      <c r="N30" s="179"/>
      <c r="S30" s="49"/>
      <c r="T30" s="49"/>
      <c r="U30" s="49"/>
      <c r="V30" s="179"/>
      <c r="W30" s="181"/>
      <c r="X30" s="182"/>
      <c r="Y30" s="28"/>
      <c r="AA30" s="28"/>
      <c r="AB30" s="28"/>
      <c r="AD30" s="26"/>
      <c r="AE30" s="26"/>
      <c r="AF30" s="26"/>
      <c r="AG30" s="26"/>
      <c r="AH30" s="26"/>
      <c r="AI30" s="26"/>
      <c r="AJ30" s="26"/>
    </row>
    <row r="31" spans="1:77" ht="36" customHeight="1" thickBot="1" x14ac:dyDescent="0.3">
      <c r="A31" s="29"/>
      <c r="B31" s="49"/>
      <c r="C31" s="115" t="s">
        <v>118</v>
      </c>
      <c r="D31" s="28"/>
      <c r="E31" s="112"/>
      <c r="G31" s="183" t="s">
        <v>119</v>
      </c>
      <c r="H31" s="184"/>
      <c r="I31" s="185" t="str">
        <f>_xlfn.CONCAT("Respirator Scenario: APF of ",$F$4)</f>
        <v>Respirator Scenario: APF of 10</v>
      </c>
      <c r="J31" s="61"/>
      <c r="K31" s="115" t="s">
        <v>118</v>
      </c>
      <c r="L31" s="115"/>
      <c r="M31" s="28"/>
      <c r="N31" s="112"/>
      <c r="O31" s="183" t="s">
        <v>119</v>
      </c>
      <c r="P31" s="184"/>
      <c r="Q31" s="185" t="s">
        <v>100</v>
      </c>
      <c r="S31" s="115" t="s">
        <v>120</v>
      </c>
      <c r="T31" s="115"/>
      <c r="U31" s="28"/>
      <c r="V31" s="112"/>
      <c r="W31" s="183" t="s">
        <v>119</v>
      </c>
      <c r="X31" s="184"/>
      <c r="Y31" s="186" t="str">
        <f>_xlfn.CONCAT("Respirator-Only Scenario: APF of ",$F$4)</f>
        <v>Respirator-Only Scenario: APF of 10</v>
      </c>
      <c r="Z31" s="187" t="str">
        <f>_xlfn.CONCAT("Gloved-only Scenario: APF of ",$G$4)</f>
        <v>Gloved-only Scenario: APF of 10</v>
      </c>
      <c r="AA31" s="188" t="s">
        <v>101</v>
      </c>
      <c r="AB31" s="61"/>
      <c r="AD31" s="26"/>
      <c r="AE31" s="26"/>
      <c r="AF31" s="26"/>
      <c r="AG31" s="26"/>
      <c r="AH31" s="26"/>
      <c r="AI31" s="26"/>
      <c r="AJ31" s="26"/>
    </row>
    <row r="32" spans="1:77" ht="30" customHeight="1" thickBot="1" x14ac:dyDescent="0.25">
      <c r="A32" s="28"/>
      <c r="B32" s="49"/>
      <c r="C32" s="189" t="s">
        <v>121</v>
      </c>
      <c r="D32" s="190" t="s">
        <v>122</v>
      </c>
      <c r="E32" s="191" t="s">
        <v>77</v>
      </c>
      <c r="F32" s="192" t="s">
        <v>123</v>
      </c>
      <c r="G32" s="193" t="s">
        <v>124</v>
      </c>
      <c r="H32" s="193" t="s">
        <v>125</v>
      </c>
      <c r="I32" s="194" t="s">
        <v>124</v>
      </c>
      <c r="J32" s="61"/>
      <c r="K32" s="189" t="s">
        <v>121</v>
      </c>
      <c r="L32" s="190" t="s">
        <v>122</v>
      </c>
      <c r="M32" s="195" t="s">
        <v>77</v>
      </c>
      <c r="N32" s="192" t="s">
        <v>123</v>
      </c>
      <c r="O32" s="196" t="s">
        <v>126</v>
      </c>
      <c r="P32" s="197" t="s">
        <v>127</v>
      </c>
      <c r="Q32" s="198" t="str">
        <f>_xlfn.CONCAT("Gloves: PF of ",$G$4)</f>
        <v>Gloves: PF of 10</v>
      </c>
      <c r="S32" s="199" t="s">
        <v>121</v>
      </c>
      <c r="T32" s="190" t="s">
        <v>122</v>
      </c>
      <c r="U32" s="200" t="s">
        <v>77</v>
      </c>
      <c r="V32" s="201" t="s">
        <v>123</v>
      </c>
      <c r="W32" s="196" t="s">
        <v>124</v>
      </c>
      <c r="X32" s="196" t="s">
        <v>125</v>
      </c>
      <c r="Y32" s="196" t="s">
        <v>124</v>
      </c>
      <c r="Z32" s="202" t="s">
        <v>128</v>
      </c>
      <c r="AA32" s="203" t="s">
        <v>128</v>
      </c>
      <c r="AB32" s="61"/>
      <c r="AD32" s="26"/>
      <c r="AE32" s="26"/>
      <c r="AF32" s="26"/>
      <c r="AG32" s="26"/>
      <c r="AH32" s="26"/>
      <c r="AI32" s="26"/>
      <c r="AJ32" s="26"/>
    </row>
    <row r="33" spans="1:77" ht="24.75" customHeight="1" x14ac:dyDescent="0.25">
      <c r="A33" s="28"/>
      <c r="B33" s="27" t="s">
        <v>129</v>
      </c>
      <c r="C33" s="136" t="str">
        <f>_xlfn.CONCAT(_xlfn.XLOOKUP($B33,Tox_Table[Code],Tox_Table[Health Effect],"",0,1),"
",_xlfn.XLOOKUP($B33,Tox_Table[Code],Tox_Table[Endpoint],"",0,1),"
",_xlfn.XLOOKUP($B33,Tox_Table[Code],Tox_Table[Study],"",0,1))</f>
        <v xml:space="preserve">
</v>
      </c>
      <c r="D33" s="175">
        <f>_xlfn.XLOOKUP($B33, Tox_Table[Code],Tox_Table[CSF (mg/kg-day-1)], FALSE)</f>
        <v>0</v>
      </c>
      <c r="E33" s="204" t="s">
        <v>90</v>
      </c>
      <c r="F33" s="205">
        <v>1E-4</v>
      </c>
      <c r="G33" s="173">
        <f>IFERROR(D33*$H$10, "")</f>
        <v>0</v>
      </c>
      <c r="H33" s="173">
        <f>IFERROR(D33*$H$12, "")</f>
        <v>0</v>
      </c>
      <c r="I33" s="174">
        <f>IFERROR(G33/$F$4,"")</f>
        <v>0</v>
      </c>
      <c r="J33" s="206"/>
      <c r="K33" s="136" t="str">
        <f>_xlfn.CONCAT(_xlfn.XLOOKUP($B33,Tox_Table[Code],Tox_Table[Health Effect],"",0,1),"
",_xlfn.XLOOKUP($B33,Tox_Table[Code],Tox_Table[Endpoint],"",0,1),"
",_xlfn.XLOOKUP($B33,Tox_Table[Code],Tox_Table[Study],"",0,1))</f>
        <v xml:space="preserve">
</v>
      </c>
      <c r="L33" s="175">
        <f>_xlfn.XLOOKUP($B33, Tox_Table[Code],Tox_Table[CSF (mg/kg-day-1)], FALSE)</f>
        <v>0</v>
      </c>
      <c r="M33" s="138" t="s">
        <v>90</v>
      </c>
      <c r="N33" s="205">
        <v>1E-4</v>
      </c>
      <c r="O33" s="173">
        <f>IFERROR(L33*$P$10, "")</f>
        <v>0</v>
      </c>
      <c r="P33" s="173">
        <f>IFERROR(L33*$P$12, "")</f>
        <v>0</v>
      </c>
      <c r="Q33" s="174">
        <f>IFERROR(L33*$P$10/G4, "")</f>
        <v>0</v>
      </c>
      <c r="S33" s="136" t="str">
        <f>_xlfn.CONCAT(_xlfn.XLOOKUP($B33,Tox_Table[Code],Tox_Table[Health Effect],"",0,1),"
",_xlfn.XLOOKUP($B33,Tox_Table[Code],Tox_Table[Endpoint],"",0,1),"
",_xlfn.XLOOKUP($B33,Tox_Table[Code],Tox_Table[Study],"",0,1))</f>
        <v xml:space="preserve">
</v>
      </c>
      <c r="T33" s="175">
        <f>_xlfn.XLOOKUP($B33, Tox_Table[Code],Tox_Table[CSF (mg/kg-day-1)], FALSE)</f>
        <v>0</v>
      </c>
      <c r="U33" s="138" t="s">
        <v>90</v>
      </c>
      <c r="V33" s="207">
        <v>1E-4</v>
      </c>
      <c r="W33" s="173">
        <f>IFERROR(T33*$X$10, "")</f>
        <v>0</v>
      </c>
      <c r="X33" s="173">
        <f>IFERROR(T33*$X$12, "")</f>
        <v>0</v>
      </c>
      <c r="Y33" s="141">
        <f>IFERROR(T33*((H$10/$F$4)+P$10),"")</f>
        <v>0</v>
      </c>
      <c r="Z33" s="141">
        <f>IFERROR(T33*((H$10)+P$10/$G$4),"")</f>
        <v>0</v>
      </c>
      <c r="AA33" s="146">
        <f>IFERROR(T33*((H$10/$F$4)+P$10/$G$4),"")</f>
        <v>0</v>
      </c>
      <c r="AB33" s="206"/>
      <c r="AD33" s="26"/>
      <c r="AE33" s="26"/>
      <c r="AF33" s="26"/>
      <c r="AG33" s="26"/>
      <c r="AH33" s="26"/>
      <c r="AI33" s="26"/>
      <c r="AJ33" s="26"/>
    </row>
    <row r="34" spans="1:77" s="28" customFormat="1" ht="28.5" customHeight="1" thickBot="1" x14ac:dyDescent="0.3">
      <c r="B34" s="27" t="s">
        <v>129</v>
      </c>
      <c r="C34" s="147"/>
      <c r="D34" s="148"/>
      <c r="E34" s="208" t="s">
        <v>91</v>
      </c>
      <c r="F34" s="209">
        <v>1E-4</v>
      </c>
      <c r="G34" s="177">
        <f>IFERROR(D33*$H$11, "")</f>
        <v>0</v>
      </c>
      <c r="H34" s="177">
        <f>IFERROR(D33*$H$13, "")</f>
        <v>0</v>
      </c>
      <c r="I34" s="178">
        <f>IFERROR(G34/$F$4,"")</f>
        <v>0</v>
      </c>
      <c r="J34" s="206"/>
      <c r="K34" s="147"/>
      <c r="L34" s="148"/>
      <c r="M34" s="149" t="s">
        <v>91</v>
      </c>
      <c r="N34" s="209">
        <v>1E-4</v>
      </c>
      <c r="O34" s="177">
        <f>IFERROR(L33*$P$11, "")</f>
        <v>0</v>
      </c>
      <c r="P34" s="177">
        <f>IFERROR(L33*$P$13, "")</f>
        <v>0</v>
      </c>
      <c r="Q34" s="178">
        <f>IFERROR(L33*$P$11/G4, "")</f>
        <v>0</v>
      </c>
      <c r="R34" s="26"/>
      <c r="S34" s="147"/>
      <c r="T34" s="148"/>
      <c r="U34" s="149" t="s">
        <v>91</v>
      </c>
      <c r="V34" s="210"/>
      <c r="W34" s="177">
        <f>IFERROR(T33*$X$11, "")</f>
        <v>0</v>
      </c>
      <c r="X34" s="177">
        <f>IFERROR(T33*$X$13, "")</f>
        <v>0</v>
      </c>
      <c r="Y34" s="158">
        <f>IFERROR(T33*((H$11/$F$4)+P$11),"")</f>
        <v>0</v>
      </c>
      <c r="Z34" s="158">
        <f>IFERROR(T33*((H$11)+P$11/$G$4),"")</f>
        <v>0</v>
      </c>
      <c r="AA34" s="159">
        <f>IFERROR(T33*((H$11/$F$4)+P$11/$G$4),"")</f>
        <v>0</v>
      </c>
      <c r="AB34" s="20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row>
    <row r="35" spans="1:77" x14ac:dyDescent="0.25">
      <c r="A35" s="28"/>
      <c r="B35" s="49"/>
      <c r="Q35" s="28"/>
      <c r="AD35" s="26"/>
      <c r="AE35" s="26"/>
      <c r="AF35" s="26"/>
      <c r="AG35" s="26"/>
      <c r="AH35" s="26"/>
      <c r="AI35" s="26"/>
      <c r="AJ35" s="26"/>
    </row>
    <row r="36" spans="1:77" x14ac:dyDescent="0.25">
      <c r="A36" s="28"/>
      <c r="B36" s="49"/>
      <c r="O36" s="28"/>
      <c r="P36" s="28"/>
      <c r="Q36" s="28"/>
      <c r="AD36" s="26"/>
      <c r="AE36" s="26"/>
      <c r="AF36" s="26"/>
      <c r="AG36" s="26"/>
      <c r="AH36" s="26"/>
      <c r="AI36" s="26"/>
      <c r="AJ36" s="26"/>
    </row>
    <row r="37" spans="1:77" x14ac:dyDescent="0.25">
      <c r="A37" s="28"/>
      <c r="B37" s="29"/>
      <c r="Q37" s="28"/>
      <c r="AD37" s="26"/>
      <c r="AE37" s="26"/>
      <c r="AF37" s="26"/>
      <c r="AG37" s="26"/>
      <c r="AH37" s="26"/>
      <c r="AI37" s="26"/>
      <c r="AJ37" s="26"/>
    </row>
    <row r="38" spans="1:77" x14ac:dyDescent="0.25">
      <c r="A38" s="28"/>
      <c r="Q38" s="28"/>
      <c r="AD38" s="26"/>
      <c r="AE38" s="26"/>
      <c r="AF38" s="26"/>
      <c r="AG38" s="26"/>
      <c r="AH38" s="26"/>
      <c r="AI38" s="26"/>
      <c r="AJ38" s="26"/>
    </row>
    <row r="39" spans="1:77" x14ac:dyDescent="0.25">
      <c r="A39" s="28"/>
      <c r="AD39" s="26"/>
      <c r="AE39" s="26"/>
      <c r="AF39" s="26"/>
      <c r="AG39" s="26"/>
      <c r="AH39" s="26"/>
      <c r="AI39" s="26"/>
      <c r="AJ39" s="26"/>
    </row>
    <row r="40" spans="1:77" ht="35.25" customHeight="1" x14ac:dyDescent="0.25">
      <c r="A40" s="28"/>
      <c r="AD40" s="26"/>
      <c r="AE40" s="26"/>
      <c r="AF40" s="26"/>
      <c r="AG40" s="26"/>
      <c r="AH40" s="26"/>
      <c r="AI40" s="26"/>
      <c r="AJ40" s="26"/>
    </row>
    <row r="41" spans="1:77" x14ac:dyDescent="0.25">
      <c r="A41" s="28"/>
      <c r="AD41" s="26"/>
      <c r="AE41" s="26"/>
      <c r="AF41" s="26"/>
      <c r="AG41" s="26"/>
      <c r="AH41" s="26"/>
      <c r="AI41" s="26"/>
      <c r="AJ41" s="26"/>
    </row>
    <row r="42" spans="1:77" x14ac:dyDescent="0.25">
      <c r="AD42" s="26"/>
      <c r="AE42" s="26"/>
      <c r="AF42" s="26"/>
      <c r="AG42" s="26"/>
      <c r="AH42" s="26"/>
      <c r="AI42" s="26"/>
      <c r="AJ42" s="26"/>
    </row>
    <row r="43" spans="1:77" x14ac:dyDescent="0.25">
      <c r="H43" s="28"/>
      <c r="I43" s="28"/>
      <c r="J43" s="28"/>
      <c r="T43" s="28"/>
      <c r="U43" s="28"/>
      <c r="V43" s="28"/>
      <c r="W43" s="28"/>
      <c r="X43" s="28"/>
      <c r="Y43" s="28"/>
      <c r="Z43" s="28"/>
      <c r="AA43" s="28"/>
      <c r="AB43" s="28"/>
      <c r="AD43" s="26"/>
      <c r="AE43" s="26"/>
      <c r="AF43" s="26"/>
      <c r="AG43" s="26"/>
      <c r="AH43" s="26"/>
      <c r="AI43" s="26"/>
      <c r="AJ43" s="26"/>
    </row>
    <row r="44" spans="1:77" x14ac:dyDescent="0.25">
      <c r="AD44" s="26"/>
      <c r="AE44" s="26"/>
      <c r="AF44" s="26"/>
      <c r="AG44" s="26"/>
      <c r="AH44" s="26"/>
      <c r="AI44" s="26"/>
      <c r="AJ44" s="26"/>
    </row>
    <row r="45" spans="1:77" x14ac:dyDescent="0.25">
      <c r="AD45" s="26"/>
      <c r="AE45" s="26"/>
      <c r="AF45" s="26"/>
      <c r="AG45" s="26"/>
      <c r="AH45" s="26"/>
      <c r="AI45" s="26"/>
      <c r="AJ45" s="26"/>
    </row>
    <row r="46" spans="1:77" x14ac:dyDescent="0.25">
      <c r="AD46" s="26"/>
      <c r="AE46" s="26"/>
      <c r="AF46" s="26"/>
      <c r="AG46" s="26"/>
      <c r="AH46" s="26"/>
      <c r="AI46" s="26"/>
      <c r="AJ46" s="26"/>
    </row>
    <row r="47" spans="1:77" x14ac:dyDescent="0.25">
      <c r="AD47" s="26"/>
      <c r="AE47" s="26"/>
      <c r="AF47" s="26"/>
      <c r="AG47" s="26"/>
      <c r="AH47" s="26"/>
      <c r="AI47" s="26"/>
      <c r="AJ47" s="26"/>
    </row>
    <row r="48" spans="1:77" x14ac:dyDescent="0.25">
      <c r="AD48" s="26"/>
      <c r="AE48" s="26"/>
      <c r="AF48" s="26"/>
      <c r="AG48" s="26"/>
      <c r="AH48" s="26"/>
      <c r="AI48" s="26"/>
      <c r="AJ48" s="26"/>
    </row>
    <row r="49" spans="1:36" x14ac:dyDescent="0.25">
      <c r="G49" s="28"/>
      <c r="AD49" s="26"/>
      <c r="AE49" s="26"/>
      <c r="AF49" s="26"/>
      <c r="AG49" s="26"/>
      <c r="AH49" s="26"/>
      <c r="AI49" s="26"/>
      <c r="AJ49" s="26"/>
    </row>
    <row r="50" spans="1:36" x14ac:dyDescent="0.25">
      <c r="K50" s="28"/>
      <c r="L50" s="28"/>
      <c r="M50" s="28"/>
      <c r="N50" s="28"/>
      <c r="AD50" s="26"/>
      <c r="AE50" s="26"/>
      <c r="AF50" s="26"/>
      <c r="AG50" s="26"/>
      <c r="AH50" s="26"/>
      <c r="AI50" s="26"/>
      <c r="AJ50" s="26"/>
    </row>
    <row r="51" spans="1:36" x14ac:dyDescent="0.25">
      <c r="C51" s="28"/>
      <c r="D51" s="29"/>
      <c r="E51" s="28"/>
      <c r="F51" s="28"/>
      <c r="AD51" s="26"/>
      <c r="AE51" s="26"/>
      <c r="AF51" s="26"/>
      <c r="AG51" s="26"/>
      <c r="AH51" s="26"/>
      <c r="AI51" s="26"/>
      <c r="AJ51" s="26"/>
    </row>
    <row r="52" spans="1:36" x14ac:dyDescent="0.25">
      <c r="AD52" s="26"/>
      <c r="AE52" s="26"/>
      <c r="AF52" s="26"/>
      <c r="AG52" s="26"/>
      <c r="AH52" s="26"/>
      <c r="AI52" s="26"/>
      <c r="AJ52" s="26"/>
    </row>
    <row r="53" spans="1:36" x14ac:dyDescent="0.25">
      <c r="H53" s="211"/>
      <c r="I53" s="211"/>
      <c r="J53" s="211"/>
      <c r="T53" s="211"/>
      <c r="U53" s="211"/>
      <c r="V53" s="211"/>
      <c r="W53" s="211"/>
      <c r="X53" s="211"/>
      <c r="Y53" s="211"/>
      <c r="Z53" s="211"/>
      <c r="AA53" s="211"/>
      <c r="AB53" s="211"/>
      <c r="AD53" s="26"/>
      <c r="AE53" s="26"/>
      <c r="AF53" s="26"/>
      <c r="AG53" s="26"/>
      <c r="AH53" s="26"/>
      <c r="AI53" s="26"/>
      <c r="AJ53" s="26"/>
    </row>
    <row r="54" spans="1:36" x14ac:dyDescent="0.25">
      <c r="H54" s="211"/>
      <c r="I54" s="211"/>
      <c r="J54" s="211"/>
      <c r="O54" s="28"/>
      <c r="P54" s="28"/>
      <c r="T54" s="211"/>
      <c r="U54" s="211"/>
      <c r="V54" s="211"/>
      <c r="W54" s="211"/>
      <c r="X54" s="211"/>
      <c r="Y54" s="211"/>
      <c r="Z54" s="211"/>
      <c r="AA54" s="211"/>
      <c r="AB54" s="211"/>
      <c r="AD54" s="26"/>
      <c r="AE54" s="26"/>
      <c r="AF54" s="26"/>
      <c r="AG54" s="26"/>
      <c r="AH54" s="26"/>
      <c r="AI54" s="26"/>
      <c r="AJ54" s="26"/>
    </row>
    <row r="55" spans="1:36" x14ac:dyDescent="0.25">
      <c r="B55" s="29"/>
      <c r="H55" s="212"/>
      <c r="I55" s="212"/>
      <c r="J55" s="212"/>
      <c r="T55" s="212"/>
      <c r="U55" s="212"/>
      <c r="V55" s="212"/>
      <c r="W55" s="212"/>
      <c r="X55" s="212"/>
      <c r="Y55" s="212"/>
      <c r="Z55" s="212"/>
      <c r="AA55" s="212"/>
      <c r="AB55" s="212"/>
      <c r="AD55" s="26"/>
      <c r="AE55" s="26"/>
      <c r="AF55" s="26"/>
      <c r="AG55" s="26"/>
      <c r="AH55" s="26"/>
      <c r="AI55" s="26"/>
      <c r="AJ55" s="26"/>
    </row>
    <row r="56" spans="1:36" x14ac:dyDescent="0.25">
      <c r="B56" s="213"/>
      <c r="H56" s="212"/>
      <c r="I56" s="212"/>
      <c r="J56" s="212"/>
      <c r="Q56" s="28"/>
      <c r="T56" s="212"/>
      <c r="U56" s="212"/>
      <c r="V56" s="212"/>
      <c r="W56" s="212"/>
      <c r="X56" s="212"/>
      <c r="Y56" s="212"/>
      <c r="Z56" s="212"/>
      <c r="AA56" s="212"/>
      <c r="AB56" s="212"/>
      <c r="AD56" s="26"/>
      <c r="AE56" s="26"/>
      <c r="AF56" s="26"/>
      <c r="AG56" s="26"/>
      <c r="AH56" s="26"/>
      <c r="AI56" s="26"/>
      <c r="AJ56" s="26"/>
    </row>
    <row r="57" spans="1:36" x14ac:dyDescent="0.25">
      <c r="B57" s="213"/>
      <c r="AD57" s="26"/>
      <c r="AE57" s="26"/>
      <c r="AF57" s="26"/>
      <c r="AG57" s="26"/>
      <c r="AH57" s="26"/>
      <c r="AI57" s="26"/>
      <c r="AJ57" s="26"/>
    </row>
    <row r="58" spans="1:36" x14ac:dyDescent="0.25">
      <c r="B58" s="213"/>
      <c r="AD58" s="26"/>
      <c r="AE58" s="26"/>
      <c r="AF58" s="26"/>
      <c r="AG58" s="26"/>
      <c r="AH58" s="26"/>
      <c r="AI58" s="26"/>
      <c r="AJ58" s="26"/>
    </row>
    <row r="59" spans="1:36" x14ac:dyDescent="0.25">
      <c r="A59" s="28"/>
      <c r="B59" s="213"/>
      <c r="G59" s="211"/>
      <c r="AD59" s="26"/>
      <c r="AE59" s="26"/>
      <c r="AF59" s="26"/>
      <c r="AG59" s="26"/>
      <c r="AH59" s="26"/>
      <c r="AI59" s="26"/>
      <c r="AJ59" s="26"/>
    </row>
    <row r="60" spans="1:36" x14ac:dyDescent="0.25">
      <c r="B60" s="213"/>
      <c r="C60" s="214"/>
      <c r="D60" s="213"/>
      <c r="E60" s="214"/>
      <c r="K60" s="212"/>
      <c r="L60" s="212"/>
      <c r="M60" s="212"/>
      <c r="N60" s="212"/>
      <c r="AD60" s="26"/>
      <c r="AE60" s="26"/>
      <c r="AF60" s="26"/>
      <c r="AG60" s="26"/>
      <c r="AH60" s="26"/>
      <c r="AI60" s="26"/>
      <c r="AJ60" s="26"/>
    </row>
    <row r="61" spans="1:36" x14ac:dyDescent="0.25">
      <c r="B61" s="213"/>
      <c r="E61" s="215"/>
      <c r="F61" s="212"/>
      <c r="K61" s="212"/>
      <c r="L61" s="212"/>
      <c r="M61" s="212"/>
      <c r="N61" s="212"/>
      <c r="AD61" s="26"/>
      <c r="AE61" s="26"/>
      <c r="AF61" s="26"/>
      <c r="AG61" s="26"/>
      <c r="AH61" s="26"/>
      <c r="AI61" s="26"/>
      <c r="AJ61" s="26"/>
    </row>
    <row r="62" spans="1:36" x14ac:dyDescent="0.25">
      <c r="B62" s="213"/>
      <c r="AD62" s="26"/>
      <c r="AE62" s="26"/>
      <c r="AF62" s="26"/>
      <c r="AG62" s="26"/>
      <c r="AH62" s="26"/>
      <c r="AI62" s="26"/>
      <c r="AJ62" s="26"/>
    </row>
    <row r="63" spans="1:36" x14ac:dyDescent="0.25">
      <c r="B63" s="213"/>
      <c r="M63" s="27"/>
      <c r="AD63" s="26"/>
      <c r="AE63" s="26"/>
      <c r="AF63" s="26"/>
      <c r="AG63" s="26"/>
      <c r="AH63" s="26"/>
      <c r="AI63" s="26"/>
      <c r="AJ63" s="26"/>
    </row>
    <row r="64" spans="1:36" x14ac:dyDescent="0.25">
      <c r="C64" s="216"/>
      <c r="D64" s="216"/>
      <c r="E64" s="217"/>
      <c r="L64" s="216"/>
      <c r="M64" s="216"/>
      <c r="AD64" s="26"/>
      <c r="AE64" s="26"/>
      <c r="AF64" s="26"/>
      <c r="AG64" s="26"/>
      <c r="AH64" s="26"/>
      <c r="AI64" s="26"/>
      <c r="AJ64" s="26"/>
    </row>
    <row r="65" spans="3:36" x14ac:dyDescent="0.25">
      <c r="C65" s="218"/>
      <c r="D65" s="219"/>
      <c r="E65" s="219"/>
      <c r="L65" s="219"/>
      <c r="M65" s="219"/>
      <c r="AD65" s="26"/>
      <c r="AE65" s="26"/>
      <c r="AF65" s="26"/>
      <c r="AG65" s="26"/>
      <c r="AH65" s="26"/>
      <c r="AI65" s="26"/>
      <c r="AJ65" s="26"/>
    </row>
    <row r="66" spans="3:36" x14ac:dyDescent="0.25">
      <c r="C66" s="218"/>
      <c r="D66" s="219"/>
      <c r="E66" s="219"/>
      <c r="L66" s="219"/>
      <c r="M66" s="219"/>
      <c r="AD66" s="26"/>
      <c r="AE66" s="26"/>
      <c r="AF66" s="26"/>
      <c r="AG66" s="26"/>
      <c r="AH66" s="26"/>
      <c r="AI66" s="26"/>
      <c r="AJ66" s="26"/>
    </row>
    <row r="67" spans="3:36" ht="30" x14ac:dyDescent="0.25">
      <c r="C67" s="220" t="s">
        <v>130</v>
      </c>
      <c r="D67" s="220" t="s">
        <v>131</v>
      </c>
      <c r="E67" s="221" t="str">
        <f>_xlfn.CONCAT("Cancer Risk with APF of ",$F$4)</f>
        <v>Cancer Risk with APF of 10</v>
      </c>
      <c r="K67" s="216"/>
      <c r="L67" s="220" t="s">
        <v>132</v>
      </c>
      <c r="M67" s="220" t="s">
        <v>90</v>
      </c>
      <c r="N67" s="220" t="s">
        <v>91</v>
      </c>
      <c r="T67" s="220" t="s">
        <v>133</v>
      </c>
      <c r="U67" s="220" t="s">
        <v>90</v>
      </c>
      <c r="V67" s="220" t="s">
        <v>91</v>
      </c>
      <c r="AD67" s="26"/>
      <c r="AE67" s="26"/>
      <c r="AF67" s="26"/>
      <c r="AG67" s="26"/>
      <c r="AH67" s="26"/>
      <c r="AI67" s="26"/>
      <c r="AJ67" s="26"/>
    </row>
    <row r="68" spans="3:36" ht="15" x14ac:dyDescent="0.25">
      <c r="C68" s="222" t="s">
        <v>134</v>
      </c>
      <c r="D68" s="223">
        <f>$H$34</f>
        <v>0</v>
      </c>
      <c r="E68" s="223" t="str">
        <f>$I$32</f>
        <v xml:space="preserve">Worker </v>
      </c>
      <c r="K68" s="218"/>
      <c r="L68" s="222" t="str">
        <f>O32</f>
        <v>Worker No Gloves</v>
      </c>
      <c r="M68" s="223">
        <f>$O$33</f>
        <v>0</v>
      </c>
      <c r="N68" s="223">
        <f>$O$34</f>
        <v>0</v>
      </c>
      <c r="T68" s="222" t="s">
        <v>135</v>
      </c>
      <c r="U68" s="223">
        <f>W33</f>
        <v>0</v>
      </c>
      <c r="V68" s="223">
        <f>W34</f>
        <v>0</v>
      </c>
      <c r="AD68" s="26"/>
      <c r="AE68" s="26"/>
      <c r="AF68" s="26"/>
      <c r="AG68" s="26"/>
      <c r="AH68" s="26"/>
      <c r="AI68" s="26"/>
      <c r="AJ68" s="26"/>
    </row>
    <row r="69" spans="3:36" ht="15" x14ac:dyDescent="0.25">
      <c r="C69" s="222" t="s">
        <v>136</v>
      </c>
      <c r="D69" s="223">
        <f>$H$33</f>
        <v>0</v>
      </c>
      <c r="E69" s="223">
        <f>$I$33</f>
        <v>0</v>
      </c>
      <c r="K69" s="224"/>
      <c r="L69" s="225" t="str">
        <f>Q31</f>
        <v>Gloved Scenarios</v>
      </c>
      <c r="M69" s="226">
        <f>$Q$33</f>
        <v>0</v>
      </c>
      <c r="N69" s="226">
        <f>$Q$34</f>
        <v>0</v>
      </c>
      <c r="T69" s="222" t="str">
        <f>Y31</f>
        <v>Respirator-Only Scenario: APF of 10</v>
      </c>
      <c r="U69" s="223">
        <f>Y33</f>
        <v>0</v>
      </c>
      <c r="V69" s="223">
        <f>Y34</f>
        <v>0</v>
      </c>
      <c r="AD69" s="26"/>
      <c r="AE69" s="26"/>
      <c r="AF69" s="26"/>
      <c r="AG69" s="26"/>
      <c r="AH69" s="26"/>
      <c r="AI69" s="26"/>
      <c r="AJ69" s="26"/>
    </row>
    <row r="70" spans="3:36" ht="15" x14ac:dyDescent="0.25">
      <c r="C70" s="222" t="s">
        <v>137</v>
      </c>
      <c r="D70" s="223">
        <f>$G$34</f>
        <v>0</v>
      </c>
      <c r="E70" s="223">
        <f>$I$34</f>
        <v>0</v>
      </c>
      <c r="K70" s="218"/>
      <c r="L70" s="227"/>
      <c r="M70" s="228"/>
      <c r="N70" s="228"/>
      <c r="T70" s="229" t="str">
        <f>Z31</f>
        <v>Gloved-only Scenario: APF of 10</v>
      </c>
      <c r="U70" s="223">
        <f>Z33</f>
        <v>0</v>
      </c>
      <c r="V70" s="223">
        <f>Z34</f>
        <v>0</v>
      </c>
      <c r="AD70" s="26"/>
      <c r="AE70" s="26"/>
      <c r="AF70" s="26"/>
      <c r="AG70" s="26"/>
      <c r="AH70" s="26"/>
      <c r="AI70" s="26"/>
      <c r="AJ70" s="26"/>
    </row>
    <row r="71" spans="3:36" ht="15" x14ac:dyDescent="0.25">
      <c r="C71" s="222" t="s">
        <v>138</v>
      </c>
      <c r="D71" s="223">
        <f>$G$33</f>
        <v>0</v>
      </c>
      <c r="E71" s="223">
        <f>$I$33</f>
        <v>0</v>
      </c>
      <c r="T71" s="222" t="str">
        <f>AA31</f>
        <v>Respirator and Glove Scenario</v>
      </c>
      <c r="U71" s="223">
        <f>AA33</f>
        <v>0</v>
      </c>
      <c r="V71" s="223">
        <f>AA34</f>
        <v>0</v>
      </c>
      <c r="AD71" s="26"/>
      <c r="AE71" s="26"/>
      <c r="AF71" s="26"/>
      <c r="AG71" s="26"/>
      <c r="AH71" s="26"/>
      <c r="AI71" s="26"/>
      <c r="AJ71" s="26"/>
    </row>
    <row r="72" spans="3:36" x14ac:dyDescent="0.25">
      <c r="AD72" s="26"/>
      <c r="AE72" s="26"/>
      <c r="AF72" s="26"/>
      <c r="AG72" s="26"/>
      <c r="AH72" s="26"/>
      <c r="AI72" s="26"/>
      <c r="AJ72" s="26"/>
    </row>
    <row r="73" spans="3:36" x14ac:dyDescent="0.25">
      <c r="AD73" s="26"/>
      <c r="AE73" s="26"/>
      <c r="AF73" s="26"/>
      <c r="AG73" s="26"/>
      <c r="AH73" s="26"/>
      <c r="AI73" s="26"/>
      <c r="AJ73" s="26"/>
    </row>
    <row r="74" spans="3:36" x14ac:dyDescent="0.25">
      <c r="AD74" s="26"/>
      <c r="AE74" s="26"/>
      <c r="AF74" s="26"/>
      <c r="AG74" s="26"/>
      <c r="AH74" s="26"/>
      <c r="AI74" s="26"/>
      <c r="AJ74" s="26"/>
    </row>
    <row r="75" spans="3:36" x14ac:dyDescent="0.25">
      <c r="AD75" s="26"/>
      <c r="AE75" s="26"/>
      <c r="AF75" s="26"/>
      <c r="AG75" s="26"/>
      <c r="AH75" s="26"/>
      <c r="AI75" s="26"/>
      <c r="AJ75" s="26"/>
    </row>
    <row r="76" spans="3:36" x14ac:dyDescent="0.25">
      <c r="AD76" s="26"/>
      <c r="AE76" s="26"/>
      <c r="AF76" s="26"/>
      <c r="AG76" s="26"/>
      <c r="AH76" s="26"/>
      <c r="AI76" s="26"/>
      <c r="AJ76" s="26"/>
    </row>
    <row r="77" spans="3:36" x14ac:dyDescent="0.25">
      <c r="AD77" s="26"/>
      <c r="AE77" s="26"/>
      <c r="AF77" s="26"/>
      <c r="AG77" s="26"/>
      <c r="AH77" s="26"/>
      <c r="AI77" s="26"/>
      <c r="AJ77" s="26"/>
    </row>
    <row r="78" spans="3:36" x14ac:dyDescent="0.25">
      <c r="AD78" s="26"/>
      <c r="AE78" s="26"/>
      <c r="AF78" s="26"/>
      <c r="AG78" s="26"/>
      <c r="AH78" s="26"/>
      <c r="AI78" s="26"/>
      <c r="AJ78" s="26"/>
    </row>
    <row r="79" spans="3:36" x14ac:dyDescent="0.25">
      <c r="AD79" s="26"/>
      <c r="AE79" s="26"/>
      <c r="AF79" s="26"/>
      <c r="AG79" s="26"/>
      <c r="AH79" s="26"/>
      <c r="AI79" s="26"/>
      <c r="AJ79" s="26"/>
    </row>
    <row r="80" spans="3:36" x14ac:dyDescent="0.25">
      <c r="AD80" s="26"/>
      <c r="AE80" s="26"/>
      <c r="AF80" s="26"/>
      <c r="AG80" s="26"/>
      <c r="AH80" s="26"/>
      <c r="AI80" s="26"/>
      <c r="AJ80" s="26"/>
    </row>
    <row r="81" spans="30:36" x14ac:dyDescent="0.25">
      <c r="AD81" s="26"/>
      <c r="AE81" s="26"/>
      <c r="AF81" s="26"/>
      <c r="AG81" s="26"/>
      <c r="AH81" s="26"/>
      <c r="AI81" s="26"/>
      <c r="AJ81" s="26"/>
    </row>
    <row r="82" spans="30:36" x14ac:dyDescent="0.25">
      <c r="AD82" s="26"/>
      <c r="AE82" s="26"/>
      <c r="AF82" s="26"/>
      <c r="AG82" s="26"/>
      <c r="AH82" s="26"/>
      <c r="AI82" s="26"/>
      <c r="AJ82" s="26"/>
    </row>
    <row r="83" spans="30:36" x14ac:dyDescent="0.25">
      <c r="AD83" s="26"/>
      <c r="AE83" s="26"/>
      <c r="AF83" s="26"/>
      <c r="AG83" s="26"/>
      <c r="AH83" s="26"/>
      <c r="AI83" s="26"/>
      <c r="AJ83" s="26"/>
    </row>
    <row r="84" spans="30:36" x14ac:dyDescent="0.25">
      <c r="AD84" s="26"/>
      <c r="AE84" s="26"/>
      <c r="AF84" s="26"/>
      <c r="AG84" s="26"/>
      <c r="AH84" s="26"/>
      <c r="AI84" s="26"/>
      <c r="AJ84" s="26"/>
    </row>
    <row r="85" spans="30:36" x14ac:dyDescent="0.25">
      <c r="AD85" s="26"/>
      <c r="AE85" s="26"/>
      <c r="AF85" s="26"/>
      <c r="AG85" s="26"/>
      <c r="AH85" s="26"/>
      <c r="AI85" s="26"/>
      <c r="AJ85" s="26"/>
    </row>
    <row r="86" spans="30:36" x14ac:dyDescent="0.25">
      <c r="AD86" s="26"/>
      <c r="AE86" s="26"/>
      <c r="AF86" s="26"/>
      <c r="AG86" s="26"/>
      <c r="AH86" s="26"/>
      <c r="AI86" s="26"/>
      <c r="AJ86" s="26"/>
    </row>
    <row r="87" spans="30:36" x14ac:dyDescent="0.25">
      <c r="AD87" s="26"/>
      <c r="AE87" s="26"/>
      <c r="AF87" s="26"/>
      <c r="AG87" s="26"/>
      <c r="AH87" s="26"/>
      <c r="AI87" s="26"/>
      <c r="AJ87" s="26"/>
    </row>
  </sheetData>
  <sheetProtection sheet="1" objects="1" scenarios="1" formatCells="0" formatColumns="0" formatRows="0" sort="0" autoFilter="0"/>
  <dataConsolidate/>
  <mergeCells count="93">
    <mergeCell ref="W31:X31"/>
    <mergeCell ref="S18:S19"/>
    <mergeCell ref="T18:T19"/>
    <mergeCell ref="S26:S27"/>
    <mergeCell ref="T26:T27"/>
    <mergeCell ref="U26:U27"/>
    <mergeCell ref="V26:V27"/>
    <mergeCell ref="S28:S29"/>
    <mergeCell ref="T28:T29"/>
    <mergeCell ref="W21:X21"/>
    <mergeCell ref="O26:P26"/>
    <mergeCell ref="K15:N15"/>
    <mergeCell ref="L26:L27"/>
    <mergeCell ref="W16:X16"/>
    <mergeCell ref="W26:X26"/>
    <mergeCell ref="S16:S17"/>
    <mergeCell ref="T16:T17"/>
    <mergeCell ref="S33:S34"/>
    <mergeCell ref="T33:T34"/>
    <mergeCell ref="V33:V34"/>
    <mergeCell ref="U16:U17"/>
    <mergeCell ref="V16:V17"/>
    <mergeCell ref="S23:S24"/>
    <mergeCell ref="T23:T24"/>
    <mergeCell ref="S20:V20"/>
    <mergeCell ref="S21:S22"/>
    <mergeCell ref="T21:T22"/>
    <mergeCell ref="U21:U22"/>
    <mergeCell ref="V21:V22"/>
    <mergeCell ref="D2:E2"/>
    <mergeCell ref="F16:F17"/>
    <mergeCell ref="D8:D9"/>
    <mergeCell ref="D16:D17"/>
    <mergeCell ref="E16:E17"/>
    <mergeCell ref="D4:E4"/>
    <mergeCell ref="D3:E3"/>
    <mergeCell ref="F2:G2"/>
    <mergeCell ref="T8:T9"/>
    <mergeCell ref="C8:C9"/>
    <mergeCell ref="K8:K9"/>
    <mergeCell ref="L8:L9"/>
    <mergeCell ref="K10:K11"/>
    <mergeCell ref="S8:S9"/>
    <mergeCell ref="C10:C11"/>
    <mergeCell ref="E26:E27"/>
    <mergeCell ref="K26:K27"/>
    <mergeCell ref="D23:D24"/>
    <mergeCell ref="K23:K24"/>
    <mergeCell ref="L23:L24"/>
    <mergeCell ref="C33:C34"/>
    <mergeCell ref="D33:D34"/>
    <mergeCell ref="M26:M27"/>
    <mergeCell ref="K16:K17"/>
    <mergeCell ref="L16:L17"/>
    <mergeCell ref="M16:M17"/>
    <mergeCell ref="K33:K34"/>
    <mergeCell ref="L33:L34"/>
    <mergeCell ref="G31:H31"/>
    <mergeCell ref="C23:C24"/>
    <mergeCell ref="K20:N20"/>
    <mergeCell ref="C21:C22"/>
    <mergeCell ref="D21:D22"/>
    <mergeCell ref="E21:E22"/>
    <mergeCell ref="N16:N17"/>
    <mergeCell ref="K18:K19"/>
    <mergeCell ref="O31:P31"/>
    <mergeCell ref="C28:C29"/>
    <mergeCell ref="C26:C27"/>
    <mergeCell ref="N26:N27"/>
    <mergeCell ref="F21:F22"/>
    <mergeCell ref="G21:H21"/>
    <mergeCell ref="K21:K22"/>
    <mergeCell ref="L21:L22"/>
    <mergeCell ref="M21:M22"/>
    <mergeCell ref="N21:N22"/>
    <mergeCell ref="D28:D29"/>
    <mergeCell ref="K28:K29"/>
    <mergeCell ref="L28:L29"/>
    <mergeCell ref="D26:D27"/>
    <mergeCell ref="G26:H26"/>
    <mergeCell ref="F26:F27"/>
    <mergeCell ref="C12:C13"/>
    <mergeCell ref="S10:S11"/>
    <mergeCell ref="S12:S13"/>
    <mergeCell ref="K12:K13"/>
    <mergeCell ref="O21:P21"/>
    <mergeCell ref="C16:C17"/>
    <mergeCell ref="C18:C19"/>
    <mergeCell ref="L18:L19"/>
    <mergeCell ref="G16:H16"/>
    <mergeCell ref="D18:D19"/>
    <mergeCell ref="O16:P16"/>
    <mergeCell ref="S15:V15"/>
  </mergeCells>
  <phoneticPr fontId="2" type="noConversion"/>
  <conditionalFormatting sqref="C12">
    <cfRule type="cellIs" dxfId="547" priority="4" stopIfTrue="1" operator="equal">
      <formula>0</formula>
    </cfRule>
    <cfRule type="containsBlanks" dxfId="546" priority="5" stopIfTrue="1">
      <formula>LEN(TRIM(C12))=0</formula>
    </cfRule>
    <cfRule type="cellIs" dxfId="545" priority="6" operator="lessThan">
      <formula>0.1</formula>
    </cfRule>
  </conditionalFormatting>
  <conditionalFormatting sqref="D18 L18 G18:I20 O18:Q20 D23 L23 G23:I24 O23:Q24 D28 D33 L33 G33:I34">
    <cfRule type="containsBlanks" dxfId="544" priority="501" stopIfTrue="1">
      <formula>LEN(TRIM(D18))=0</formula>
    </cfRule>
    <cfRule type="cellIs" dxfId="543" priority="504" operator="greaterThanOrEqual">
      <formula>10</formula>
    </cfRule>
    <cfRule type="cellIs" dxfId="542" priority="503" operator="lessThan">
      <formula>10</formula>
    </cfRule>
    <cfRule type="cellIs" dxfId="541" priority="502" operator="lessThan">
      <formula>0.1</formula>
    </cfRule>
  </conditionalFormatting>
  <conditionalFormatting sqref="E10:H13 U10:X13">
    <cfRule type="cellIs" dxfId="540" priority="344" operator="between">
      <formula>1</formula>
      <formula>9.999</formula>
    </cfRule>
    <cfRule type="cellIs" dxfId="539" priority="346" operator="lessThan">
      <formula>0.1</formula>
    </cfRule>
    <cfRule type="cellIs" dxfId="538" priority="345" operator="between">
      <formula>0.1</formula>
      <formula>0.999</formula>
    </cfRule>
    <cfRule type="cellIs" dxfId="537" priority="342" operator="greaterThan">
      <formula>10000</formula>
    </cfRule>
    <cfRule type="cellIs" dxfId="536" priority="343" operator="between">
      <formula>10</formula>
      <formula>9999.999</formula>
    </cfRule>
  </conditionalFormatting>
  <conditionalFormatting sqref="E10:H13">
    <cfRule type="cellIs" dxfId="535" priority="221" operator="equal">
      <formula>0</formula>
    </cfRule>
  </conditionalFormatting>
  <conditionalFormatting sqref="G18:I20 G23:I24 G28:I29">
    <cfRule type="cellIs" dxfId="534" priority="506" operator="greaterThanOrEqual">
      <formula>$F18</formula>
    </cfRule>
    <cfRule type="cellIs" dxfId="533" priority="507" operator="lessThan">
      <formula>$F18</formula>
    </cfRule>
  </conditionalFormatting>
  <conditionalFormatting sqref="G28:I29">
    <cfRule type="cellIs" dxfId="532" priority="493" stopIfTrue="1" operator="equal">
      <formula>0</formula>
    </cfRule>
    <cfRule type="cellIs" dxfId="531" priority="495" operator="lessThan">
      <formula>0.1</formula>
    </cfRule>
    <cfRule type="containsBlanks" dxfId="530" priority="494" stopIfTrue="1">
      <formula>LEN(TRIM(G28))=0</formula>
    </cfRule>
    <cfRule type="cellIs" dxfId="529" priority="496" operator="lessThan">
      <formula>10</formula>
    </cfRule>
    <cfRule type="cellIs" dxfId="528" priority="497" operator="greaterThanOrEqual">
      <formula>10</formula>
    </cfRule>
  </conditionalFormatting>
  <conditionalFormatting sqref="G33:I34 O18:Q20 O23:Q24 D18 L18 G18:I20 D23 L23 G23:I24 D28 D33 L33">
    <cfRule type="cellIs" dxfId="527" priority="500" stopIfTrue="1" operator="equal">
      <formula>0</formula>
    </cfRule>
  </conditionalFormatting>
  <conditionalFormatting sqref="G33:I34">
    <cfRule type="cellIs" dxfId="526" priority="228" operator="greaterThanOrEqual">
      <formula>$F33</formula>
    </cfRule>
    <cfRule type="cellIs" dxfId="525" priority="227" operator="lessThan">
      <formula>$F33</formula>
    </cfRule>
    <cfRule type="cellIs" dxfId="524" priority="608" operator="greaterThan">
      <formula>0.0001</formula>
    </cfRule>
    <cfRule type="cellIs" dxfId="523" priority="226" operator="greaterThanOrEqual">
      <formula>10</formula>
    </cfRule>
    <cfRule type="cellIs" dxfId="522" priority="222" stopIfTrue="1" operator="equal">
      <formula>0</formula>
    </cfRule>
    <cfRule type="containsBlanks" dxfId="521" priority="223" stopIfTrue="1">
      <formula>LEN(TRIM(G33))=0</formula>
    </cfRule>
    <cfRule type="cellIs" dxfId="520" priority="224" operator="lessThan">
      <formula>0.1</formula>
    </cfRule>
    <cfRule type="cellIs" dxfId="519" priority="225" operator="lessThan">
      <formula>10</formula>
    </cfRule>
    <cfRule type="cellIs" dxfId="518" priority="607" operator="lessThanOrEqual">
      <formula>0.0001</formula>
    </cfRule>
  </conditionalFormatting>
  <conditionalFormatting sqref="K12">
    <cfRule type="containsBlanks" dxfId="517" priority="167" stopIfTrue="1">
      <formula>LEN(TRIM(K12))=0</formula>
    </cfRule>
    <cfRule type="cellIs" dxfId="516" priority="168" operator="lessThan">
      <formula>0.1</formula>
    </cfRule>
    <cfRule type="cellIs" dxfId="515" priority="166" stopIfTrue="1" operator="equal">
      <formula>0</formula>
    </cfRule>
  </conditionalFormatting>
  <conditionalFormatting sqref="L28">
    <cfRule type="cellIs" dxfId="514" priority="463" operator="lessThan">
      <formula>10</formula>
    </cfRule>
    <cfRule type="cellIs" dxfId="513" priority="460" stopIfTrue="1" operator="equal">
      <formula>0</formula>
    </cfRule>
    <cfRule type="containsBlanks" dxfId="512" priority="461" stopIfTrue="1">
      <formula>LEN(TRIM(L28))=0</formula>
    </cfRule>
    <cfRule type="cellIs" dxfId="511" priority="462" operator="lessThan">
      <formula>0.1</formula>
    </cfRule>
    <cfRule type="cellIs" dxfId="510" priority="464" operator="greaterThanOrEqual">
      <formula>10</formula>
    </cfRule>
  </conditionalFormatting>
  <conditionalFormatting sqref="M10:P13">
    <cfRule type="cellIs" dxfId="509" priority="12" operator="lessThan">
      <formula>0.1</formula>
    </cfRule>
    <cfRule type="cellIs" dxfId="508" priority="9" operator="between">
      <formula>10</formula>
      <formula>9999.999</formula>
    </cfRule>
    <cfRule type="cellIs" dxfId="507" priority="7" operator="equal">
      <formula>0</formula>
    </cfRule>
    <cfRule type="cellIs" dxfId="506" priority="8" operator="greaterThan">
      <formula>10000</formula>
    </cfRule>
    <cfRule type="cellIs" dxfId="505" priority="10" operator="between">
      <formula>1</formula>
      <formula>9.999</formula>
    </cfRule>
    <cfRule type="cellIs" dxfId="504" priority="11" operator="between">
      <formula>0.1</formula>
      <formula>0.999</formula>
    </cfRule>
  </conditionalFormatting>
  <conditionalFormatting sqref="O28:P29">
    <cfRule type="cellIs" dxfId="503" priority="116" operator="lessThan">
      <formula>10</formula>
    </cfRule>
    <cfRule type="cellIs" dxfId="502" priority="117" operator="greaterThanOrEqual">
      <formula>10</formula>
    </cfRule>
    <cfRule type="containsBlanks" dxfId="501" priority="114" stopIfTrue="1">
      <formula>LEN(TRIM(O28))=0</formula>
    </cfRule>
    <cfRule type="cellIs" dxfId="500" priority="113" stopIfTrue="1" operator="equal">
      <formula>0</formula>
    </cfRule>
    <cfRule type="cellIs" dxfId="499" priority="115" operator="lessThan">
      <formula>0.1</formula>
    </cfRule>
  </conditionalFormatting>
  <conditionalFormatting sqref="O18:Q18 O20:Q20">
    <cfRule type="cellIs" dxfId="498" priority="557" operator="greaterThanOrEqual">
      <formula>$N18</formula>
    </cfRule>
    <cfRule type="cellIs" dxfId="497" priority="558" operator="lessThan">
      <formula>$N18</formula>
    </cfRule>
  </conditionalFormatting>
  <conditionalFormatting sqref="O18:Q19 O23:Q24 O28:Q29">
    <cfRule type="cellIs" dxfId="496" priority="212" operator="lessThan">
      <formula>$N18</formula>
    </cfRule>
    <cfRule type="cellIs" dxfId="495" priority="153" stopIfTrue="1" operator="equal">
      <formula>0</formula>
    </cfRule>
  </conditionalFormatting>
  <conditionalFormatting sqref="O18:Q19 O23:Q24">
    <cfRule type="cellIs" dxfId="494" priority="214" operator="lessThan">
      <formula>10</formula>
    </cfRule>
  </conditionalFormatting>
  <conditionalFormatting sqref="O19:Q19">
    <cfRule type="cellIs" dxfId="493" priority="215" operator="greaterThanOrEqual">
      <formula>10</formula>
    </cfRule>
    <cfRule type="cellIs" dxfId="492" priority="213" operator="lessThan">
      <formula>0.1</formula>
    </cfRule>
  </conditionalFormatting>
  <conditionalFormatting sqref="O23:Q24 O28:Q29 O18:Q19">
    <cfRule type="containsBlanks" dxfId="491" priority="152" stopIfTrue="1">
      <formula>LEN(TRIM(O18))=0</formula>
    </cfRule>
  </conditionalFormatting>
  <conditionalFormatting sqref="O28:Q29 O18:Q19 O23:Q24">
    <cfRule type="cellIs" dxfId="490" priority="211" operator="greaterThanOrEqual">
      <formula>$N18</formula>
    </cfRule>
  </conditionalFormatting>
  <conditionalFormatting sqref="O28:Q29">
    <cfRule type="cellIs" dxfId="489" priority="177" operator="lessThan">
      <formula>10</formula>
    </cfRule>
    <cfRule type="cellIs" dxfId="488" priority="178" operator="greaterThanOrEqual">
      <formula>10</formula>
    </cfRule>
    <cfRule type="containsBlanks" dxfId="487" priority="156" stopIfTrue="1">
      <formula>LEN(TRIM(O28))=0</formula>
    </cfRule>
    <cfRule type="cellIs" dxfId="486" priority="157" operator="lessThan">
      <formula>0.1</formula>
    </cfRule>
    <cfRule type="cellIs" dxfId="485" priority="159" operator="greaterThanOrEqual">
      <formula>10</formula>
    </cfRule>
    <cfRule type="cellIs" dxfId="484" priority="158" operator="lessThan">
      <formula>10</formula>
    </cfRule>
    <cfRule type="containsBlanks" dxfId="483" priority="175" stopIfTrue="1">
      <formula>LEN(TRIM(O28))=0</formula>
    </cfRule>
    <cfRule type="cellIs" dxfId="482" priority="176" operator="lessThan">
      <formula>0.1</formula>
    </cfRule>
    <cfRule type="cellIs" dxfId="481" priority="174" stopIfTrue="1" operator="equal">
      <formula>0</formula>
    </cfRule>
  </conditionalFormatting>
  <conditionalFormatting sqref="O33:Q34">
    <cfRule type="containsBlanks" dxfId="480" priority="14" stopIfTrue="1">
      <formula>LEN(TRIM(O33))=0</formula>
    </cfRule>
    <cfRule type="cellIs" dxfId="479" priority="25" operator="lessThanOrEqual">
      <formula>0.0001</formula>
    </cfRule>
    <cfRule type="cellIs" dxfId="478" priority="13" stopIfTrue="1" operator="equal">
      <formula>0</formula>
    </cfRule>
    <cfRule type="cellIs" dxfId="477" priority="15" operator="lessThan">
      <formula>0.1</formula>
    </cfRule>
    <cfRule type="cellIs" dxfId="476" priority="16" operator="lessThan">
      <formula>10</formula>
    </cfRule>
    <cfRule type="cellIs" dxfId="475" priority="17" operator="greaterThanOrEqual">
      <formula>10</formula>
    </cfRule>
    <cfRule type="cellIs" dxfId="474" priority="18" operator="lessThan">
      <formula>$F33</formula>
    </cfRule>
    <cfRule type="cellIs" dxfId="473" priority="19" operator="greaterThanOrEqual">
      <formula>$F33</formula>
    </cfRule>
    <cfRule type="cellIs" dxfId="472" priority="20" stopIfTrue="1" operator="equal">
      <formula>0</formula>
    </cfRule>
    <cfRule type="containsBlanks" dxfId="471" priority="21" stopIfTrue="1">
      <formula>LEN(TRIM(O33))=0</formula>
    </cfRule>
    <cfRule type="cellIs" dxfId="470" priority="22" operator="lessThan">
      <formula>0.1</formula>
    </cfRule>
    <cfRule type="cellIs" dxfId="469" priority="23" operator="lessThan">
      <formula>10</formula>
    </cfRule>
    <cfRule type="cellIs" dxfId="468" priority="24" operator="greaterThanOrEqual">
      <formula>10</formula>
    </cfRule>
    <cfRule type="cellIs" dxfId="467" priority="26" operator="greaterThan">
      <formula>0.0001</formula>
    </cfRule>
  </conditionalFormatting>
  <conditionalFormatting sqref="P22">
    <cfRule type="cellIs" dxfId="466" priority="162" stopIfTrue="1" operator="equal">
      <formula>0</formula>
    </cfRule>
    <cfRule type="containsBlanks" dxfId="465" priority="163" stopIfTrue="1">
      <formula>LEN(TRIM(P22))=0</formula>
    </cfRule>
    <cfRule type="cellIs" dxfId="464" priority="164" operator="lessThan">
      <formula>0.1</formula>
    </cfRule>
  </conditionalFormatting>
  <conditionalFormatting sqref="P23:P24">
    <cfRule type="cellIs" dxfId="463" priority="150" operator="greaterThanOrEqual">
      <formula>$N23</formula>
    </cfRule>
    <cfRule type="cellIs" dxfId="462" priority="151" operator="lessThan">
      <formula>$N23</formula>
    </cfRule>
  </conditionalFormatting>
  <conditionalFormatting sqref="P24">
    <cfRule type="cellIs" dxfId="461" priority="141" operator="greaterThanOrEqual">
      <formula>$N24</formula>
    </cfRule>
    <cfRule type="cellIs" dxfId="460" priority="142" operator="lessThan">
      <formula>$N24</formula>
    </cfRule>
    <cfRule type="cellIs" dxfId="459" priority="143" stopIfTrue="1" operator="equal">
      <formula>0</formula>
    </cfRule>
    <cfRule type="containsBlanks" dxfId="458" priority="144" stopIfTrue="1">
      <formula>LEN(TRIM(P24))=0</formula>
    </cfRule>
    <cfRule type="cellIs" dxfId="457" priority="145" operator="lessThan">
      <formula>0.1</formula>
    </cfRule>
    <cfRule type="cellIs" dxfId="456" priority="146" operator="lessThan">
      <formula>10</formula>
    </cfRule>
    <cfRule type="cellIs" dxfId="455" priority="147" operator="greaterThanOrEqual">
      <formula>10</formula>
    </cfRule>
    <cfRule type="cellIs" dxfId="454" priority="148" operator="greaterThanOrEqual">
      <formula>$N24</formula>
    </cfRule>
    <cfRule type="cellIs" dxfId="453" priority="149" operator="lessThan">
      <formula>$N24</formula>
    </cfRule>
  </conditionalFormatting>
  <conditionalFormatting sqref="P28:P29">
    <cfRule type="cellIs" dxfId="452" priority="118" operator="greaterThanOrEqual">
      <formula>$N28</formula>
    </cfRule>
    <cfRule type="cellIs" dxfId="451" priority="137" operator="lessThan">
      <formula>10</formula>
    </cfRule>
    <cfRule type="cellIs" dxfId="450" priority="138" operator="greaterThanOrEqual">
      <formula>10</formula>
    </cfRule>
    <cfRule type="cellIs" dxfId="449" priority="139" operator="greaterThanOrEqual">
      <formula>$N28</formula>
    </cfRule>
    <cfRule type="cellIs" dxfId="448" priority="140" operator="lessThan">
      <formula>$N28</formula>
    </cfRule>
    <cfRule type="cellIs" dxfId="447" priority="136" operator="lessThan">
      <formula>0.1</formula>
    </cfRule>
    <cfRule type="cellIs" dxfId="446" priority="123" operator="lessThan">
      <formula>10</formula>
    </cfRule>
    <cfRule type="containsBlanks" dxfId="445" priority="135" stopIfTrue="1">
      <formula>LEN(TRIM(P28))=0</formula>
    </cfRule>
    <cfRule type="cellIs" dxfId="444" priority="134" stopIfTrue="1" operator="equal">
      <formula>0</formula>
    </cfRule>
    <cfRule type="cellIs" dxfId="443" priority="124" operator="greaterThanOrEqual">
      <formula>10</formula>
    </cfRule>
    <cfRule type="cellIs" dxfId="442" priority="122" operator="lessThan">
      <formula>0.1</formula>
    </cfRule>
    <cfRule type="containsBlanks" dxfId="441" priority="121" stopIfTrue="1">
      <formula>LEN(TRIM(P28))=0</formula>
    </cfRule>
    <cfRule type="cellIs" dxfId="440" priority="120" stopIfTrue="1" operator="equal">
      <formula>0</formula>
    </cfRule>
    <cfRule type="cellIs" dxfId="439" priority="119" operator="lessThan">
      <formula>$N28</formula>
    </cfRule>
  </conditionalFormatting>
  <conditionalFormatting sqref="P29">
    <cfRule type="containsBlanks" dxfId="438" priority="128" stopIfTrue="1">
      <formula>LEN(TRIM(P29))=0</formula>
    </cfRule>
    <cfRule type="cellIs" dxfId="437" priority="129" operator="lessThan">
      <formula>0.1</formula>
    </cfRule>
    <cfRule type="cellIs" dxfId="436" priority="131" operator="greaterThanOrEqual">
      <formula>10</formula>
    </cfRule>
    <cfRule type="cellIs" dxfId="435" priority="132" operator="greaterThanOrEqual">
      <formula>$N29</formula>
    </cfRule>
    <cfRule type="cellIs" dxfId="434" priority="133" operator="lessThan">
      <formula>$N29</formula>
    </cfRule>
    <cfRule type="cellIs" dxfId="433" priority="130" operator="lessThan">
      <formula>10</formula>
    </cfRule>
    <cfRule type="cellIs" dxfId="432" priority="125" operator="greaterThanOrEqual">
      <formula>$N29</formula>
    </cfRule>
    <cfRule type="cellIs" dxfId="431" priority="126" operator="lessThan">
      <formula>$N29</formula>
    </cfRule>
    <cfRule type="cellIs" dxfId="430" priority="127" stopIfTrue="1" operator="equal">
      <formula>0</formula>
    </cfRule>
  </conditionalFormatting>
  <conditionalFormatting sqref="R33:R34 AB33:AB34">
    <cfRule type="containsBlanks" dxfId="429" priority="949" stopIfTrue="1">
      <formula>LEN(TRIM(R33))=0</formula>
    </cfRule>
    <cfRule type="cellIs" dxfId="428" priority="800" operator="equal">
      <formula>0</formula>
    </cfRule>
  </conditionalFormatting>
  <conditionalFormatting sqref="S12">
    <cfRule type="cellIs" dxfId="427" priority="3" operator="lessThan">
      <formula>0.1</formula>
    </cfRule>
    <cfRule type="containsBlanks" dxfId="426" priority="2" stopIfTrue="1">
      <formula>LEN(TRIM(S12))=0</formula>
    </cfRule>
    <cfRule type="cellIs" dxfId="425" priority="1" stopIfTrue="1" operator="equal">
      <formula>0</formula>
    </cfRule>
  </conditionalFormatting>
  <conditionalFormatting sqref="T18 T33">
    <cfRule type="cellIs" dxfId="424" priority="450" operator="greaterThanOrEqual">
      <formula>10</formula>
    </cfRule>
    <cfRule type="cellIs" dxfId="423" priority="449" operator="lessThan">
      <formula>10</formula>
    </cfRule>
    <cfRule type="cellIs" dxfId="422" priority="448" operator="lessThan">
      <formula>0.1</formula>
    </cfRule>
    <cfRule type="containsBlanks" dxfId="421" priority="447" stopIfTrue="1">
      <formula>LEN(TRIM(T18))=0</formula>
    </cfRule>
  </conditionalFormatting>
  <conditionalFormatting sqref="T23">
    <cfRule type="containsBlanks" dxfId="420" priority="328" stopIfTrue="1">
      <formula>LEN(TRIM(T23))=0</formula>
    </cfRule>
    <cfRule type="cellIs" dxfId="419" priority="331" operator="greaterThanOrEqual">
      <formula>10</formula>
    </cfRule>
    <cfRule type="cellIs" dxfId="418" priority="327" stopIfTrue="1" operator="equal">
      <formula>0</formula>
    </cfRule>
    <cfRule type="cellIs" dxfId="417" priority="329" operator="lessThan">
      <formula>0.1</formula>
    </cfRule>
    <cfRule type="cellIs" dxfId="416" priority="330" operator="lessThan">
      <formula>10</formula>
    </cfRule>
  </conditionalFormatting>
  <conditionalFormatting sqref="T28">
    <cfRule type="cellIs" dxfId="415" priority="440" operator="greaterThanOrEqual">
      <formula>10</formula>
    </cfRule>
    <cfRule type="cellIs" dxfId="414" priority="438" operator="lessThan">
      <formula>0.1</formula>
    </cfRule>
    <cfRule type="cellIs" dxfId="413" priority="439" operator="lessThan">
      <formula>10</formula>
    </cfRule>
    <cfRule type="containsBlanks" dxfId="412" priority="437" stopIfTrue="1">
      <formula>LEN(TRIM(T28))=0</formula>
    </cfRule>
    <cfRule type="cellIs" dxfId="411" priority="436" stopIfTrue="1" operator="equal">
      <formula>0</formula>
    </cfRule>
  </conditionalFormatting>
  <conditionalFormatting sqref="T33 T18">
    <cfRule type="cellIs" dxfId="410" priority="446" stopIfTrue="1" operator="equal">
      <formula>0</formula>
    </cfRule>
  </conditionalFormatting>
  <conditionalFormatting sqref="T33">
    <cfRule type="cellIs" dxfId="409" priority="75" operator="lessThan">
      <formula>0.1</formula>
    </cfRule>
    <cfRule type="containsBlanks" dxfId="408" priority="74" stopIfTrue="1">
      <formula>LEN(TRIM(T33))=0</formula>
    </cfRule>
    <cfRule type="cellIs" dxfId="407" priority="73" stopIfTrue="1" operator="equal">
      <formula>0</formula>
    </cfRule>
    <cfRule type="cellIs" dxfId="406" priority="77" operator="greaterThanOrEqual">
      <formula>10</formula>
    </cfRule>
    <cfRule type="cellIs" dxfId="405" priority="76" operator="lessThan">
      <formula>10</formula>
    </cfRule>
    <cfRule type="cellIs" dxfId="404" priority="262" operator="lessThan">
      <formula>10</formula>
    </cfRule>
    <cfRule type="cellIs" dxfId="403" priority="259" stopIfTrue="1" operator="equal">
      <formula>0</formula>
    </cfRule>
    <cfRule type="containsBlanks" dxfId="402" priority="260" stopIfTrue="1">
      <formula>LEN(TRIM(T33))=0</formula>
    </cfRule>
    <cfRule type="cellIs" dxfId="401" priority="261" operator="lessThan">
      <formula>0.1</formula>
    </cfRule>
    <cfRule type="cellIs" dxfId="400" priority="263" operator="greaterThanOrEqual">
      <formula>10</formula>
    </cfRule>
  </conditionalFormatting>
  <conditionalFormatting sqref="W18:Y20 W23:Y24 W28:Y29">
    <cfRule type="cellIs" dxfId="399" priority="432" operator="greaterThanOrEqual">
      <formula>$F18</formula>
    </cfRule>
    <cfRule type="cellIs" dxfId="398" priority="433" operator="lessThan">
      <formula>$F18</formula>
    </cfRule>
  </conditionalFormatting>
  <conditionalFormatting sqref="W18:AA20 W23:AA24">
    <cfRule type="cellIs" dxfId="397" priority="403" operator="lessThan">
      <formula>0.1</formula>
    </cfRule>
    <cfRule type="cellIs" dxfId="396" priority="405" operator="greaterThanOrEqual">
      <formula>10</formula>
    </cfRule>
    <cfRule type="cellIs" dxfId="395" priority="401" stopIfTrue="1" operator="equal">
      <formula>0</formula>
    </cfRule>
    <cfRule type="cellIs" dxfId="394" priority="404" operator="lessThan">
      <formula>10</formula>
    </cfRule>
    <cfRule type="containsBlanks" dxfId="393" priority="402" stopIfTrue="1">
      <formula>LEN(TRIM(W18))=0</formula>
    </cfRule>
  </conditionalFormatting>
  <conditionalFormatting sqref="W28:AA29">
    <cfRule type="cellIs" dxfId="392" priority="387" operator="lessThan">
      <formula>10</formula>
    </cfRule>
    <cfRule type="cellIs" dxfId="391" priority="388" operator="greaterThanOrEqual">
      <formula>10</formula>
    </cfRule>
    <cfRule type="cellIs" dxfId="390" priority="386" operator="lessThan">
      <formula>0.1</formula>
    </cfRule>
    <cfRule type="cellIs" dxfId="389" priority="384" stopIfTrue="1" operator="equal">
      <formula>0</formula>
    </cfRule>
    <cfRule type="containsBlanks" dxfId="388" priority="385" stopIfTrue="1">
      <formula>LEN(TRIM(W28))=0</formula>
    </cfRule>
  </conditionalFormatting>
  <conditionalFormatting sqref="W33:AA34">
    <cfRule type="cellIs" dxfId="387" priority="231" operator="lessThan">
      <formula>0.1</formula>
    </cfRule>
    <cfRule type="cellIs" dxfId="386" priority="232" operator="lessThan">
      <formula>10</formula>
    </cfRule>
    <cfRule type="cellIs" dxfId="385" priority="233" operator="greaterThanOrEqual">
      <formula>10</formula>
    </cfRule>
    <cfRule type="cellIs" dxfId="384" priority="234" operator="lessThan">
      <formula>$F33</formula>
    </cfRule>
    <cfRule type="cellIs" dxfId="383" priority="235" operator="greaterThanOrEqual">
      <formula>$F33</formula>
    </cfRule>
    <cfRule type="cellIs" dxfId="382" priority="229" stopIfTrue="1" operator="equal">
      <formula>0</formula>
    </cfRule>
    <cfRule type="containsBlanks" dxfId="381" priority="230" stopIfTrue="1">
      <formula>LEN(TRIM(W33))=0</formula>
    </cfRule>
  </conditionalFormatting>
  <conditionalFormatting sqref="Y28:Y29">
    <cfRule type="cellIs" dxfId="380" priority="370" operator="lessThan">
      <formula>0.1</formula>
    </cfRule>
    <cfRule type="cellIs" dxfId="379" priority="371" operator="lessThan">
      <formula>10</formula>
    </cfRule>
    <cfRule type="cellIs" dxfId="378" priority="372" operator="greaterThanOrEqual">
      <formula>10</formula>
    </cfRule>
    <cfRule type="cellIs" dxfId="377" priority="368" stopIfTrue="1" operator="equal">
      <formula>0</formula>
    </cfRule>
    <cfRule type="containsBlanks" dxfId="376" priority="369" stopIfTrue="1">
      <formula>LEN(TRIM(Y28))=0</formula>
    </cfRule>
  </conditionalFormatting>
  <conditionalFormatting sqref="Y28:AA28">
    <cfRule type="cellIs" dxfId="375" priority="312" operator="greaterThanOrEqual">
      <formula>10</formula>
    </cfRule>
    <cfRule type="cellIs" dxfId="374" priority="311" operator="lessThan">
      <formula>10</formula>
    </cfRule>
    <cfRule type="cellIs" dxfId="373" priority="310" operator="lessThan">
      <formula>0.1</formula>
    </cfRule>
    <cfRule type="containsBlanks" dxfId="372" priority="309" stopIfTrue="1">
      <formula>LEN(TRIM(Y28))=0</formula>
    </cfRule>
    <cfRule type="cellIs" dxfId="371" priority="308" stopIfTrue="1" operator="equal">
      <formula>0</formula>
    </cfRule>
  </conditionalFormatting>
  <conditionalFormatting sqref="Y28:AA29">
    <cfRule type="cellIs" dxfId="370" priority="301" stopIfTrue="1" operator="equal">
      <formula>0</formula>
    </cfRule>
    <cfRule type="containsBlanks" dxfId="369" priority="302" stopIfTrue="1">
      <formula>LEN(TRIM(Y28))=0</formula>
    </cfRule>
    <cfRule type="cellIs" dxfId="368" priority="303" operator="lessThan">
      <formula>0.1</formula>
    </cfRule>
    <cfRule type="cellIs" dxfId="367" priority="304" operator="lessThan">
      <formula>10</formula>
    </cfRule>
    <cfRule type="cellIs" dxfId="366" priority="305" operator="greaterThanOrEqual">
      <formula>10</formula>
    </cfRule>
  </conditionalFormatting>
  <conditionalFormatting sqref="Z18:Z20 Z23:Z24 Z28:Z29">
    <cfRule type="cellIs" dxfId="365" priority="418" operator="greaterThanOrEqual">
      <formula>$N18</formula>
    </cfRule>
    <cfRule type="cellIs" dxfId="364" priority="419" operator="lessThan">
      <formula>$N18</formula>
    </cfRule>
  </conditionalFormatting>
  <conditionalFormatting sqref="AA18:AA20 AA23:AA24">
    <cfRule type="cellIs" dxfId="363" priority="407" operator="lessThan">
      <formula>$F18</formula>
    </cfRule>
    <cfRule type="cellIs" dxfId="362" priority="406" operator="greaterThanOrEqual">
      <formula>$F18</formula>
    </cfRule>
  </conditionalFormatting>
  <conditionalFormatting sqref="AA28">
    <cfRule type="cellIs" dxfId="361" priority="314" operator="lessThan">
      <formula>$F28</formula>
    </cfRule>
    <cfRule type="cellIs" dxfId="360" priority="313" operator="greaterThanOrEqual">
      <formula>$F28</formula>
    </cfRule>
  </conditionalFormatting>
  <conditionalFormatting sqref="AA28:AA29">
    <cfRule type="cellIs" dxfId="359" priority="390" operator="lessThan">
      <formula>$F28</formula>
    </cfRule>
    <cfRule type="cellIs" dxfId="358" priority="307" operator="lessThan">
      <formula>$F28</formula>
    </cfRule>
    <cfRule type="cellIs" dxfId="357" priority="389" operator="greaterThanOrEqual">
      <formula>$F28</formula>
    </cfRule>
    <cfRule type="cellIs" dxfId="356" priority="306" operator="greaterThanOrEqual">
      <formula>$F28</formula>
    </cfRule>
  </conditionalFormatting>
  <dataValidations count="1">
    <dataValidation allowBlank="1" showErrorMessage="1" sqref="F14:H14 C8 K8 C12 S8 E12" xr:uid="{00000000-0002-0000-0200-000005000000}"/>
  </dataValidations>
  <pageMargins left="0.7" right="0.7" top="0.75" bottom="0.75" header="0.3" footer="0.3"/>
  <pageSetup orientation="portrait" r:id="rId1"/>
  <ignoredErrors>
    <ignoredError sqref="D4"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0688B23-6125-49FA-9B9F-BE3A00B4E2DD}">
          <x14:formula1>
            <xm:f>'List Values'!$D$15:$D$19</xm:f>
          </x14:formula1>
          <xm:sqref>F4</xm:sqref>
        </x14:dataValidation>
        <x14:dataValidation type="list" allowBlank="1" showInputMessage="1" showErrorMessage="1" xr:uid="{44E4887F-EC09-4DD3-A7BB-3FED90528BBA}">
          <x14:formula1>
            <xm:f>'List Values'!$D$22:$D$24</xm:f>
          </x14:formula1>
          <xm:sqref>G4</xm:sqref>
        </x14:dataValidation>
        <x14:dataValidation type="list" allowBlank="1" showInputMessage="1" showErrorMessage="1" xr:uid="{7A257FB3-03C7-4DEF-9441-F0399894DF14}">
          <x14:formula1>
            <xm:f>'List Values'!$B$2:$B$17</xm:f>
          </x14:formula1>
          <xm:sqref>C4</xm:sqref>
        </x14:dataValidation>
        <x14:dataValidation type="list" allowBlank="1" showInputMessage="1" showErrorMessage="1" xr:uid="{3D820074-6605-408F-8FB7-476692367AAF}">
          <x14:formula1>
            <xm:f>'List Values'!D6:D7</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8A6-1677-465E-88B2-1343E7284108}">
  <sheetPr codeName="Sheet3">
    <tabColor rgb="FF92D050"/>
  </sheetPr>
  <dimension ref="A1:Z56"/>
  <sheetViews>
    <sheetView zoomScale="85" zoomScaleNormal="85" workbookViewId="0">
      <selection activeCell="L20" sqref="L20"/>
    </sheetView>
  </sheetViews>
  <sheetFormatPr defaultColWidth="8.85546875" defaultRowHeight="12.75" x14ac:dyDescent="0.25"/>
  <cols>
    <col min="1" max="1" width="2.140625" style="26" customWidth="1"/>
    <col min="2" max="2" width="8.42578125" style="27" hidden="1" customWidth="1"/>
    <col min="3" max="3" width="17.140625" style="56" customWidth="1"/>
    <col min="4" max="4" width="13.5703125" style="232" customWidth="1"/>
    <col min="5" max="5" width="15.85546875" style="56" customWidth="1"/>
    <col min="6" max="6" width="13.42578125" style="56" customWidth="1"/>
    <col min="7" max="7" width="2.140625" style="26" customWidth="1"/>
    <col min="8" max="8" width="15" style="26" customWidth="1"/>
    <col min="9" max="9" width="23" style="26" customWidth="1"/>
    <col min="10" max="10" width="17.42578125" style="26" customWidth="1"/>
    <col min="11" max="11" width="15.5703125" style="26" customWidth="1"/>
    <col min="12" max="14" width="21.5703125" style="26" customWidth="1"/>
    <col min="15" max="15" width="10.140625" style="26" bestFit="1" customWidth="1"/>
    <col min="16" max="16" width="11.140625" style="26" bestFit="1" customWidth="1"/>
    <col min="17" max="17" width="2.85546875" style="26" customWidth="1"/>
    <col min="18" max="18" width="23.140625" style="26" customWidth="1"/>
    <col min="19" max="19" width="18.140625" style="26" customWidth="1"/>
    <col min="20" max="20" width="21.140625" style="26" customWidth="1"/>
    <col min="21" max="23" width="23.140625" style="26" customWidth="1"/>
    <col min="24" max="24" width="17" style="26" customWidth="1"/>
    <col min="25" max="25" width="13.140625" style="26" customWidth="1"/>
    <col min="26" max="16384" width="8.85546875" style="26"/>
  </cols>
  <sheetData>
    <row r="1" spans="2:26" ht="13.5" thickBot="1" x14ac:dyDescent="0.3">
      <c r="C1" s="26"/>
      <c r="D1" s="27"/>
      <c r="E1" s="26"/>
      <c r="F1" s="26"/>
    </row>
    <row r="2" spans="2:26" ht="29.1" customHeight="1" thickBot="1" x14ac:dyDescent="0.3">
      <c r="C2" s="30" t="s">
        <v>62</v>
      </c>
      <c r="D2" s="230" t="s">
        <v>63</v>
      </c>
      <c r="E2" s="231"/>
      <c r="F2" s="35" t="s">
        <v>65</v>
      </c>
      <c r="J2" s="28"/>
      <c r="K2" s="28"/>
      <c r="U2" s="28"/>
    </row>
    <row r="3" spans="2:26" ht="51" x14ac:dyDescent="0.25">
      <c r="C3" s="37" t="s">
        <v>66</v>
      </c>
      <c r="D3" s="38" t="s">
        <v>67</v>
      </c>
      <c r="E3" s="39"/>
      <c r="F3" s="42" t="s">
        <v>70</v>
      </c>
      <c r="J3" s="28"/>
    </row>
    <row r="4" spans="2:26" ht="23.25" customHeight="1" x14ac:dyDescent="0.25">
      <c r="C4" s="43" t="s">
        <v>139</v>
      </c>
      <c r="D4" s="44" t="str">
        <f>_xlfn.XLOOKUP($C$4,Inhalation_Exp[OES],Inhalation_Exp[Data Type])</f>
        <v>Monitoring Data</v>
      </c>
      <c r="E4" s="45"/>
      <c r="F4" s="48" t="s">
        <v>72</v>
      </c>
      <c r="J4" s="28"/>
    </row>
    <row r="5" spans="2:26" ht="24.75" customHeight="1" x14ac:dyDescent="0.25">
      <c r="I5" s="28"/>
      <c r="J5" s="28"/>
      <c r="K5" s="50"/>
      <c r="L5" s="50"/>
      <c r="M5" s="50"/>
      <c r="N5" s="233"/>
    </row>
    <row r="6" spans="2:26" ht="15.75" x14ac:dyDescent="0.25">
      <c r="I6" s="234" t="s">
        <v>140</v>
      </c>
      <c r="J6" s="29"/>
      <c r="K6" s="28"/>
      <c r="L6" s="50"/>
      <c r="M6" s="50"/>
      <c r="N6" s="28"/>
      <c r="R6" s="234" t="s">
        <v>65</v>
      </c>
      <c r="U6" s="56"/>
      <c r="V6" s="50"/>
      <c r="W6" s="28"/>
    </row>
    <row r="7" spans="2:26" ht="15.75" customHeight="1" thickBot="1" x14ac:dyDescent="0.3">
      <c r="I7" s="235" t="s">
        <v>75</v>
      </c>
      <c r="J7" s="27"/>
      <c r="N7" s="50"/>
      <c r="R7" s="235" t="s">
        <v>75</v>
      </c>
      <c r="T7" s="56"/>
      <c r="U7" s="50"/>
    </row>
    <row r="8" spans="2:26" ht="23.25" customHeight="1" x14ac:dyDescent="0.25">
      <c r="I8" s="57" t="s">
        <v>76</v>
      </c>
      <c r="J8" s="120" t="s">
        <v>77</v>
      </c>
      <c r="K8" s="59" t="s">
        <v>141</v>
      </c>
      <c r="L8" s="59" t="s">
        <v>79</v>
      </c>
      <c r="M8" s="59" t="s">
        <v>142</v>
      </c>
      <c r="N8" s="60" t="s">
        <v>143</v>
      </c>
      <c r="R8" s="57" t="s">
        <v>76</v>
      </c>
      <c r="S8" s="120" t="s">
        <v>77</v>
      </c>
      <c r="T8" s="59" t="s">
        <v>144</v>
      </c>
      <c r="U8" s="59" t="s">
        <v>79</v>
      </c>
      <c r="V8" s="59" t="s">
        <v>145</v>
      </c>
      <c r="W8" s="60" t="s">
        <v>146</v>
      </c>
    </row>
    <row r="9" spans="2:26" ht="27" customHeight="1" x14ac:dyDescent="0.25">
      <c r="H9" s="27"/>
      <c r="I9" s="68"/>
      <c r="J9" s="130"/>
      <c r="K9" s="74" t="s">
        <v>83</v>
      </c>
      <c r="L9" s="74" t="s">
        <v>84</v>
      </c>
      <c r="M9" s="74" t="s">
        <v>85</v>
      </c>
      <c r="N9" s="75" t="s">
        <v>86</v>
      </c>
      <c r="R9" s="68"/>
      <c r="S9" s="130"/>
      <c r="T9" s="74" t="s">
        <v>147</v>
      </c>
      <c r="U9" s="74" t="s">
        <v>84</v>
      </c>
      <c r="V9" s="74" t="s">
        <v>148</v>
      </c>
      <c r="W9" s="75" t="s">
        <v>149</v>
      </c>
    </row>
    <row r="10" spans="2:26" ht="12.75" customHeight="1" x14ac:dyDescent="0.25">
      <c r="H10" s="27"/>
      <c r="I10" s="78" t="str">
        <f>$F$4</f>
        <v>Female of Reproductive Age</v>
      </c>
      <c r="J10" s="236" t="s">
        <v>90</v>
      </c>
      <c r="K10" s="237">
        <f>SUMIFS(Inhalation_Exp[24hr_High-End],Inhalation_Exp[OES],$C$4,Inhalation_Exp[Worker Type],$I10,Inhalation_Exp[Data Type],$D$4)</f>
        <v>0.13807386952019329</v>
      </c>
      <c r="L10" s="237">
        <f>SUMIFS(Inhalation_Exp[Int_High-End],Inhalation_Exp[OES],$C$4,Inhalation_Exp[Worker Type],$I10,Inhalation_Exp[Data Type],$D$4)</f>
        <v>0.10125417098147509</v>
      </c>
      <c r="M10" s="237">
        <f>SUMIFS(Inhalation_Exp[ADD_High-End],Inhalation_Exp[OES],$C$4,Inhalation_Exp[Worker Type],$I10,Inhalation_Exp[Data Type],$D$4)</f>
        <v>9.4571143506981703E-2</v>
      </c>
      <c r="N10" s="238">
        <f>SUMIFS(Inhalation_Exp[LADD_High-End],Inhalation_Exp[OES],$C$4,Inhalation_Exp[Worker Type],$I10,Inhalation_Exp[Data Type],$D$4)</f>
        <v>4.8498022311272669E-2</v>
      </c>
      <c r="R10" s="78" t="str">
        <f>$F$4</f>
        <v>Female of Reproductive Age</v>
      </c>
      <c r="S10" s="236" t="s">
        <v>90</v>
      </c>
      <c r="T10" s="237">
        <f>SUMIFS(Dermal_Exp[High-End AD (mg/kg-day)],Dermal_Exp[Worker Type],$R$10,Dermal_Exp[OES],$C$4)</f>
        <v>2.3069521178637196</v>
      </c>
      <c r="U10" s="237">
        <f>SUMIFS(Dermal_Exp[High-End IADD (mg/kg-day)],Dermal_Exp[Worker Type],$R$10,Dermal_Exp[OES],$C$4)</f>
        <v>1.6917648864333943</v>
      </c>
      <c r="V10" s="237">
        <f>SUMIFS(Dermal_Exp[High-End ADD (mg/kg-day)],Dermal_Exp[Worker Type],$R$10,Dermal_Exp[OES],$C$4)</f>
        <v>1.5801041903176161</v>
      </c>
      <c r="W10" s="238">
        <f>SUMIFS(Dermal_Exp[High-End LADD (mg/kg-day)],Dermal_Exp[Worker Type],$R$10,Dermal_Exp[OES],$C$4)</f>
        <v>0.81030984118852112</v>
      </c>
      <c r="Z10" s="239"/>
    </row>
    <row r="11" spans="2:26" x14ac:dyDescent="0.25">
      <c r="H11" s="27"/>
      <c r="I11" s="88"/>
      <c r="J11" s="240" t="s">
        <v>91</v>
      </c>
      <c r="K11" s="241">
        <f>SUMIFS(Inhalation_Exp[24hr_Central Tendency],Inhalation_Exp[OES],$C$4,Inhalation_Exp[Worker Type],$I10,Inhalation_Exp[Data Type],$D$4)</f>
        <v>6.9036934760096647E-2</v>
      </c>
      <c r="L11" s="241">
        <f>SUMIFS(Inhalation_Exp[Int_Central Tendency],Inhalation_Exp[OES],$C$4,Inhalation_Exp[Worker Type],$I10,Inhalation_Exp[Data Type],$D$4)</f>
        <v>5.0627085490737543E-2</v>
      </c>
      <c r="M11" s="241">
        <f>SUMIFS(Inhalation_Exp[ADD_Central Tendency],Inhalation_Exp[OES],$C$4,Inhalation_Exp[Worker Type],$I10,Inhalation_Exp[Data Type],$D$4)</f>
        <v>4.7285571753490852E-2</v>
      </c>
      <c r="N11" s="242">
        <f>SUMIFS(Inhalation_Exp[LADD_Central Tendency],Inhalation_Exp[OES],$C$4,Inhalation_Exp[Worker Type],$I10,Inhalation_Exp[Data Type],$D$4)</f>
        <v>1.8792983645618159E-2</v>
      </c>
      <c r="R11" s="88"/>
      <c r="S11" s="240" t="s">
        <v>91</v>
      </c>
      <c r="T11" s="241">
        <f>SUMIFS(Dermal_Exp[Central Tendency AD (mg/kg-day)],Dermal_Exp[Worker Type],$R$10,Dermal_Exp[OES],$C$4)</f>
        <v>1.1534760589318598</v>
      </c>
      <c r="U11" s="241">
        <f>SUMIFS(Dermal_Exp[Central Tendency IADD (mg/kg-day)],Dermal_Exp[Worker Type],$R$10,Dermal_Exp[OES],$C$4)</f>
        <v>0.84588244321669714</v>
      </c>
      <c r="V11" s="241">
        <f>SUMIFS(Dermal_Exp[Central Tendency ADD (mg/kg-day)],Dermal_Exp[Worker Type],$R$10,Dermal_Exp[OES],$C$4)</f>
        <v>0.79005209515880803</v>
      </c>
      <c r="W11" s="242">
        <f>SUMIFS(Dermal_Exp[Central Tendency LADD (mg/kg-day)],Dermal_Exp[Worker Type],$R$10,Dermal_Exp[OES],$C$4)</f>
        <v>0.31399506346055195</v>
      </c>
      <c r="Z11" s="239"/>
    </row>
    <row r="12" spans="2:26" ht="12.75" customHeight="1" x14ac:dyDescent="0.25">
      <c r="H12" s="27"/>
      <c r="R12" s="243"/>
      <c r="S12" s="244"/>
      <c r="T12" s="245"/>
      <c r="U12" s="245"/>
      <c r="V12" s="245"/>
      <c r="W12" s="245"/>
      <c r="Z12" s="239"/>
    </row>
    <row r="13" spans="2:26" ht="15.75" customHeight="1" x14ac:dyDescent="0.25">
      <c r="H13" s="27"/>
      <c r="I13" s="27"/>
      <c r="J13" s="56"/>
      <c r="K13" s="245"/>
      <c r="L13" s="245"/>
      <c r="M13" s="245"/>
      <c r="N13" s="245"/>
      <c r="R13" s="246"/>
      <c r="S13" s="244"/>
      <c r="T13" s="245"/>
      <c r="U13" s="245"/>
      <c r="V13" s="245"/>
      <c r="W13" s="245"/>
    </row>
    <row r="14" spans="2:26" s="28" customFormat="1" x14ac:dyDescent="0.25">
      <c r="B14" s="29"/>
      <c r="C14" s="61"/>
      <c r="D14" s="61"/>
      <c r="E14" s="61"/>
      <c r="F14" s="61"/>
      <c r="G14" s="61"/>
      <c r="H14" s="49"/>
      <c r="I14" s="50"/>
      <c r="K14" s="49"/>
      <c r="L14" s="49"/>
      <c r="M14" s="49"/>
      <c r="N14" s="49"/>
      <c r="O14" s="49"/>
      <c r="P14" s="49"/>
      <c r="R14" s="61"/>
      <c r="S14" s="49"/>
      <c r="T14" s="50"/>
      <c r="V14" s="49"/>
    </row>
    <row r="15" spans="2:26" s="28" customFormat="1" ht="16.5" thickBot="1" x14ac:dyDescent="0.3">
      <c r="B15" s="29"/>
      <c r="C15" s="50"/>
      <c r="D15" s="112"/>
      <c r="E15" s="112"/>
      <c r="F15" s="112"/>
      <c r="G15" s="115"/>
      <c r="H15" s="247" t="s">
        <v>150</v>
      </c>
      <c r="I15" s="50"/>
      <c r="K15" s="49"/>
      <c r="L15" s="248"/>
      <c r="M15" s="248"/>
      <c r="N15" s="249"/>
      <c r="O15" s="249"/>
      <c r="R15" s="250" t="s">
        <v>151</v>
      </c>
      <c r="S15" s="165"/>
      <c r="T15" s="165"/>
    </row>
    <row r="16" spans="2:26" s="28" customFormat="1" ht="12.75" customHeight="1" x14ac:dyDescent="0.25">
      <c r="B16" s="29"/>
      <c r="C16" s="251" t="s">
        <v>152</v>
      </c>
      <c r="D16" s="251" t="s">
        <v>153</v>
      </c>
      <c r="E16" s="251"/>
      <c r="F16" s="252" t="s">
        <v>154</v>
      </c>
      <c r="G16" s="253"/>
      <c r="H16" s="118" t="s">
        <v>155</v>
      </c>
      <c r="I16" s="120" t="s">
        <v>77</v>
      </c>
      <c r="J16" s="38" t="s">
        <v>98</v>
      </c>
      <c r="K16" s="38" t="str">
        <f>_xlfn.CONCAT("Exposure Estimates: ",$F$4," MOE")</f>
        <v>Exposure Estimates: Female of Reproductive Age MOE</v>
      </c>
      <c r="L16" s="254"/>
      <c r="M16" s="254"/>
      <c r="N16" s="254"/>
      <c r="O16" s="254"/>
      <c r="P16" s="39"/>
      <c r="Q16" s="253"/>
      <c r="R16" s="118" t="s">
        <v>97</v>
      </c>
      <c r="S16" s="120" t="s">
        <v>77</v>
      </c>
      <c r="T16" s="58" t="s">
        <v>98</v>
      </c>
      <c r="U16" s="255" t="str">
        <f>_xlfn.CONCAT("Exposure Estimates: ",$F$4," MOE")</f>
        <v>Exposure Estimates: Female of Reproductive Age MOE</v>
      </c>
      <c r="V16" s="254"/>
      <c r="W16" s="254"/>
      <c r="X16" s="39"/>
    </row>
    <row r="17" spans="1:24" s="28" customFormat="1" ht="12.75" customHeight="1" x14ac:dyDescent="0.25">
      <c r="B17" s="29"/>
      <c r="C17" s="256"/>
      <c r="D17" s="256"/>
      <c r="E17" s="256"/>
      <c r="F17" s="257"/>
      <c r="G17" s="258"/>
      <c r="H17" s="161"/>
      <c r="I17" s="130"/>
      <c r="J17" s="259"/>
      <c r="K17" s="260"/>
      <c r="L17" s="261" t="s">
        <v>156</v>
      </c>
      <c r="M17" s="262"/>
      <c r="N17" s="262"/>
      <c r="O17" s="262"/>
      <c r="P17" s="263"/>
      <c r="Q17" s="258"/>
      <c r="R17" s="161"/>
      <c r="S17" s="130"/>
      <c r="T17" s="69"/>
      <c r="U17" s="264" t="s">
        <v>157</v>
      </c>
      <c r="V17" s="265" t="s">
        <v>158</v>
      </c>
      <c r="W17" s="265"/>
      <c r="X17" s="265"/>
    </row>
    <row r="18" spans="1:24" s="28" customFormat="1" x14ac:dyDescent="0.25">
      <c r="B18" s="29"/>
      <c r="C18" s="256"/>
      <c r="D18" s="266"/>
      <c r="E18" s="266"/>
      <c r="F18" s="257"/>
      <c r="G18" s="258"/>
      <c r="H18" s="267"/>
      <c r="I18" s="130"/>
      <c r="J18" s="131"/>
      <c r="K18" s="74" t="s">
        <v>159</v>
      </c>
      <c r="L18" s="74">
        <f>'List Values'!$D$15</f>
        <v>10</v>
      </c>
      <c r="M18" s="74">
        <f>'List Values'!$D$16</f>
        <v>25</v>
      </c>
      <c r="N18" s="74">
        <f>'List Values'!$D$17</f>
        <v>50</v>
      </c>
      <c r="O18" s="74">
        <f>'List Values'!$D$18</f>
        <v>1000</v>
      </c>
      <c r="P18" s="75">
        <f>'List Values'!$D$19</f>
        <v>10000</v>
      </c>
      <c r="Q18" s="258"/>
      <c r="R18" s="128"/>
      <c r="S18" s="130"/>
      <c r="T18" s="69"/>
      <c r="U18" s="268"/>
      <c r="V18" s="269">
        <f>'List Values'!D22</f>
        <v>5</v>
      </c>
      <c r="W18" s="269">
        <f>'List Values'!$D$23</f>
        <v>10</v>
      </c>
      <c r="X18" s="270">
        <f>'List Values'!$D$24</f>
        <v>20</v>
      </c>
    </row>
    <row r="19" spans="1:24" s="28" customFormat="1" ht="19.5" customHeight="1" x14ac:dyDescent="0.25">
      <c r="B19" s="233" t="s">
        <v>106</v>
      </c>
      <c r="C19" s="271" t="s">
        <v>160</v>
      </c>
      <c r="D19" s="272" t="str">
        <f>_xlfn.XLOOKUP($B19,Tox_Table[Code],Tox_Table[Health Effect])</f>
        <v>↓ Fetal testicular testosterone</v>
      </c>
      <c r="E19" s="272">
        <f>_xlfn.XLOOKUP($B19,Tox_Table[Code],Tox_Table[Endpoint])</f>
        <v>0</v>
      </c>
      <c r="F19" s="273">
        <f>_xlfn.XLOOKUP($B19,Tox_Table[Code],Tox_Table[Study])</f>
        <v>0</v>
      </c>
      <c r="G19" s="274"/>
      <c r="H19" s="275">
        <f>_xlfn.XLOOKUP($B19, Tox_Table[Code],Tox_Table[HED / POD (mg/kg/day)], FALSE)</f>
        <v>2.1</v>
      </c>
      <c r="I19" s="276" t="s">
        <v>90</v>
      </c>
      <c r="J19" s="139">
        <f>_xlfn.XLOOKUP($B19,Tox_Table[Code],Tox_Table[Benchmark MOE])</f>
        <v>30</v>
      </c>
      <c r="K19" s="141">
        <f>IFERROR($H19/$K10, "")</f>
        <v>15.209250000000003</v>
      </c>
      <c r="L19" s="141">
        <f t="shared" ref="L19:P20" si="0">IFERROR($H$19/($K10/L$18), "")</f>
        <v>152.09250000000003</v>
      </c>
      <c r="M19" s="141">
        <f t="shared" si="0"/>
        <v>380.23125000000005</v>
      </c>
      <c r="N19" s="141">
        <f t="shared" si="0"/>
        <v>760.46250000000009</v>
      </c>
      <c r="O19" s="141">
        <f t="shared" si="0"/>
        <v>15209.250000000002</v>
      </c>
      <c r="P19" s="146">
        <f t="shared" si="0"/>
        <v>152092.50000000003</v>
      </c>
      <c r="Q19" s="274"/>
      <c r="R19" s="277">
        <f>_xlfn.XLOOKUP($B19, Tox_Table[Code],Tox_Table[HED / POD (mg/kg/day)], FALSE)</f>
        <v>2.1</v>
      </c>
      <c r="S19" s="138" t="s">
        <v>90</v>
      </c>
      <c r="T19" s="139">
        <f>_xlfn.XLOOKUP($B19,Tox_Table[Code],Tox_Table[Benchmark MOE])</f>
        <v>30</v>
      </c>
      <c r="U19" s="278">
        <f>IFERROR(($R$19/$T10), "")</f>
        <v>0.91029197517312976</v>
      </c>
      <c r="V19" s="141">
        <f>IFERROR(($R$19/($T10/$V$18)), "")</f>
        <v>4.5514598758656488</v>
      </c>
      <c r="W19" s="141">
        <f>IFERROR(($R$19/($T10/$W$18)), "")</f>
        <v>9.1029197517312976</v>
      </c>
      <c r="X19" s="146">
        <f>IFERROR(($R$19/($T10/$X$18)), "")</f>
        <v>18.205839503462595</v>
      </c>
    </row>
    <row r="20" spans="1:24" s="28" customFormat="1" ht="19.5" customHeight="1" x14ac:dyDescent="0.25">
      <c r="B20" s="233" t="s">
        <v>106</v>
      </c>
      <c r="C20" s="279"/>
      <c r="D20" s="280"/>
      <c r="E20" s="280"/>
      <c r="F20" s="281"/>
      <c r="G20" s="274"/>
      <c r="H20" s="282"/>
      <c r="I20" s="283" t="s">
        <v>91</v>
      </c>
      <c r="J20" s="150">
        <f>_xlfn.XLOOKUP($B20,Tox_Table[Code],Tox_Table[Benchmark MOE])</f>
        <v>30</v>
      </c>
      <c r="K20" s="158">
        <f>IFERROR($H19/$K$11, "")</f>
        <v>30.418500000000005</v>
      </c>
      <c r="L20" s="152">
        <f t="shared" si="0"/>
        <v>304.18500000000006</v>
      </c>
      <c r="M20" s="152">
        <f t="shared" si="0"/>
        <v>760.46250000000009</v>
      </c>
      <c r="N20" s="152">
        <f t="shared" si="0"/>
        <v>1520.9250000000002</v>
      </c>
      <c r="O20" s="152">
        <f t="shared" si="0"/>
        <v>30418.500000000004</v>
      </c>
      <c r="P20" s="284">
        <f t="shared" si="0"/>
        <v>304185.00000000006</v>
      </c>
      <c r="Q20" s="274"/>
      <c r="R20" s="285"/>
      <c r="S20" s="149" t="s">
        <v>91</v>
      </c>
      <c r="T20" s="150">
        <f>_xlfn.XLOOKUP($B20,Tox_Table[Code],Tox_Table[Benchmark MOE])</f>
        <v>30</v>
      </c>
      <c r="U20" s="152">
        <f>IFERROR(($R$19/$T11), "")</f>
        <v>1.8205839503462595</v>
      </c>
      <c r="V20" s="152">
        <f>IFERROR(($R$19/($T11/$V$18)), "")</f>
        <v>9.1029197517312976</v>
      </c>
      <c r="W20" s="152">
        <f>IFERROR(($R$19/($T11/$W$18)), "")</f>
        <v>18.205839503462595</v>
      </c>
      <c r="X20" s="284">
        <f>IFERROR(($R$19/($T11/$X$18)), "")</f>
        <v>36.411679006925191</v>
      </c>
    </row>
    <row r="21" spans="1:24" s="28" customFormat="1" ht="19.5" customHeight="1" x14ac:dyDescent="0.25">
      <c r="B21" s="233" t="s">
        <v>111</v>
      </c>
      <c r="C21" s="271" t="s">
        <v>161</v>
      </c>
      <c r="D21" s="272" t="str">
        <f>_xlfn.XLOOKUP($B21,Tox_Table[Code],Tox_Table[Health Effect])</f>
        <v>↓ Fetal testicular testosterone</v>
      </c>
      <c r="E21" s="272">
        <f>_xlfn.XLOOKUP($B21,Tox_Table[Code],Tox_Table[Endpoint])</f>
        <v>0</v>
      </c>
      <c r="F21" s="273">
        <f>_xlfn.XLOOKUP($B21,Tox_Table[Code],Tox_Table[Study])</f>
        <v>0</v>
      </c>
      <c r="G21" s="274"/>
      <c r="H21" s="275">
        <f>_xlfn.XLOOKUP($B21, Tox_Table[Code],Tox_Table[HED / POD (mg/kg/day)], FALSE)</f>
        <v>2.1</v>
      </c>
      <c r="I21" s="276" t="s">
        <v>90</v>
      </c>
      <c r="J21" s="139">
        <f>_xlfn.XLOOKUP($B21,Tox_Table[Code],Tox_Table[Benchmark MOE])</f>
        <v>30</v>
      </c>
      <c r="K21" s="141">
        <f>IFERROR($H21/$L10, "")</f>
        <v>20.739886363636366</v>
      </c>
      <c r="L21" s="141">
        <f t="shared" ref="L21:P22" si="1">IFERROR($H$21/($L10/L$18), "")</f>
        <v>207.39886363636364</v>
      </c>
      <c r="M21" s="141">
        <f t="shared" si="1"/>
        <v>518.49715909090912</v>
      </c>
      <c r="N21" s="141">
        <f t="shared" si="1"/>
        <v>1036.9943181818182</v>
      </c>
      <c r="O21" s="141">
        <f t="shared" si="1"/>
        <v>20739.886363636364</v>
      </c>
      <c r="P21" s="146">
        <f t="shared" si="1"/>
        <v>207398.86363636368</v>
      </c>
      <c r="Q21" s="274"/>
      <c r="R21" s="277">
        <f>_xlfn.XLOOKUP($B21, Tox_Table[Code],Tox_Table[HED / POD (mg/kg/day)], FALSE)</f>
        <v>2.1</v>
      </c>
      <c r="S21" s="138" t="s">
        <v>90</v>
      </c>
      <c r="T21" s="139">
        <f>_xlfn.XLOOKUP($B21,Tox_Table[Code],Tox_Table[Benchmark MOE])</f>
        <v>30</v>
      </c>
      <c r="U21" s="141">
        <f>IFERROR(($R$21/$U10), "")</f>
        <v>1.2413072388724498</v>
      </c>
      <c r="V21" s="141">
        <f t="shared" ref="V21:X22" si="2">IFERROR(($R$21/($U10/V$18)), "")</f>
        <v>6.2065361943622488</v>
      </c>
      <c r="W21" s="141">
        <f t="shared" si="2"/>
        <v>12.413072388724498</v>
      </c>
      <c r="X21" s="146">
        <f t="shared" si="2"/>
        <v>24.826144777448995</v>
      </c>
    </row>
    <row r="22" spans="1:24" s="28" customFormat="1" ht="19.5" customHeight="1" thickBot="1" x14ac:dyDescent="0.3">
      <c r="B22" s="233" t="s">
        <v>111</v>
      </c>
      <c r="C22" s="279"/>
      <c r="D22" s="280"/>
      <c r="E22" s="280"/>
      <c r="F22" s="281"/>
      <c r="G22" s="274"/>
      <c r="H22" s="282"/>
      <c r="I22" s="283" t="s">
        <v>91</v>
      </c>
      <c r="J22" s="150">
        <f>_xlfn.XLOOKUP($B22,Tox_Table[Code],Tox_Table[Benchmark MOE])</f>
        <v>30</v>
      </c>
      <c r="K22" s="152">
        <f>IFERROR($H21/$L11, "")</f>
        <v>41.479772727272731</v>
      </c>
      <c r="L22" s="152">
        <f t="shared" si="1"/>
        <v>414.79772727272729</v>
      </c>
      <c r="M22" s="152">
        <f t="shared" si="1"/>
        <v>1036.9943181818182</v>
      </c>
      <c r="N22" s="152">
        <f t="shared" si="1"/>
        <v>2073.9886363636365</v>
      </c>
      <c r="O22" s="152">
        <f t="shared" si="1"/>
        <v>41479.772727272728</v>
      </c>
      <c r="P22" s="284">
        <f t="shared" si="1"/>
        <v>414797.72727272735</v>
      </c>
      <c r="Q22" s="274"/>
      <c r="R22" s="285"/>
      <c r="S22" s="149" t="s">
        <v>91</v>
      </c>
      <c r="T22" s="150">
        <f>_xlfn.XLOOKUP($B22,Tox_Table[Code],Tox_Table[Benchmark MOE])</f>
        <v>30</v>
      </c>
      <c r="U22" s="152">
        <f>IFERROR(($R$21/$U11), "")</f>
        <v>2.4826144777448995</v>
      </c>
      <c r="V22" s="152">
        <f t="shared" si="2"/>
        <v>12.413072388724498</v>
      </c>
      <c r="W22" s="152">
        <f t="shared" si="2"/>
        <v>24.826144777448995</v>
      </c>
      <c r="X22" s="284">
        <f t="shared" si="2"/>
        <v>49.65228955489799</v>
      </c>
    </row>
    <row r="23" spans="1:24" s="28" customFormat="1" ht="19.5" customHeight="1" x14ac:dyDescent="0.25">
      <c r="B23" s="233" t="s">
        <v>117</v>
      </c>
      <c r="C23" s="271" t="s">
        <v>162</v>
      </c>
      <c r="D23" s="272" t="str">
        <f>_xlfn.XLOOKUP($B23,Tox_Table[Code],Tox_Table[Health Effect])</f>
        <v>↓ Fetal testicular testosterone</v>
      </c>
      <c r="E23" s="272">
        <f>_xlfn.XLOOKUP($B23,Tox_Table[Code],Tox_Table[Endpoint])</f>
        <v>0</v>
      </c>
      <c r="F23" s="273">
        <f>_xlfn.XLOOKUP($B23,Tox_Table[Code],Tox_Table[Study])</f>
        <v>0</v>
      </c>
      <c r="G23" s="286"/>
      <c r="H23" s="275">
        <f>_xlfn.XLOOKUP($B23, Tox_Table[Code],Tox_Table[HED / POD (mg/kg/day)], FALSE)</f>
        <v>2.1</v>
      </c>
      <c r="I23" s="276" t="s">
        <v>90</v>
      </c>
      <c r="J23" s="139">
        <f>_xlfn.XLOOKUP($B23,Tox_Table[Code],Tox_Table[Benchmark MOE])</f>
        <v>30</v>
      </c>
      <c r="K23" s="141">
        <f>IFERROR($H23/$M10, "")</f>
        <v>22.205505000000002</v>
      </c>
      <c r="L23" s="141">
        <f t="shared" ref="L23:P24" si="3">IFERROR($H$23/($M10/L$18), "")</f>
        <v>222.05505000000002</v>
      </c>
      <c r="M23" s="141">
        <f t="shared" si="3"/>
        <v>555.13762500000007</v>
      </c>
      <c r="N23" s="141">
        <f t="shared" si="3"/>
        <v>1110.2752500000001</v>
      </c>
      <c r="O23" s="141">
        <f t="shared" si="3"/>
        <v>22205.505000000005</v>
      </c>
      <c r="P23" s="146">
        <f t="shared" si="3"/>
        <v>222055.05000000002</v>
      </c>
      <c r="Q23" s="286"/>
      <c r="R23" s="277">
        <f>_xlfn.XLOOKUP($B23, Tox_Table[Code],Tox_Table[HED / POD (mg/kg/day)], FALSE)</f>
        <v>2.1</v>
      </c>
      <c r="S23" s="138" t="s">
        <v>90</v>
      </c>
      <c r="T23" s="139">
        <f>_xlfn.XLOOKUP($B23,Tox_Table[Code],Tox_Table[Benchmark MOE])</f>
        <v>30</v>
      </c>
      <c r="U23" s="141">
        <f>IFERROR(($R$23/$V10), "")</f>
        <v>1.3290262837527695</v>
      </c>
      <c r="V23" s="141">
        <f t="shared" ref="V23:X24" si="4">IFERROR(($R$23/($V10/V$18)), "")</f>
        <v>6.6451314187638477</v>
      </c>
      <c r="W23" s="141">
        <f t="shared" si="4"/>
        <v>13.290262837527695</v>
      </c>
      <c r="X23" s="146">
        <f t="shared" si="4"/>
        <v>26.580525675055391</v>
      </c>
    </row>
    <row r="24" spans="1:24" s="28" customFormat="1" ht="19.5" customHeight="1" thickBot="1" x14ac:dyDescent="0.3">
      <c r="B24" s="233" t="s">
        <v>117</v>
      </c>
      <c r="C24" s="279"/>
      <c r="D24" s="280"/>
      <c r="E24" s="280"/>
      <c r="F24" s="281"/>
      <c r="G24" s="286"/>
      <c r="H24" s="282"/>
      <c r="I24" s="287" t="s">
        <v>91</v>
      </c>
      <c r="J24" s="288">
        <f>_xlfn.XLOOKUP($B24,Tox_Table[Code],Tox_Table[Benchmark MOE])</f>
        <v>30</v>
      </c>
      <c r="K24" s="152">
        <f>IFERROR($H23/$M11, "")</f>
        <v>44.411010000000005</v>
      </c>
      <c r="L24" s="152">
        <f t="shared" si="3"/>
        <v>444.11010000000005</v>
      </c>
      <c r="M24" s="152">
        <f t="shared" si="3"/>
        <v>1110.2752500000001</v>
      </c>
      <c r="N24" s="152">
        <f t="shared" si="3"/>
        <v>2220.5505000000003</v>
      </c>
      <c r="O24" s="152">
        <f t="shared" si="3"/>
        <v>44411.010000000009</v>
      </c>
      <c r="P24" s="284">
        <f t="shared" si="3"/>
        <v>444110.10000000003</v>
      </c>
      <c r="Q24" s="286"/>
      <c r="R24" s="285"/>
      <c r="S24" s="289" t="s">
        <v>91</v>
      </c>
      <c r="T24" s="150">
        <f>_xlfn.XLOOKUP($B24,Tox_Table[Code],Tox_Table[Benchmark MOE])</f>
        <v>30</v>
      </c>
      <c r="U24" s="152">
        <f>IFERROR(($R$23/$V11), "")</f>
        <v>2.6580525675055391</v>
      </c>
      <c r="V24" s="152">
        <f t="shared" si="4"/>
        <v>13.290262837527695</v>
      </c>
      <c r="W24" s="152">
        <f t="shared" si="4"/>
        <v>26.580525675055391</v>
      </c>
      <c r="X24" s="284">
        <f t="shared" si="4"/>
        <v>53.161051350110782</v>
      </c>
    </row>
    <row r="25" spans="1:24" s="29" customFormat="1" ht="19.5" customHeight="1" x14ac:dyDescent="0.25">
      <c r="B25" s="233" t="s">
        <v>129</v>
      </c>
      <c r="C25" s="271" t="s">
        <v>163</v>
      </c>
      <c r="D25" s="272">
        <f>_xlfn.XLOOKUP($B25,Tox_Table[Code],Tox_Table[Health Effect])</f>
        <v>0</v>
      </c>
      <c r="E25" s="272">
        <f>_xlfn.XLOOKUP($B25,Tox_Table[Code],Tox_Table[Endpoint])</f>
        <v>0</v>
      </c>
      <c r="F25" s="273">
        <f>_xlfn.XLOOKUP($B25,Tox_Table[Code],Tox_Table[Study])</f>
        <v>0</v>
      </c>
      <c r="G25" s="274"/>
      <c r="H25" s="275">
        <f>_xlfn.XLOOKUP($B25, Tox_Table[Code],Tox_Table[CSF (mg/kg-day-1)], FALSE)</f>
        <v>0</v>
      </c>
      <c r="I25" s="290" t="s">
        <v>90</v>
      </c>
      <c r="J25" s="291">
        <v>1E-4</v>
      </c>
      <c r="K25" s="141">
        <f>IFERROR($H25*$N10, "")</f>
        <v>0</v>
      </c>
      <c r="L25" s="141">
        <f t="shared" ref="L25:P26" si="5">IFERROR($H$25*($N10/L$18), "")</f>
        <v>0</v>
      </c>
      <c r="M25" s="141">
        <f t="shared" si="5"/>
        <v>0</v>
      </c>
      <c r="N25" s="141">
        <f t="shared" si="5"/>
        <v>0</v>
      </c>
      <c r="O25" s="141">
        <f t="shared" si="5"/>
        <v>0</v>
      </c>
      <c r="P25" s="146">
        <f t="shared" si="5"/>
        <v>0</v>
      </c>
      <c r="Q25" s="274"/>
      <c r="R25" s="277">
        <f>_xlfn.XLOOKUP($B25, Tox_Table[Code],Tox_Table[CSF (mg/kg-day-1)], FALSE)</f>
        <v>0</v>
      </c>
      <c r="S25" s="204" t="s">
        <v>90</v>
      </c>
      <c r="T25" s="291">
        <v>1E-4</v>
      </c>
      <c r="U25" s="141">
        <f>IFERROR(($R25*$W10), "")</f>
        <v>0</v>
      </c>
      <c r="V25" s="141">
        <f t="shared" ref="V25:X26" si="6">IFERROR(($R$25*($W10/V$18)), "")</f>
        <v>0</v>
      </c>
      <c r="W25" s="141">
        <f t="shared" si="6"/>
        <v>0</v>
      </c>
      <c r="X25" s="146">
        <f t="shared" si="6"/>
        <v>0</v>
      </c>
    </row>
    <row r="26" spans="1:24" s="29" customFormat="1" ht="19.5" customHeight="1" thickBot="1" x14ac:dyDescent="0.3">
      <c r="B26" s="233" t="s">
        <v>129</v>
      </c>
      <c r="C26" s="292"/>
      <c r="D26" s="293"/>
      <c r="E26" s="293"/>
      <c r="F26" s="294"/>
      <c r="G26" s="295"/>
      <c r="H26" s="282"/>
      <c r="I26" s="296" t="s">
        <v>91</v>
      </c>
      <c r="J26" s="297">
        <v>1E-4</v>
      </c>
      <c r="K26" s="152">
        <f>IFERROR($H25*$N11, "")</f>
        <v>0</v>
      </c>
      <c r="L26" s="152">
        <f t="shared" si="5"/>
        <v>0</v>
      </c>
      <c r="M26" s="152">
        <f t="shared" si="5"/>
        <v>0</v>
      </c>
      <c r="N26" s="152">
        <f t="shared" si="5"/>
        <v>0</v>
      </c>
      <c r="O26" s="152">
        <f t="shared" si="5"/>
        <v>0</v>
      </c>
      <c r="P26" s="284">
        <f t="shared" si="5"/>
        <v>0</v>
      </c>
      <c r="Q26" s="295"/>
      <c r="R26" s="285"/>
      <c r="S26" s="208" t="s">
        <v>91</v>
      </c>
      <c r="T26" s="297">
        <v>1E-4</v>
      </c>
      <c r="U26" s="152">
        <f>IFERROR(($R25*$W11), "")</f>
        <v>0</v>
      </c>
      <c r="V26" s="152">
        <f t="shared" si="6"/>
        <v>0</v>
      </c>
      <c r="W26" s="152">
        <f t="shared" si="6"/>
        <v>0</v>
      </c>
      <c r="X26" s="284">
        <f t="shared" si="6"/>
        <v>0</v>
      </c>
    </row>
    <row r="27" spans="1:24" s="28" customFormat="1" x14ac:dyDescent="0.25">
      <c r="B27" s="27"/>
      <c r="C27" s="56"/>
      <c r="D27" s="232"/>
      <c r="E27" s="56"/>
      <c r="F27" s="56"/>
      <c r="G27" s="26"/>
      <c r="H27" s="26"/>
      <c r="I27" s="26"/>
      <c r="J27" s="26"/>
      <c r="K27" s="26"/>
      <c r="L27" s="26"/>
      <c r="M27" s="26"/>
      <c r="O27" s="26"/>
      <c r="P27" s="26"/>
      <c r="R27" s="26"/>
    </row>
    <row r="28" spans="1:24" s="28" customFormat="1" x14ac:dyDescent="0.25">
      <c r="B28" s="27"/>
      <c r="C28" s="56"/>
      <c r="D28" s="232"/>
      <c r="E28" s="56"/>
      <c r="F28" s="56"/>
      <c r="G28" s="26"/>
      <c r="H28" s="26"/>
      <c r="I28" s="26"/>
      <c r="J28" s="26"/>
      <c r="K28" s="26"/>
      <c r="L28" s="26"/>
      <c r="M28" s="26"/>
      <c r="N28" s="26"/>
      <c r="O28" s="26"/>
      <c r="P28" s="26"/>
      <c r="R28" s="26"/>
    </row>
    <row r="29" spans="1:24" s="28" customFormat="1" x14ac:dyDescent="0.25">
      <c r="B29" s="27"/>
      <c r="C29" s="56"/>
      <c r="D29" s="232"/>
      <c r="E29" s="56"/>
      <c r="F29" s="56"/>
      <c r="G29" s="26"/>
      <c r="H29" s="26"/>
      <c r="I29" s="26"/>
      <c r="J29" s="26"/>
      <c r="K29" s="26"/>
      <c r="L29" s="26"/>
      <c r="M29" s="26"/>
      <c r="N29" s="26"/>
      <c r="O29" s="26"/>
      <c r="P29" s="26"/>
      <c r="R29" s="26"/>
      <c r="S29" s="26"/>
    </row>
    <row r="30" spans="1:24" s="28" customFormat="1" x14ac:dyDescent="0.25">
      <c r="A30" s="26"/>
      <c r="B30" s="27"/>
      <c r="C30" s="56"/>
      <c r="D30" s="232"/>
      <c r="E30" s="56"/>
      <c r="F30" s="56"/>
      <c r="G30" s="26"/>
      <c r="H30" s="26"/>
      <c r="I30" s="26"/>
      <c r="J30" s="26"/>
      <c r="K30" s="26"/>
      <c r="L30" s="26"/>
      <c r="M30" s="26"/>
      <c r="N30" s="26"/>
      <c r="O30" s="26"/>
      <c r="P30" s="26"/>
      <c r="R30" s="26"/>
      <c r="S30" s="26"/>
    </row>
    <row r="35" spans="1:19" x14ac:dyDescent="0.25">
      <c r="I35" s="28"/>
      <c r="J35" s="28"/>
      <c r="K35" s="28"/>
      <c r="L35" s="28"/>
      <c r="M35" s="28"/>
    </row>
    <row r="40" spans="1:19" x14ac:dyDescent="0.25">
      <c r="O40" s="28"/>
      <c r="P40" s="28"/>
    </row>
    <row r="41" spans="1:19" x14ac:dyDescent="0.25">
      <c r="C41" s="50"/>
      <c r="D41" s="49"/>
      <c r="E41" s="50"/>
      <c r="F41" s="50"/>
      <c r="G41" s="28"/>
      <c r="H41" s="28"/>
    </row>
    <row r="42" spans="1:19" x14ac:dyDescent="0.25">
      <c r="R42" s="28"/>
    </row>
    <row r="43" spans="1:19" x14ac:dyDescent="0.25">
      <c r="B43" s="29"/>
    </row>
    <row r="44" spans="1:19" x14ac:dyDescent="0.25">
      <c r="B44" s="213"/>
    </row>
    <row r="45" spans="1:19" x14ac:dyDescent="0.25">
      <c r="B45" s="213"/>
      <c r="I45" s="211"/>
      <c r="J45" s="211"/>
      <c r="K45" s="211"/>
      <c r="L45" s="211"/>
      <c r="M45" s="211"/>
      <c r="N45" s="28"/>
    </row>
    <row r="46" spans="1:19" x14ac:dyDescent="0.25">
      <c r="B46" s="213"/>
      <c r="I46" s="211"/>
      <c r="J46" s="211"/>
      <c r="K46" s="211"/>
      <c r="L46" s="211"/>
      <c r="M46" s="211"/>
      <c r="S46" s="28"/>
    </row>
    <row r="47" spans="1:19" x14ac:dyDescent="0.25">
      <c r="B47" s="213"/>
      <c r="C47" s="215"/>
      <c r="D47" s="298"/>
      <c r="E47" s="215"/>
      <c r="I47" s="211"/>
      <c r="J47" s="211"/>
      <c r="K47" s="211"/>
      <c r="L47" s="211"/>
      <c r="M47" s="211"/>
    </row>
    <row r="48" spans="1:19" s="28" customFormat="1" x14ac:dyDescent="0.25">
      <c r="A48" s="26"/>
      <c r="B48" s="213"/>
      <c r="C48" s="56"/>
      <c r="D48" s="232"/>
      <c r="E48" s="215"/>
      <c r="F48" s="56"/>
      <c r="G48" s="26"/>
      <c r="H48" s="26"/>
      <c r="I48" s="211"/>
      <c r="J48" s="211"/>
      <c r="K48" s="211"/>
      <c r="L48" s="211"/>
      <c r="M48" s="211"/>
      <c r="N48" s="26"/>
      <c r="O48" s="26"/>
      <c r="P48" s="26"/>
      <c r="R48" s="26"/>
      <c r="S48" s="26"/>
    </row>
    <row r="49" spans="1:20" x14ac:dyDescent="0.25">
      <c r="R49" s="212"/>
      <c r="S49" s="212"/>
      <c r="T49" s="212"/>
    </row>
    <row r="50" spans="1:20" x14ac:dyDescent="0.25">
      <c r="F50" s="211"/>
      <c r="G50" s="212"/>
      <c r="H50" s="299"/>
      <c r="I50" s="300"/>
      <c r="J50" s="300"/>
      <c r="R50" s="299"/>
      <c r="S50" s="300"/>
      <c r="T50" s="300"/>
    </row>
    <row r="51" spans="1:20" x14ac:dyDescent="0.25">
      <c r="H51" s="61"/>
      <c r="I51" s="219"/>
      <c r="J51" s="219"/>
      <c r="R51" s="301"/>
      <c r="S51" s="245"/>
      <c r="T51" s="245"/>
    </row>
    <row r="52" spans="1:20" x14ac:dyDescent="0.25">
      <c r="A52" s="26" t="s">
        <v>164</v>
      </c>
      <c r="H52" s="61"/>
      <c r="I52" s="219"/>
      <c r="J52" s="219"/>
      <c r="R52" s="301"/>
      <c r="S52" s="219"/>
      <c r="T52" s="219"/>
    </row>
    <row r="53" spans="1:20" x14ac:dyDescent="0.25">
      <c r="H53" s="61"/>
      <c r="I53" s="219"/>
      <c r="J53" s="219"/>
      <c r="R53" s="301"/>
      <c r="S53" s="219"/>
      <c r="T53" s="219"/>
    </row>
    <row r="54" spans="1:20" x14ac:dyDescent="0.25">
      <c r="H54" s="61"/>
      <c r="I54" s="219"/>
      <c r="J54" s="219"/>
      <c r="R54" s="301"/>
      <c r="S54" s="219"/>
      <c r="T54" s="219"/>
    </row>
    <row r="55" spans="1:20" x14ac:dyDescent="0.25">
      <c r="H55" s="61"/>
      <c r="I55" s="219"/>
      <c r="J55" s="219"/>
      <c r="R55" s="301"/>
      <c r="S55" s="219"/>
      <c r="T55" s="219"/>
    </row>
    <row r="56" spans="1:20" x14ac:dyDescent="0.25">
      <c r="H56" s="61"/>
      <c r="I56" s="219"/>
      <c r="J56" s="219"/>
      <c r="T56" s="245"/>
    </row>
  </sheetData>
  <sheetProtection sheet="1" objects="1" scenarios="1" formatCells="0" formatColumns="0" formatRows="0" sort="0" autoFilter="0"/>
  <dataConsolidate/>
  <mergeCells count="49">
    <mergeCell ref="I10:I11"/>
    <mergeCell ref="I8:I9"/>
    <mergeCell ref="C19:C20"/>
    <mergeCell ref="D19:D20"/>
    <mergeCell ref="D2:E2"/>
    <mergeCell ref="D3:E3"/>
    <mergeCell ref="D4:E4"/>
    <mergeCell ref="I16:I18"/>
    <mergeCell ref="F19:F20"/>
    <mergeCell ref="F16:F18"/>
    <mergeCell ref="H16:H18"/>
    <mergeCell ref="C21:C22"/>
    <mergeCell ref="D21:D22"/>
    <mergeCell ref="E21:E22"/>
    <mergeCell ref="C16:C18"/>
    <mergeCell ref="D16:E18"/>
    <mergeCell ref="E19:E20"/>
    <mergeCell ref="U16:X16"/>
    <mergeCell ref="S8:S9"/>
    <mergeCell ref="R8:R9"/>
    <mergeCell ref="J16:J18"/>
    <mergeCell ref="K16:P16"/>
    <mergeCell ref="T16:T18"/>
    <mergeCell ref="R16:R18"/>
    <mergeCell ref="S16:S18"/>
    <mergeCell ref="L15:M15"/>
    <mergeCell ref="R12:R13"/>
    <mergeCell ref="U17:U18"/>
    <mergeCell ref="V17:X17"/>
    <mergeCell ref="L17:P17"/>
    <mergeCell ref="J8:J9"/>
    <mergeCell ref="R10:R11"/>
    <mergeCell ref="C25:C26"/>
    <mergeCell ref="C23:C24"/>
    <mergeCell ref="E25:E26"/>
    <mergeCell ref="D25:D26"/>
    <mergeCell ref="D23:D24"/>
    <mergeCell ref="E23:E24"/>
    <mergeCell ref="R25:R26"/>
    <mergeCell ref="R19:R20"/>
    <mergeCell ref="R23:R24"/>
    <mergeCell ref="R21:R22"/>
    <mergeCell ref="F23:F24"/>
    <mergeCell ref="H23:H24"/>
    <mergeCell ref="H19:H20"/>
    <mergeCell ref="F21:F22"/>
    <mergeCell ref="H21:H22"/>
    <mergeCell ref="F25:F26"/>
    <mergeCell ref="H25:H26"/>
  </mergeCells>
  <phoneticPr fontId="2" type="noConversion"/>
  <conditionalFormatting sqref="D19:F26">
    <cfRule type="cellIs" priority="1" operator="equal">
      <formula>0</formula>
    </cfRule>
  </conditionalFormatting>
  <conditionalFormatting sqref="F4">
    <cfRule type="cellIs" dxfId="355" priority="22" operator="lessThan">
      <formula>0.1</formula>
    </cfRule>
    <cfRule type="cellIs" dxfId="354" priority="20" stopIfTrue="1" operator="equal">
      <formula>0</formula>
    </cfRule>
    <cfRule type="containsBlanks" dxfId="353" priority="21" stopIfTrue="1">
      <formula>LEN(TRIM(F4))=0</formula>
    </cfRule>
  </conditionalFormatting>
  <conditionalFormatting sqref="H19 H23 H25">
    <cfRule type="containsBlanks" dxfId="352" priority="115" stopIfTrue="1">
      <formula>LEN(TRIM(H19))=0</formula>
    </cfRule>
    <cfRule type="cellIs" dxfId="351" priority="114" stopIfTrue="1" operator="equal">
      <formula>0</formula>
    </cfRule>
    <cfRule type="cellIs" dxfId="350" priority="118" operator="greaterThanOrEqual">
      <formula>10</formula>
    </cfRule>
    <cfRule type="cellIs" dxfId="349" priority="117" operator="lessThan">
      <formula>10</formula>
    </cfRule>
    <cfRule type="cellIs" dxfId="348" priority="116" operator="lessThan">
      <formula>0.1</formula>
    </cfRule>
  </conditionalFormatting>
  <conditionalFormatting sqref="H21">
    <cfRule type="cellIs" dxfId="347" priority="77" operator="greaterThanOrEqual">
      <formula>10</formula>
    </cfRule>
    <cfRule type="cellIs" dxfId="346" priority="76" operator="lessThan">
      <formula>10</formula>
    </cfRule>
    <cfRule type="cellIs" dxfId="345" priority="75" operator="lessThan">
      <formula>0.1</formula>
    </cfRule>
    <cfRule type="containsBlanks" dxfId="344" priority="74" stopIfTrue="1">
      <formula>LEN(TRIM(H21))=0</formula>
    </cfRule>
    <cfRule type="cellIs" dxfId="343" priority="73" stopIfTrue="1" operator="equal">
      <formula>0</formula>
    </cfRule>
  </conditionalFormatting>
  <conditionalFormatting sqref="K10:N11">
    <cfRule type="cellIs" dxfId="342" priority="3" operator="greaterThan">
      <formula>10000</formula>
    </cfRule>
    <cfRule type="cellIs" dxfId="341" priority="4" operator="between">
      <formula>10</formula>
      <formula>9999.999</formula>
    </cfRule>
    <cfRule type="cellIs" dxfId="340" priority="5" operator="between">
      <formula>1</formula>
      <formula>9.999</formula>
    </cfRule>
    <cfRule type="cellIs" dxfId="339" priority="6" operator="between">
      <formula>0.1</formula>
      <formula>0.999</formula>
    </cfRule>
    <cfRule type="cellIs" dxfId="338" priority="7" operator="equal">
      <formula>0</formula>
    </cfRule>
    <cfRule type="cellIs" dxfId="337" priority="170" operator="lessThan">
      <formula>0.1</formula>
    </cfRule>
  </conditionalFormatting>
  <conditionalFormatting sqref="K13:N13">
    <cfRule type="cellIs" dxfId="336" priority="60" operator="greaterThan">
      <formula>10000</formula>
    </cfRule>
    <cfRule type="cellIs" dxfId="335" priority="61" operator="between">
      <formula>10</formula>
      <formula>9999.999</formula>
    </cfRule>
    <cfRule type="cellIs" dxfId="334" priority="62" operator="between">
      <formula>1</formula>
      <formula>9.999</formula>
    </cfRule>
    <cfRule type="cellIs" dxfId="333" priority="64" operator="lessThan">
      <formula>0.1</formula>
    </cfRule>
    <cfRule type="cellIs" dxfId="332" priority="59" operator="equal">
      <formula>0</formula>
    </cfRule>
    <cfRule type="cellIs" dxfId="331" priority="63" operator="between">
      <formula>0.1</formula>
      <formula>0.999</formula>
    </cfRule>
  </conditionalFormatting>
  <conditionalFormatting sqref="K19:P24">
    <cfRule type="cellIs" dxfId="330" priority="138" operator="lessThan">
      <formula>$J19</formula>
    </cfRule>
    <cfRule type="cellIs" dxfId="329" priority="139" operator="greaterThanOrEqual">
      <formula>$J19</formula>
    </cfRule>
  </conditionalFormatting>
  <conditionalFormatting sqref="K19:P26 U19:X26">
    <cfRule type="cellIs" dxfId="328" priority="47" stopIfTrue="1" operator="equal">
      <formula>0</formula>
    </cfRule>
    <cfRule type="cellIs" dxfId="327" priority="142" operator="lessThan">
      <formula>0.1</formula>
    </cfRule>
    <cfRule type="cellIs" dxfId="326" priority="143" operator="lessThan">
      <formula>10</formula>
    </cfRule>
    <cfRule type="cellIs" dxfId="325" priority="144" operator="greaterThanOrEqual">
      <formula>10</formula>
    </cfRule>
  </conditionalFormatting>
  <conditionalFormatting sqref="K25:P26">
    <cfRule type="cellIs" dxfId="324" priority="159" operator="greaterThan">
      <formula>0.0001</formula>
    </cfRule>
    <cfRule type="cellIs" dxfId="323" priority="169" operator="lessThanOrEqual">
      <formula>0.0001</formula>
    </cfRule>
  </conditionalFormatting>
  <conditionalFormatting sqref="L8:L9">
    <cfRule type="cellIs" dxfId="322" priority="98" operator="lessThan">
      <formula>0.1</formula>
    </cfRule>
    <cfRule type="cellIs" dxfId="321" priority="96" stopIfTrue="1" operator="equal">
      <formula>0</formula>
    </cfRule>
    <cfRule type="containsBlanks" dxfId="320" priority="97" stopIfTrue="1">
      <formula>LEN(TRIM(L8))=0</formula>
    </cfRule>
  </conditionalFormatting>
  <conditionalFormatting sqref="R19 R23 R25">
    <cfRule type="cellIs" dxfId="319" priority="108" operator="greaterThanOrEqual">
      <formula>10</formula>
    </cfRule>
    <cfRule type="cellIs" dxfId="318" priority="107" operator="lessThan">
      <formula>10</formula>
    </cfRule>
    <cfRule type="cellIs" dxfId="317" priority="106" operator="lessThan">
      <formula>0.1</formula>
    </cfRule>
    <cfRule type="containsBlanks" dxfId="316" priority="105" stopIfTrue="1">
      <formula>LEN(TRIM(R19))=0</formula>
    </cfRule>
    <cfRule type="cellIs" dxfId="315" priority="104" stopIfTrue="1" operator="equal">
      <formula>0</formula>
    </cfRule>
  </conditionalFormatting>
  <conditionalFormatting sqref="R21">
    <cfRule type="cellIs" dxfId="314" priority="68" stopIfTrue="1" operator="equal">
      <formula>0</formula>
    </cfRule>
    <cfRule type="cellIs" dxfId="313" priority="72" operator="greaterThanOrEqual">
      <formula>10</formula>
    </cfRule>
    <cfRule type="cellIs" dxfId="312" priority="71" operator="lessThan">
      <formula>10</formula>
    </cfRule>
    <cfRule type="cellIs" dxfId="311" priority="70" operator="lessThan">
      <formula>0.1</formula>
    </cfRule>
    <cfRule type="containsBlanks" dxfId="310" priority="69" stopIfTrue="1">
      <formula>LEN(TRIM(R21))=0</formula>
    </cfRule>
  </conditionalFormatting>
  <conditionalFormatting sqref="T10:W11">
    <cfRule type="cellIs" dxfId="309" priority="8" operator="equal">
      <formula>0</formula>
    </cfRule>
  </conditionalFormatting>
  <conditionalFormatting sqref="T10:W13">
    <cfRule type="cellIs" dxfId="308" priority="13" operator="lessThan">
      <formula>0.1</formula>
    </cfRule>
    <cfRule type="cellIs" dxfId="307" priority="12" operator="between">
      <formula>0.1</formula>
      <formula>0.999</formula>
    </cfRule>
    <cfRule type="cellIs" dxfId="306" priority="11" operator="between">
      <formula>1</formula>
      <formula>9.999</formula>
    </cfRule>
    <cfRule type="cellIs" dxfId="305" priority="10" operator="between">
      <formula>10</formula>
      <formula>9999.999</formula>
    </cfRule>
    <cfRule type="cellIs" dxfId="304" priority="9" operator="greaterThan">
      <formula>10000</formula>
    </cfRule>
  </conditionalFormatting>
  <conditionalFormatting sqref="U8:U9">
    <cfRule type="cellIs" dxfId="303" priority="80" operator="lessThan">
      <formula>0.1</formula>
    </cfRule>
    <cfRule type="containsBlanks" dxfId="302" priority="79" stopIfTrue="1">
      <formula>LEN(TRIM(U8))=0</formula>
    </cfRule>
    <cfRule type="cellIs" dxfId="301" priority="78" stopIfTrue="1" operator="equal">
      <formula>0</formula>
    </cfRule>
  </conditionalFormatting>
  <conditionalFormatting sqref="U19:X24">
    <cfRule type="cellIs" dxfId="300" priority="45" operator="greaterThanOrEqual">
      <formula>$J19</formula>
    </cfRule>
    <cfRule type="cellIs" dxfId="299" priority="44" operator="lessThan">
      <formula>$J19</formula>
    </cfRule>
  </conditionalFormatting>
  <conditionalFormatting sqref="U19:X26 K19:P26">
    <cfRule type="containsBlanks" dxfId="298" priority="46" stopIfTrue="1">
      <formula>LEN(TRIM(K19))=0</formula>
    </cfRule>
  </conditionalFormatting>
  <conditionalFormatting sqref="U25:X26">
    <cfRule type="cellIs" dxfId="297" priority="141" operator="lessThanOrEqual">
      <formula>0.0001</formula>
    </cfRule>
    <cfRule type="cellIs" dxfId="296" priority="140" operator="greaterThan">
      <formula>0.0001</formula>
    </cfRule>
  </conditionalFormatting>
  <dataValidations count="1">
    <dataValidation allowBlank="1" showErrorMessage="1" sqref="I13 I8 R8" xr:uid="{B6FDB558-C6DA-450F-B0A7-6A9F371395F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F1E36-23C0-46BD-94ED-210B8C9D18DC}">
          <x14:formula1>
            <xm:f>'List Values'!$D$6:$D$8</xm:f>
          </x14:formula1>
          <xm:sqref>F4</xm:sqref>
        </x14:dataValidation>
        <x14:dataValidation type="list" allowBlank="1" showInputMessage="1" showErrorMessage="1" xr:uid="{EEB43209-65D0-4ECD-98C8-2D730F6098A1}">
          <x14:formula1>
            <xm:f>'List Values'!$B$2:$B$17</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FA29-5DDB-4018-BDB5-BC28E8281DEA}">
  <sheetPr codeName="Sheet7">
    <tabColor theme="1"/>
  </sheetPr>
  <dimension ref="A1:Y57"/>
  <sheetViews>
    <sheetView topLeftCell="F1" zoomScale="85" zoomScaleNormal="85" workbookViewId="0">
      <selection activeCell="N5" sqref="N5"/>
    </sheetView>
  </sheetViews>
  <sheetFormatPr defaultColWidth="9.140625" defaultRowHeight="12.75" x14ac:dyDescent="0.2"/>
  <cols>
    <col min="1" max="1" width="10.140625" style="7" hidden="1" customWidth="1"/>
    <col min="2" max="2" width="11.42578125" style="365" hidden="1" customWidth="1"/>
    <col min="3" max="3" width="55.5703125" style="7" customWidth="1"/>
    <col min="4" max="4" width="23" style="7" bestFit="1" customWidth="1"/>
    <col min="5" max="5" width="24.42578125" style="365" bestFit="1" customWidth="1"/>
    <col min="6" max="6" width="17.5703125" style="7" bestFit="1" customWidth="1"/>
    <col min="7" max="7" width="24.140625" style="7" bestFit="1" customWidth="1"/>
    <col min="8" max="8" width="20" style="7" bestFit="1" customWidth="1"/>
    <col min="9" max="9" width="12" style="7" customWidth="1"/>
    <col min="10" max="11" width="12.5703125" style="7" customWidth="1"/>
    <col min="12" max="13" width="9.42578125" style="7" customWidth="1"/>
    <col min="14" max="14" width="12.85546875" style="7" customWidth="1"/>
    <col min="15" max="15" width="17.85546875" style="365" customWidth="1"/>
    <col min="16" max="16" width="15" style="7" customWidth="1"/>
    <col min="17" max="17" width="14" style="7" customWidth="1"/>
    <col min="18" max="21" width="17.85546875" style="365" customWidth="1"/>
    <col min="22" max="22" width="11" style="7" customWidth="1"/>
    <col min="23" max="23" width="11.42578125" style="7" customWidth="1"/>
    <col min="24" max="24" width="28.140625" style="7" customWidth="1"/>
    <col min="25" max="25" width="16.140625" style="7" customWidth="1"/>
    <col min="26" max="16384" width="9.140625" style="7"/>
  </cols>
  <sheetData>
    <row r="1" spans="1:25" ht="13.5" thickBot="1" x14ac:dyDescent="0.25">
      <c r="B1" s="302"/>
      <c r="C1" s="113"/>
      <c r="D1" s="113"/>
      <c r="E1" s="302"/>
      <c r="L1" s="303"/>
      <c r="M1" s="303"/>
      <c r="N1" s="113"/>
      <c r="O1" s="302"/>
      <c r="R1" s="302"/>
      <c r="S1" s="302"/>
      <c r="T1" s="302"/>
      <c r="U1" s="302"/>
      <c r="V1" s="11"/>
      <c r="W1" s="11"/>
    </row>
    <row r="2" spans="1:25" ht="13.5" thickBot="1" x14ac:dyDescent="0.25">
      <c r="B2" s="304"/>
      <c r="C2" s="304"/>
      <c r="D2" s="304"/>
      <c r="E2" s="304"/>
      <c r="F2" s="305" t="s">
        <v>165</v>
      </c>
      <c r="G2" s="306"/>
      <c r="H2" s="307" t="s">
        <v>166</v>
      </c>
      <c r="I2" s="307"/>
      <c r="J2" s="307" t="s">
        <v>167</v>
      </c>
      <c r="K2" s="307"/>
      <c r="L2" s="307" t="s">
        <v>168</v>
      </c>
      <c r="M2" s="307"/>
      <c r="N2" s="308" t="s">
        <v>78</v>
      </c>
      <c r="O2" s="309"/>
      <c r="P2" s="308" t="s">
        <v>79</v>
      </c>
      <c r="Q2" s="309"/>
      <c r="R2" s="310" t="s">
        <v>169</v>
      </c>
      <c r="S2" s="310"/>
      <c r="T2" s="310" t="s">
        <v>170</v>
      </c>
      <c r="U2" s="310"/>
      <c r="V2" s="311"/>
      <c r="W2" s="311"/>
      <c r="X2" s="311"/>
      <c r="Y2" s="311"/>
    </row>
    <row r="3" spans="1:25" x14ac:dyDescent="0.2">
      <c r="B3" s="312"/>
      <c r="C3" s="312"/>
      <c r="D3" s="312"/>
      <c r="E3" s="312"/>
      <c r="F3" s="313"/>
      <c r="G3" s="314"/>
      <c r="H3" s="315" t="s">
        <v>171</v>
      </c>
      <c r="I3" s="315"/>
      <c r="J3" s="315" t="s">
        <v>171</v>
      </c>
      <c r="K3" s="315"/>
      <c r="L3" s="315" t="s">
        <v>171</v>
      </c>
      <c r="M3" s="315"/>
      <c r="N3" s="316" t="s">
        <v>83</v>
      </c>
      <c r="O3" s="317"/>
      <c r="P3" s="318" t="s">
        <v>84</v>
      </c>
      <c r="Q3" s="318"/>
      <c r="R3" s="318" t="s">
        <v>85</v>
      </c>
      <c r="S3" s="319"/>
      <c r="T3" s="318" t="s">
        <v>86</v>
      </c>
      <c r="U3" s="319"/>
      <c r="V3" s="312"/>
      <c r="W3" s="312"/>
      <c r="X3" s="312"/>
      <c r="Y3" s="312"/>
    </row>
    <row r="4" spans="1:25" s="320" customFormat="1" x14ac:dyDescent="0.2">
      <c r="A4" s="320" t="s">
        <v>172</v>
      </c>
      <c r="B4" s="321" t="s">
        <v>173</v>
      </c>
      <c r="C4" s="321" t="s">
        <v>174</v>
      </c>
      <c r="D4" s="321" t="s">
        <v>175</v>
      </c>
      <c r="E4" s="321" t="s">
        <v>176</v>
      </c>
      <c r="F4" s="322" t="s">
        <v>177</v>
      </c>
      <c r="G4" s="322" t="s">
        <v>178</v>
      </c>
      <c r="H4" s="323" t="s">
        <v>179</v>
      </c>
      <c r="I4" s="323" t="s">
        <v>180</v>
      </c>
      <c r="J4" s="323" t="s">
        <v>181</v>
      </c>
      <c r="K4" s="323" t="s">
        <v>182</v>
      </c>
      <c r="L4" s="323" t="s">
        <v>183</v>
      </c>
      <c r="M4" s="323" t="s">
        <v>184</v>
      </c>
      <c r="N4" s="324" t="s">
        <v>185</v>
      </c>
      <c r="O4" s="324" t="s">
        <v>186</v>
      </c>
      <c r="P4" s="325" t="s">
        <v>187</v>
      </c>
      <c r="Q4" s="325" t="s">
        <v>188</v>
      </c>
      <c r="R4" s="324" t="s">
        <v>189</v>
      </c>
      <c r="S4" s="324" t="s">
        <v>190</v>
      </c>
      <c r="T4" s="324" t="s">
        <v>191</v>
      </c>
      <c r="U4" s="324" t="s">
        <v>192</v>
      </c>
      <c r="V4" s="326" t="s">
        <v>193</v>
      </c>
      <c r="W4" s="326" t="s">
        <v>194</v>
      </c>
      <c r="X4" s="321" t="s">
        <v>195</v>
      </c>
      <c r="Y4" s="321" t="s">
        <v>196</v>
      </c>
    </row>
    <row r="5" spans="1:25" ht="15" x14ac:dyDescent="0.2">
      <c r="B5" s="327">
        <v>1</v>
      </c>
      <c r="C5" s="328" t="s">
        <v>139</v>
      </c>
      <c r="D5" s="329" t="s">
        <v>197</v>
      </c>
      <c r="E5" s="330" t="s">
        <v>198</v>
      </c>
      <c r="F5" s="330">
        <v>250</v>
      </c>
      <c r="G5" s="330">
        <v>250</v>
      </c>
      <c r="H5" s="331">
        <v>1</v>
      </c>
      <c r="I5" s="331">
        <v>0.5</v>
      </c>
      <c r="J5" s="332"/>
      <c r="K5" s="332"/>
      <c r="L5" s="333">
        <f>SUM(Inhalation_Exp[[#This Row],[Vapor_High-End]],Inhalation_Exp[[#This Row],[Dust_High-End]])</f>
        <v>1</v>
      </c>
      <c r="M5" s="332">
        <f>SUM(Inhalation_Exp[[#This Row],[Vapor_Central Tendency]],Inhalation_Exp[[#This Row],[Dust_Central Tendency]])</f>
        <v>0.5</v>
      </c>
      <c r="N5" s="334">
        <f>(((L5*ED_8))*WorkBreathRate)/IF(Inhalation_Exp[[#This Row],[Worker Type]]="Female of Reproductive Age",BW_F,BW_default)</f>
        <v>0.125</v>
      </c>
      <c r="O5" s="334">
        <f>((M5*ED_8)*WorkBreathRate)/IF(Inhalation_Exp[[#This Row],[Worker Type]]="Female of Reproductive Age",BW_F,BW_default)</f>
        <v>6.25E-2</v>
      </c>
      <c r="P5" s="334">
        <f>IF(EFID&gt;Inhalation_Exp[[#This Row],[ED_High-End]],Inhalation_Exp[[#This Row],[24hr_High-End]]*Inhalation_Exp[[#This Row],[ED_High-End]]/ID,Inhalation_Exp[[#This Row],[24hr_High-End]]*EFID/ID)</f>
        <v>9.166666666666666E-2</v>
      </c>
      <c r="Q5" s="334">
        <f>IF(EFID&gt;Inhalation_Exp[[#This Row],[ED_Central Tendency]],Inhalation_Exp[[#This Row],[24hr_Central Tendency]]*Inhalation_Exp[[#This Row],[ED_Central Tendency]]/ID,Inhalation_Exp[[#This Row],[24hr_Central Tendency]]*EFID/ID)</f>
        <v>4.583333333333333E-2</v>
      </c>
      <c r="R5" s="334">
        <f t="shared" ref="R5:R50" si="0">N5*F5*WY_high/(WY_high*365)</f>
        <v>8.5616438356164379E-2</v>
      </c>
      <c r="S5" s="334">
        <f t="shared" ref="S5:S50" si="1">O5*G5*WY_mid/(WY_mid*365)</f>
        <v>4.2808219178082189E-2</v>
      </c>
      <c r="T5" s="332">
        <f t="shared" ref="T5:T50" si="2">N5*F5*WY_high/(LT*365)</f>
        <v>4.3905865823674041E-2</v>
      </c>
      <c r="U5" s="332">
        <f t="shared" ref="U5:U50" si="3">O5*G5*WY_mid/(LT*365)</f>
        <v>1.7013523006673692E-2</v>
      </c>
      <c r="V5" s="335">
        <v>3</v>
      </c>
      <c r="W5" s="335">
        <v>3</v>
      </c>
      <c r="X5" s="336" t="s">
        <v>199</v>
      </c>
      <c r="Y5" s="337" t="s">
        <v>200</v>
      </c>
    </row>
    <row r="6" spans="1:25" ht="15" x14ac:dyDescent="0.2">
      <c r="A6" s="338"/>
      <c r="B6" s="327">
        <v>1</v>
      </c>
      <c r="C6" s="328" t="s">
        <v>139</v>
      </c>
      <c r="D6" s="329" t="s">
        <v>72</v>
      </c>
      <c r="E6" s="330" t="s">
        <v>198</v>
      </c>
      <c r="F6" s="330">
        <v>250</v>
      </c>
      <c r="G6" s="330">
        <v>250</v>
      </c>
      <c r="H6" s="331">
        <v>1</v>
      </c>
      <c r="I6" s="331">
        <v>0.5</v>
      </c>
      <c r="J6" s="332"/>
      <c r="K6" s="332"/>
      <c r="L6" s="332">
        <f>SUM(Inhalation_Exp[[#This Row],[Vapor_High-End]],Inhalation_Exp[[#This Row],[Dust_High-End]])</f>
        <v>1</v>
      </c>
      <c r="M6" s="332">
        <f>SUM(Inhalation_Exp[[#This Row],[Vapor_Central Tendency]],Inhalation_Exp[[#This Row],[Dust_Central Tendency]])</f>
        <v>0.5</v>
      </c>
      <c r="N6" s="339">
        <f>(((L6*ED_8))*WorkBreathRate)/IF(Inhalation_Exp[[#This Row],[Worker Type]]="Female of Reproductive Age",BW_F,BW_default)</f>
        <v>0.13807386952019329</v>
      </c>
      <c r="O6" s="340">
        <f>((M6*ED_8)*WorkBreathRate)/IF(Inhalation_Exp[[#This Row],[Worker Type]]="Female of Reproductive Age",BW_F,BW_default)</f>
        <v>6.9036934760096647E-2</v>
      </c>
      <c r="P6" s="339">
        <f>IF(EFID&gt;Inhalation_Exp[[#This Row],[ED_High-End]],Inhalation_Exp[[#This Row],[24hr_High-End]]*Inhalation_Exp[[#This Row],[ED_High-End]]/ID,Inhalation_Exp[[#This Row],[24hr_High-End]]*EFID/ID)</f>
        <v>0.10125417098147509</v>
      </c>
      <c r="Q6" s="340">
        <f>IF(EFID&gt;Inhalation_Exp[[#This Row],[ED_Central Tendency]],Inhalation_Exp[[#This Row],[24hr_Central Tendency]]*Inhalation_Exp[[#This Row],[ED_Central Tendency]]/ID,Inhalation_Exp[[#This Row],[24hr_Central Tendency]]*EFID/ID)</f>
        <v>5.0627085490737543E-2</v>
      </c>
      <c r="R6" s="339">
        <f t="shared" si="0"/>
        <v>9.4571143506981703E-2</v>
      </c>
      <c r="S6" s="340">
        <f t="shared" si="1"/>
        <v>4.7285571753490852E-2</v>
      </c>
      <c r="T6" s="332">
        <f t="shared" si="2"/>
        <v>4.8498022311272669E-2</v>
      </c>
      <c r="U6" s="332">
        <f t="shared" si="3"/>
        <v>1.8792983645618159E-2</v>
      </c>
      <c r="V6" s="335">
        <v>3</v>
      </c>
      <c r="W6" s="335">
        <v>3</v>
      </c>
      <c r="X6" s="336" t="s">
        <v>199</v>
      </c>
      <c r="Y6" s="337" t="s">
        <v>200</v>
      </c>
    </row>
    <row r="7" spans="1:25" ht="15" x14ac:dyDescent="0.2">
      <c r="A7" s="338"/>
      <c r="B7" s="327">
        <v>1</v>
      </c>
      <c r="C7" s="341" t="s">
        <v>139</v>
      </c>
      <c r="D7" s="329" t="s">
        <v>92</v>
      </c>
      <c r="E7" s="330" t="s">
        <v>198</v>
      </c>
      <c r="F7" s="330">
        <v>250</v>
      </c>
      <c r="G7" s="330">
        <v>250</v>
      </c>
      <c r="H7" s="331">
        <v>0.5</v>
      </c>
      <c r="I7" s="331">
        <v>0.5</v>
      </c>
      <c r="J7" s="332"/>
      <c r="K7" s="332"/>
      <c r="L7" s="332">
        <f>SUM(Inhalation_Exp[[#This Row],[Vapor_High-End]],Inhalation_Exp[[#This Row],[Dust_High-End]])</f>
        <v>0.5</v>
      </c>
      <c r="M7" s="332">
        <f>SUM(Inhalation_Exp[[#This Row],[Vapor_Central Tendency]],Inhalation_Exp[[#This Row],[Dust_Central Tendency]])</f>
        <v>0.5</v>
      </c>
      <c r="N7" s="339">
        <f>(((L7*ED_8))*WorkBreathRate)/IF(Inhalation_Exp[[#This Row],[Worker Type]]="Female of Reproductive Age",BW_F,BW_default)</f>
        <v>6.25E-2</v>
      </c>
      <c r="O7" s="340">
        <f>((M7*ED_8)*WorkBreathRate)/IF(Inhalation_Exp[[#This Row],[Worker Type]]="Female of Reproductive Age",BW_F,BW_default)</f>
        <v>6.25E-2</v>
      </c>
      <c r="P7" s="339">
        <f>IF(EFID&gt;Inhalation_Exp[[#This Row],[ED_High-End]],Inhalation_Exp[[#This Row],[24hr_High-End]]*Inhalation_Exp[[#This Row],[ED_High-End]]/ID,Inhalation_Exp[[#This Row],[24hr_High-End]]*EFID/ID)</f>
        <v>4.583333333333333E-2</v>
      </c>
      <c r="Q7" s="340">
        <f>IF(EFID&gt;Inhalation_Exp[[#This Row],[ED_Central Tendency]],Inhalation_Exp[[#This Row],[24hr_Central Tendency]]*Inhalation_Exp[[#This Row],[ED_Central Tendency]]/ID,Inhalation_Exp[[#This Row],[24hr_Central Tendency]]*EFID/ID)</f>
        <v>4.583333333333333E-2</v>
      </c>
      <c r="R7" s="339">
        <f t="shared" si="0"/>
        <v>4.2808219178082189E-2</v>
      </c>
      <c r="S7" s="340">
        <f t="shared" si="1"/>
        <v>4.2808219178082189E-2</v>
      </c>
      <c r="T7" s="332">
        <f t="shared" si="2"/>
        <v>2.195293291183702E-2</v>
      </c>
      <c r="U7" s="332">
        <f t="shared" si="3"/>
        <v>1.7013523006673692E-2</v>
      </c>
      <c r="V7" s="335">
        <v>3</v>
      </c>
      <c r="W7" s="335">
        <v>3</v>
      </c>
      <c r="X7" s="336" t="s">
        <v>199</v>
      </c>
      <c r="Y7" s="337" t="s">
        <v>200</v>
      </c>
    </row>
    <row r="8" spans="1:25" ht="15" x14ac:dyDescent="0.25">
      <c r="B8" s="327">
        <v>1</v>
      </c>
      <c r="C8" s="341" t="s">
        <v>71</v>
      </c>
      <c r="D8" s="329" t="s">
        <v>197</v>
      </c>
      <c r="E8" s="330" t="s">
        <v>198</v>
      </c>
      <c r="F8" s="330">
        <v>250</v>
      </c>
      <c r="G8" s="330">
        <v>250</v>
      </c>
      <c r="H8" s="331">
        <v>1</v>
      </c>
      <c r="I8" s="331">
        <v>0.5</v>
      </c>
      <c r="J8" s="332"/>
      <c r="K8" s="332"/>
      <c r="L8" s="333">
        <f>SUM(Inhalation_Exp[[#This Row],[Vapor_High-End]],Inhalation_Exp[[#This Row],[Dust_High-End]])</f>
        <v>1</v>
      </c>
      <c r="M8" s="332">
        <f>SUM(Inhalation_Exp[[#This Row],[Vapor_Central Tendency]],Inhalation_Exp[[#This Row],[Dust_Central Tendency]])</f>
        <v>0.5</v>
      </c>
      <c r="N8" s="339">
        <f>(((L8*ED_8))*WorkBreathRate)/IF(Inhalation_Exp[[#This Row],[Worker Type]]="Female of Reproductive Age",BW_F,BW_default)</f>
        <v>0.125</v>
      </c>
      <c r="O8" s="334">
        <f>((M8*ED_8)*WorkBreathRate)/IF(Inhalation_Exp[[#This Row],[Worker Type]]="Female of Reproductive Age",BW_F,BW_default)</f>
        <v>6.25E-2</v>
      </c>
      <c r="P8" s="334">
        <f>IF(EFID&gt;Inhalation_Exp[[#This Row],[ED_High-End]],Inhalation_Exp[[#This Row],[24hr_High-End]]*Inhalation_Exp[[#This Row],[ED_High-End]]/ID,Inhalation_Exp[[#This Row],[24hr_High-End]]*EFID/ID)</f>
        <v>9.166666666666666E-2</v>
      </c>
      <c r="Q8" s="334">
        <f>IF(EFID&gt;Inhalation_Exp[[#This Row],[ED_Central Tendency]],Inhalation_Exp[[#This Row],[24hr_Central Tendency]]*Inhalation_Exp[[#This Row],[ED_Central Tendency]]/ID,Inhalation_Exp[[#This Row],[24hr_Central Tendency]]*EFID/ID)</f>
        <v>4.583333333333333E-2</v>
      </c>
      <c r="R8" s="334">
        <f t="shared" si="0"/>
        <v>8.5616438356164379E-2</v>
      </c>
      <c r="S8" s="334">
        <f t="shared" si="1"/>
        <v>4.2808219178082189E-2</v>
      </c>
      <c r="T8" s="332">
        <f t="shared" si="2"/>
        <v>4.3905865823674041E-2</v>
      </c>
      <c r="U8" s="332">
        <f t="shared" si="3"/>
        <v>1.7013523006673692E-2</v>
      </c>
      <c r="V8" s="335">
        <v>3</v>
      </c>
      <c r="W8" s="335">
        <v>3</v>
      </c>
      <c r="X8" s="342" t="s">
        <v>201</v>
      </c>
      <c r="Y8" s="337" t="s">
        <v>200</v>
      </c>
    </row>
    <row r="9" spans="1:25" ht="15" x14ac:dyDescent="0.25">
      <c r="A9" s="338"/>
      <c r="B9" s="327">
        <v>1</v>
      </c>
      <c r="C9" s="341" t="s">
        <v>71</v>
      </c>
      <c r="D9" s="329" t="s">
        <v>72</v>
      </c>
      <c r="E9" s="330" t="s">
        <v>198</v>
      </c>
      <c r="F9" s="330">
        <v>250</v>
      </c>
      <c r="G9" s="330">
        <v>250</v>
      </c>
      <c r="H9" s="331">
        <v>1</v>
      </c>
      <c r="I9" s="331">
        <v>0.5</v>
      </c>
      <c r="J9" s="332"/>
      <c r="K9" s="332"/>
      <c r="L9" s="332">
        <f>SUM(Inhalation_Exp[[#This Row],[Vapor_High-End]],Inhalation_Exp[[#This Row],[Dust_High-End]])</f>
        <v>1</v>
      </c>
      <c r="M9" s="332">
        <f>SUM(Inhalation_Exp[[#This Row],[Vapor_Central Tendency]],Inhalation_Exp[[#This Row],[Dust_Central Tendency]])</f>
        <v>0.5</v>
      </c>
      <c r="N9" s="339">
        <f>(((L9*ED_8))*WorkBreathRate)/IF(Inhalation_Exp[[#This Row],[Worker Type]]="Female of Reproductive Age",BW_F,BW_default)</f>
        <v>0.13807386952019329</v>
      </c>
      <c r="O9" s="340">
        <f>((M9*ED_8)*WorkBreathRate)/IF(Inhalation_Exp[[#This Row],[Worker Type]]="Female of Reproductive Age",BW_F,BW_default)</f>
        <v>6.9036934760096647E-2</v>
      </c>
      <c r="P9" s="339">
        <f>IF(EFID&gt;Inhalation_Exp[[#This Row],[ED_High-End]],Inhalation_Exp[[#This Row],[24hr_High-End]]*Inhalation_Exp[[#This Row],[ED_High-End]]/ID,Inhalation_Exp[[#This Row],[24hr_High-End]]*EFID/ID)</f>
        <v>0.10125417098147509</v>
      </c>
      <c r="Q9" s="340">
        <f>IF(EFID&gt;Inhalation_Exp[[#This Row],[ED_Central Tendency]],Inhalation_Exp[[#This Row],[24hr_Central Tendency]]*Inhalation_Exp[[#This Row],[ED_Central Tendency]]/ID,Inhalation_Exp[[#This Row],[24hr_Central Tendency]]*EFID/ID)</f>
        <v>5.0627085490737543E-2</v>
      </c>
      <c r="R9" s="339">
        <f t="shared" si="0"/>
        <v>9.4571143506981703E-2</v>
      </c>
      <c r="S9" s="340">
        <f t="shared" si="1"/>
        <v>4.7285571753490852E-2</v>
      </c>
      <c r="T9" s="332">
        <f t="shared" si="2"/>
        <v>4.8498022311272669E-2</v>
      </c>
      <c r="U9" s="332">
        <f t="shared" si="3"/>
        <v>1.8792983645618159E-2</v>
      </c>
      <c r="V9" s="335">
        <v>3</v>
      </c>
      <c r="W9" s="335">
        <v>3</v>
      </c>
      <c r="X9" s="342" t="s">
        <v>201</v>
      </c>
      <c r="Y9" s="337" t="s">
        <v>200</v>
      </c>
    </row>
    <row r="10" spans="1:25" ht="15" x14ac:dyDescent="0.25">
      <c r="A10" s="338"/>
      <c r="B10" s="327">
        <v>1</v>
      </c>
      <c r="C10" s="341" t="s">
        <v>71</v>
      </c>
      <c r="D10" s="329" t="s">
        <v>92</v>
      </c>
      <c r="E10" s="330" t="s">
        <v>198</v>
      </c>
      <c r="F10" s="330">
        <v>250</v>
      </c>
      <c r="G10" s="330">
        <v>250</v>
      </c>
      <c r="H10" s="331">
        <v>0.5</v>
      </c>
      <c r="I10" s="331">
        <v>0.5</v>
      </c>
      <c r="J10" s="332"/>
      <c r="K10" s="332"/>
      <c r="L10" s="332">
        <f>SUM(Inhalation_Exp[[#This Row],[Vapor_High-End]],Inhalation_Exp[[#This Row],[Dust_High-End]])</f>
        <v>0.5</v>
      </c>
      <c r="M10" s="332">
        <f>SUM(Inhalation_Exp[[#This Row],[Vapor_Central Tendency]],Inhalation_Exp[[#This Row],[Dust_Central Tendency]])</f>
        <v>0.5</v>
      </c>
      <c r="N10" s="339">
        <f>(((L10*ED_8))*WorkBreathRate)/IF(Inhalation_Exp[[#This Row],[Worker Type]]="Female of Reproductive Age",BW_F,BW_default)</f>
        <v>6.25E-2</v>
      </c>
      <c r="O10" s="340">
        <f>((M10*ED_8)*WorkBreathRate)/IF(Inhalation_Exp[[#This Row],[Worker Type]]="Female of Reproductive Age",BW_F,BW_default)</f>
        <v>6.25E-2</v>
      </c>
      <c r="P10" s="339">
        <f>IF(EFID&gt;Inhalation_Exp[[#This Row],[ED_High-End]],Inhalation_Exp[[#This Row],[24hr_High-End]]*Inhalation_Exp[[#This Row],[ED_High-End]]/ID,Inhalation_Exp[[#This Row],[24hr_High-End]]*EFID/ID)</f>
        <v>4.583333333333333E-2</v>
      </c>
      <c r="Q10" s="340">
        <f>IF(EFID&gt;Inhalation_Exp[[#This Row],[ED_Central Tendency]],Inhalation_Exp[[#This Row],[24hr_Central Tendency]]*Inhalation_Exp[[#This Row],[ED_Central Tendency]]/ID,Inhalation_Exp[[#This Row],[24hr_Central Tendency]]*EFID/ID)</f>
        <v>4.583333333333333E-2</v>
      </c>
      <c r="R10" s="339">
        <f t="shared" si="0"/>
        <v>4.2808219178082189E-2</v>
      </c>
      <c r="S10" s="340">
        <f t="shared" si="1"/>
        <v>4.2808219178082189E-2</v>
      </c>
      <c r="T10" s="332">
        <f t="shared" si="2"/>
        <v>2.195293291183702E-2</v>
      </c>
      <c r="U10" s="332">
        <f t="shared" si="3"/>
        <v>1.7013523006673692E-2</v>
      </c>
      <c r="V10" s="335">
        <v>3</v>
      </c>
      <c r="W10" s="335">
        <v>3</v>
      </c>
      <c r="X10" s="342" t="s">
        <v>201</v>
      </c>
      <c r="Y10" s="337" t="s">
        <v>200</v>
      </c>
    </row>
    <row r="11" spans="1:25" ht="15" x14ac:dyDescent="0.25">
      <c r="A11" s="338"/>
      <c r="B11" s="343">
        <v>2</v>
      </c>
      <c r="C11" s="341" t="s">
        <v>202</v>
      </c>
      <c r="D11" s="329" t="s">
        <v>197</v>
      </c>
      <c r="E11" s="330" t="s">
        <v>198</v>
      </c>
      <c r="F11" s="330">
        <v>250</v>
      </c>
      <c r="G11" s="330">
        <v>250</v>
      </c>
      <c r="H11" s="331">
        <v>1</v>
      </c>
      <c r="I11" s="331">
        <v>0.5</v>
      </c>
      <c r="J11" s="332"/>
      <c r="K11" s="332"/>
      <c r="L11" s="333">
        <f>SUM(Inhalation_Exp[[#This Row],[Vapor_High-End]],Inhalation_Exp[[#This Row],[Dust_High-End]])</f>
        <v>1</v>
      </c>
      <c r="M11" s="332">
        <f>SUM(Inhalation_Exp[[#This Row],[Vapor_Central Tendency]],Inhalation_Exp[[#This Row],[Dust_Central Tendency]])</f>
        <v>0.5</v>
      </c>
      <c r="N11" s="339">
        <f>(((L11*ED_8))*WorkBreathRate)/IF(Inhalation_Exp[[#This Row],[Worker Type]]="Female of Reproductive Age",BW_F,BW_default)</f>
        <v>0.125</v>
      </c>
      <c r="O11" s="334">
        <f>((M11*ED_8)*WorkBreathRate)/IF(Inhalation_Exp[[#This Row],[Worker Type]]="Female of Reproductive Age",BW_F,BW_default)</f>
        <v>6.25E-2</v>
      </c>
      <c r="P11" s="334">
        <f>IF(EFID&gt;Inhalation_Exp[[#This Row],[ED_High-End]],Inhalation_Exp[[#This Row],[24hr_High-End]]*Inhalation_Exp[[#This Row],[ED_High-End]]/ID,Inhalation_Exp[[#This Row],[24hr_High-End]]*EFID/ID)</f>
        <v>9.166666666666666E-2</v>
      </c>
      <c r="Q11" s="334">
        <f>IF(EFID&gt;Inhalation_Exp[[#This Row],[ED_Central Tendency]],Inhalation_Exp[[#This Row],[24hr_Central Tendency]]*Inhalation_Exp[[#This Row],[ED_Central Tendency]]/ID,Inhalation_Exp[[#This Row],[24hr_Central Tendency]]*EFID/ID)</f>
        <v>4.583333333333333E-2</v>
      </c>
      <c r="R11" s="334">
        <f t="shared" si="0"/>
        <v>8.5616438356164379E-2</v>
      </c>
      <c r="S11" s="334">
        <f t="shared" si="1"/>
        <v>4.2808219178082189E-2</v>
      </c>
      <c r="T11" s="332">
        <f t="shared" si="2"/>
        <v>4.3905865823674041E-2</v>
      </c>
      <c r="U11" s="332">
        <f t="shared" si="3"/>
        <v>1.7013523006673692E-2</v>
      </c>
      <c r="V11" s="335">
        <v>3</v>
      </c>
      <c r="W11" s="335">
        <v>3</v>
      </c>
      <c r="X11" s="342" t="s">
        <v>201</v>
      </c>
      <c r="Y11" s="337" t="s">
        <v>200</v>
      </c>
    </row>
    <row r="12" spans="1:25" ht="15" x14ac:dyDescent="0.25">
      <c r="A12" s="338"/>
      <c r="B12" s="343">
        <v>2</v>
      </c>
      <c r="C12" s="341" t="s">
        <v>202</v>
      </c>
      <c r="D12" s="329" t="s">
        <v>72</v>
      </c>
      <c r="E12" s="330" t="s">
        <v>198</v>
      </c>
      <c r="F12" s="330">
        <v>250</v>
      </c>
      <c r="G12" s="330">
        <v>250</v>
      </c>
      <c r="H12" s="331">
        <v>1</v>
      </c>
      <c r="I12" s="331">
        <v>0.5</v>
      </c>
      <c r="J12" s="332"/>
      <c r="K12" s="332"/>
      <c r="L12" s="332">
        <f>SUM(Inhalation_Exp[[#This Row],[Vapor_High-End]],Inhalation_Exp[[#This Row],[Dust_High-End]])</f>
        <v>1</v>
      </c>
      <c r="M12" s="332">
        <f>SUM(Inhalation_Exp[[#This Row],[Vapor_Central Tendency]],Inhalation_Exp[[#This Row],[Dust_Central Tendency]])</f>
        <v>0.5</v>
      </c>
      <c r="N12" s="339">
        <f>(((L12*ED_8))*WorkBreathRate)/IF(Inhalation_Exp[[#This Row],[Worker Type]]="Female of Reproductive Age",BW_F,BW_default)</f>
        <v>0.13807386952019329</v>
      </c>
      <c r="O12" s="340">
        <f>((M12*ED_8)*WorkBreathRate)/IF(Inhalation_Exp[[#This Row],[Worker Type]]="Female of Reproductive Age",BW_F,BW_default)</f>
        <v>6.9036934760096647E-2</v>
      </c>
      <c r="P12" s="339">
        <f>IF(EFID&gt;Inhalation_Exp[[#This Row],[ED_High-End]],Inhalation_Exp[[#This Row],[24hr_High-End]]*Inhalation_Exp[[#This Row],[ED_High-End]]/ID,Inhalation_Exp[[#This Row],[24hr_High-End]]*EFID/ID)</f>
        <v>0.10125417098147509</v>
      </c>
      <c r="Q12" s="340">
        <f>IF(EFID&gt;Inhalation_Exp[[#This Row],[ED_Central Tendency]],Inhalation_Exp[[#This Row],[24hr_Central Tendency]]*Inhalation_Exp[[#This Row],[ED_Central Tendency]]/ID,Inhalation_Exp[[#This Row],[24hr_Central Tendency]]*EFID/ID)</f>
        <v>5.0627085490737543E-2</v>
      </c>
      <c r="R12" s="339">
        <f t="shared" si="0"/>
        <v>9.4571143506981703E-2</v>
      </c>
      <c r="S12" s="340">
        <f t="shared" si="1"/>
        <v>4.7285571753490852E-2</v>
      </c>
      <c r="T12" s="332">
        <f t="shared" si="2"/>
        <v>4.8498022311272669E-2</v>
      </c>
      <c r="U12" s="332">
        <f t="shared" si="3"/>
        <v>1.8792983645618159E-2</v>
      </c>
      <c r="V12" s="335">
        <v>3</v>
      </c>
      <c r="W12" s="335">
        <v>3</v>
      </c>
      <c r="X12" s="342" t="s">
        <v>201</v>
      </c>
      <c r="Y12" s="337" t="s">
        <v>200</v>
      </c>
    </row>
    <row r="13" spans="1:25" ht="15" x14ac:dyDescent="0.25">
      <c r="A13" s="338"/>
      <c r="B13" s="343">
        <v>2</v>
      </c>
      <c r="C13" s="341" t="s">
        <v>202</v>
      </c>
      <c r="D13" s="329" t="s">
        <v>92</v>
      </c>
      <c r="E13" s="330" t="s">
        <v>198</v>
      </c>
      <c r="F13" s="330">
        <v>250</v>
      </c>
      <c r="G13" s="330">
        <v>250</v>
      </c>
      <c r="H13" s="331">
        <v>0.5</v>
      </c>
      <c r="I13" s="331">
        <v>0.5</v>
      </c>
      <c r="J13" s="331"/>
      <c r="K13" s="331"/>
      <c r="L13" s="332">
        <f>SUM(Inhalation_Exp[[#This Row],[Vapor_High-End]],Inhalation_Exp[[#This Row],[Dust_High-End]])</f>
        <v>0.5</v>
      </c>
      <c r="M13" s="332">
        <f>SUM(Inhalation_Exp[[#This Row],[Vapor_Central Tendency]],Inhalation_Exp[[#This Row],[Dust_Central Tendency]])</f>
        <v>0.5</v>
      </c>
      <c r="N13" s="339">
        <f>(((L13*ED_8))*WorkBreathRate)/IF(Inhalation_Exp[[#This Row],[Worker Type]]="Female of Reproductive Age",BW_F,BW_default)</f>
        <v>6.25E-2</v>
      </c>
      <c r="O13" s="340">
        <f>((M13*ED_8)*WorkBreathRate)/IF(Inhalation_Exp[[#This Row],[Worker Type]]="Female of Reproductive Age",BW_F,BW_default)</f>
        <v>6.25E-2</v>
      </c>
      <c r="P13" s="339">
        <f>IF(EFID&gt;Inhalation_Exp[[#This Row],[ED_High-End]],Inhalation_Exp[[#This Row],[24hr_High-End]]*Inhalation_Exp[[#This Row],[ED_High-End]]/ID,Inhalation_Exp[[#This Row],[24hr_High-End]]*EFID/ID)</f>
        <v>4.583333333333333E-2</v>
      </c>
      <c r="Q13" s="340">
        <f>IF(EFID&gt;Inhalation_Exp[[#This Row],[ED_Central Tendency]],Inhalation_Exp[[#This Row],[24hr_Central Tendency]]*Inhalation_Exp[[#This Row],[ED_Central Tendency]]/ID,Inhalation_Exp[[#This Row],[24hr_Central Tendency]]*EFID/ID)</f>
        <v>4.583333333333333E-2</v>
      </c>
      <c r="R13" s="339">
        <f t="shared" si="0"/>
        <v>4.2808219178082189E-2</v>
      </c>
      <c r="S13" s="340">
        <f t="shared" si="1"/>
        <v>4.2808219178082189E-2</v>
      </c>
      <c r="T13" s="332">
        <f t="shared" si="2"/>
        <v>2.195293291183702E-2</v>
      </c>
      <c r="U13" s="332">
        <f t="shared" si="3"/>
        <v>1.7013523006673692E-2</v>
      </c>
      <c r="V13" s="335">
        <v>3</v>
      </c>
      <c r="W13" s="335">
        <v>3</v>
      </c>
      <c r="X13" s="342" t="s">
        <v>201</v>
      </c>
      <c r="Y13" s="337" t="s">
        <v>200</v>
      </c>
    </row>
    <row r="14" spans="1:25" ht="15" x14ac:dyDescent="0.25">
      <c r="B14" s="343">
        <v>2</v>
      </c>
      <c r="C14" s="341" t="s">
        <v>203</v>
      </c>
      <c r="D14" s="329" t="s">
        <v>197</v>
      </c>
      <c r="E14" s="330" t="s">
        <v>198</v>
      </c>
      <c r="F14" s="330">
        <v>250</v>
      </c>
      <c r="G14" s="330">
        <v>250</v>
      </c>
      <c r="H14" s="331">
        <v>0.75</v>
      </c>
      <c r="I14" s="331">
        <v>0.24</v>
      </c>
      <c r="J14" s="344">
        <v>2.1150000000000002</v>
      </c>
      <c r="K14" s="345">
        <v>0.10350000000000001</v>
      </c>
      <c r="L14" s="333">
        <f>SUM(Inhalation_Exp[[#This Row],[Vapor_High-End]],Inhalation_Exp[[#This Row],[Dust_High-End]])</f>
        <v>2.8650000000000002</v>
      </c>
      <c r="M14" s="332">
        <f>SUM(Inhalation_Exp[[#This Row],[Vapor_Central Tendency]],Inhalation_Exp[[#This Row],[Dust_Central Tendency]])</f>
        <v>0.34350000000000003</v>
      </c>
      <c r="N14" s="339">
        <f>(((L14*ED_8))*WorkBreathRate)/IF(Inhalation_Exp[[#This Row],[Worker Type]]="Female of Reproductive Age",BW_F,BW_default)</f>
        <v>0.35812500000000003</v>
      </c>
      <c r="O14" s="334">
        <f>((M14*ED_8)*WorkBreathRate)/IF(Inhalation_Exp[[#This Row],[Worker Type]]="Female of Reproductive Age",BW_F,BW_default)</f>
        <v>4.2937500000000003E-2</v>
      </c>
      <c r="P14" s="339">
        <f>IF(EFID&gt;Inhalation_Exp[[#This Row],[ED_High-End]],Inhalation_Exp[[#This Row],[24hr_High-End]]*Inhalation_Exp[[#This Row],[ED_High-End]]/ID,Inhalation_Exp[[#This Row],[24hr_High-End]]*EFID/ID)</f>
        <v>0.262625</v>
      </c>
      <c r="Q14" s="334">
        <f>IF(EFID&gt;Inhalation_Exp[[#This Row],[ED_Central Tendency]],Inhalation_Exp[[#This Row],[24hr_Central Tendency]]*Inhalation_Exp[[#This Row],[ED_Central Tendency]]/ID,Inhalation_Exp[[#This Row],[24hr_Central Tendency]]*EFID/ID)</f>
        <v>3.1487500000000002E-2</v>
      </c>
      <c r="R14" s="339">
        <f t="shared" si="0"/>
        <v>0.24529109589041095</v>
      </c>
      <c r="S14" s="334">
        <f t="shared" si="1"/>
        <v>2.9409246575342465E-2</v>
      </c>
      <c r="T14" s="332">
        <f t="shared" si="2"/>
        <v>0.12579030558482612</v>
      </c>
      <c r="U14" s="332">
        <f t="shared" si="3"/>
        <v>1.1688290305584825E-2</v>
      </c>
      <c r="V14" s="335">
        <v>4</v>
      </c>
      <c r="W14" s="335">
        <v>4</v>
      </c>
      <c r="X14" s="346" t="s">
        <v>204</v>
      </c>
      <c r="Y14" s="347" t="s">
        <v>205</v>
      </c>
    </row>
    <row r="15" spans="1:25" ht="15" x14ac:dyDescent="0.25">
      <c r="A15" s="338"/>
      <c r="B15" s="343">
        <v>2</v>
      </c>
      <c r="C15" s="341" t="s">
        <v>203</v>
      </c>
      <c r="D15" s="329" t="s">
        <v>72</v>
      </c>
      <c r="E15" s="330" t="s">
        <v>198</v>
      </c>
      <c r="F15" s="330">
        <v>250</v>
      </c>
      <c r="G15" s="330">
        <v>250</v>
      </c>
      <c r="H15" s="331">
        <v>0.75</v>
      </c>
      <c r="I15" s="331">
        <v>0.24</v>
      </c>
      <c r="J15" s="344">
        <v>2.1150000000000002</v>
      </c>
      <c r="K15" s="345">
        <v>0.10350000000000001</v>
      </c>
      <c r="L15" s="332">
        <f>SUM(Inhalation_Exp[[#This Row],[Vapor_High-End]],Inhalation_Exp[[#This Row],[Dust_High-End]])</f>
        <v>2.8650000000000002</v>
      </c>
      <c r="M15" s="332">
        <f>SUM(Inhalation_Exp[[#This Row],[Vapor_Central Tendency]],Inhalation_Exp[[#This Row],[Dust_Central Tendency]])</f>
        <v>0.34350000000000003</v>
      </c>
      <c r="N15" s="339">
        <f>(((L15*ED_8))*WorkBreathRate)/IF(Inhalation_Exp[[#This Row],[Worker Type]]="Female of Reproductive Age",BW_F,BW_default)</f>
        <v>0.3955816361753538</v>
      </c>
      <c r="O15" s="340">
        <f>((M15*ED_8)*WorkBreathRate)/IF(Inhalation_Exp[[#This Row],[Worker Type]]="Female of Reproductive Age",BW_F,BW_default)</f>
        <v>4.7428374180186396E-2</v>
      </c>
      <c r="P15" s="339">
        <f>IF(EFID&gt;Inhalation_Exp[[#This Row],[ED_High-End]],Inhalation_Exp[[#This Row],[24hr_High-End]]*Inhalation_Exp[[#This Row],[ED_High-End]]/ID,Inhalation_Exp[[#This Row],[24hr_High-End]]*EFID/ID)</f>
        <v>0.29009319986192611</v>
      </c>
      <c r="Q15" s="340">
        <f>IF(EFID&gt;Inhalation_Exp[[#This Row],[ED_Central Tendency]],Inhalation_Exp[[#This Row],[24hr_Central Tendency]]*Inhalation_Exp[[#This Row],[ED_Central Tendency]]/ID,Inhalation_Exp[[#This Row],[24hr_Central Tendency]]*EFID/ID)</f>
        <v>3.4780807732136688E-2</v>
      </c>
      <c r="R15" s="339">
        <f t="shared" si="0"/>
        <v>0.27094632614750264</v>
      </c>
      <c r="S15" s="340">
        <f t="shared" si="1"/>
        <v>3.2485187794648214E-2</v>
      </c>
      <c r="T15" s="332">
        <f t="shared" si="2"/>
        <v>0.13894683392179621</v>
      </c>
      <c r="U15" s="332">
        <f t="shared" si="3"/>
        <v>1.2910779764539675E-2</v>
      </c>
      <c r="V15" s="335">
        <v>4</v>
      </c>
      <c r="W15" s="335">
        <v>4</v>
      </c>
      <c r="X15" s="346" t="s">
        <v>204</v>
      </c>
      <c r="Y15" s="347" t="s">
        <v>205</v>
      </c>
    </row>
    <row r="16" spans="1:25" ht="15" x14ac:dyDescent="0.25">
      <c r="A16" s="338"/>
      <c r="B16" s="343">
        <v>2</v>
      </c>
      <c r="C16" s="341" t="s">
        <v>203</v>
      </c>
      <c r="D16" s="329" t="s">
        <v>92</v>
      </c>
      <c r="E16" s="330" t="s">
        <v>198</v>
      </c>
      <c r="F16" s="330">
        <v>250</v>
      </c>
      <c r="G16" s="330">
        <v>250</v>
      </c>
      <c r="H16" s="331">
        <v>0.24</v>
      </c>
      <c r="I16" s="331">
        <v>0.24</v>
      </c>
      <c r="J16" s="345">
        <v>0.10350000000000001</v>
      </c>
      <c r="K16" s="345">
        <v>0.10350000000000001</v>
      </c>
      <c r="L16" s="332">
        <f>SUM(Inhalation_Exp[[#This Row],[Vapor_High-End]],Inhalation_Exp[[#This Row],[Dust_High-End]])</f>
        <v>0.34350000000000003</v>
      </c>
      <c r="M16" s="332">
        <f>SUM(Inhalation_Exp[[#This Row],[Vapor_Central Tendency]],Inhalation_Exp[[#This Row],[Dust_Central Tendency]])</f>
        <v>0.34350000000000003</v>
      </c>
      <c r="N16" s="339">
        <f>(((L16*ED_8))*WorkBreathRate)/IF(Inhalation_Exp[[#This Row],[Worker Type]]="Female of Reproductive Age",BW_F,BW_default)</f>
        <v>4.2937500000000003E-2</v>
      </c>
      <c r="O16" s="340">
        <f>((M16*ED_8)*WorkBreathRate)/IF(Inhalation_Exp[[#This Row],[Worker Type]]="Female of Reproductive Age",BW_F,BW_default)</f>
        <v>4.2937500000000003E-2</v>
      </c>
      <c r="P16" s="339">
        <f>IF(EFID&gt;Inhalation_Exp[[#This Row],[ED_High-End]],Inhalation_Exp[[#This Row],[24hr_High-End]]*Inhalation_Exp[[#This Row],[ED_High-End]]/ID,Inhalation_Exp[[#This Row],[24hr_High-End]]*EFID/ID)</f>
        <v>3.1487500000000002E-2</v>
      </c>
      <c r="Q16" s="340">
        <f>IF(EFID&gt;Inhalation_Exp[[#This Row],[ED_Central Tendency]],Inhalation_Exp[[#This Row],[24hr_Central Tendency]]*Inhalation_Exp[[#This Row],[ED_Central Tendency]]/ID,Inhalation_Exp[[#This Row],[24hr_Central Tendency]]*EFID/ID)</f>
        <v>3.1487500000000002E-2</v>
      </c>
      <c r="R16" s="339">
        <f t="shared" si="0"/>
        <v>2.9409246575342465E-2</v>
      </c>
      <c r="S16" s="340">
        <f t="shared" si="1"/>
        <v>2.9409246575342465E-2</v>
      </c>
      <c r="T16" s="332">
        <f t="shared" si="2"/>
        <v>1.5081664910432033E-2</v>
      </c>
      <c r="U16" s="332">
        <f t="shared" si="3"/>
        <v>1.1688290305584825E-2</v>
      </c>
      <c r="V16" s="335">
        <v>4</v>
      </c>
      <c r="W16" s="335">
        <v>4</v>
      </c>
      <c r="X16" s="346" t="s">
        <v>204</v>
      </c>
      <c r="Y16" s="347" t="s">
        <v>205</v>
      </c>
    </row>
    <row r="17" spans="1:25" ht="15" x14ac:dyDescent="0.25">
      <c r="A17" s="338"/>
      <c r="B17" s="343">
        <v>2</v>
      </c>
      <c r="C17" s="341" t="s">
        <v>206</v>
      </c>
      <c r="D17" s="329" t="s">
        <v>197</v>
      </c>
      <c r="E17" s="330" t="s">
        <v>198</v>
      </c>
      <c r="F17" s="330">
        <v>250</v>
      </c>
      <c r="G17" s="330">
        <v>250</v>
      </c>
      <c r="H17" s="331">
        <v>0.75</v>
      </c>
      <c r="I17" s="331">
        <v>0.24</v>
      </c>
      <c r="J17" s="344">
        <v>2.1150000000000002</v>
      </c>
      <c r="K17" s="345">
        <v>0.10350000000000001</v>
      </c>
      <c r="L17" s="333">
        <f>SUM(Inhalation_Exp[[#This Row],[Vapor_High-End]],Inhalation_Exp[[#This Row],[Dust_High-End]])</f>
        <v>2.8650000000000002</v>
      </c>
      <c r="M17" s="332">
        <f>SUM(Inhalation_Exp[[#This Row],[Vapor_Central Tendency]],Inhalation_Exp[[#This Row],[Dust_Central Tendency]])</f>
        <v>0.34350000000000003</v>
      </c>
      <c r="N17" s="339">
        <f>(((L17*ED_8))*WorkBreathRate)/IF(Inhalation_Exp[[#This Row],[Worker Type]]="Female of Reproductive Age",BW_F,BW_default)</f>
        <v>0.35812500000000003</v>
      </c>
      <c r="O17" s="334">
        <f>((M17*ED_8)*WorkBreathRate)/IF(Inhalation_Exp[[#This Row],[Worker Type]]="Female of Reproductive Age",BW_F,BW_default)</f>
        <v>4.2937500000000003E-2</v>
      </c>
      <c r="P17" s="339">
        <f>IF(EFID&gt;Inhalation_Exp[[#This Row],[ED_High-End]],Inhalation_Exp[[#This Row],[24hr_High-End]]*Inhalation_Exp[[#This Row],[ED_High-End]]/ID,Inhalation_Exp[[#This Row],[24hr_High-End]]*EFID/ID)</f>
        <v>0.262625</v>
      </c>
      <c r="Q17" s="334">
        <f>IF(EFID&gt;Inhalation_Exp[[#This Row],[ED_Central Tendency]],Inhalation_Exp[[#This Row],[24hr_Central Tendency]]*Inhalation_Exp[[#This Row],[ED_Central Tendency]]/ID,Inhalation_Exp[[#This Row],[24hr_Central Tendency]]*EFID/ID)</f>
        <v>3.1487500000000002E-2</v>
      </c>
      <c r="R17" s="339">
        <f t="shared" si="0"/>
        <v>0.24529109589041095</v>
      </c>
      <c r="S17" s="334">
        <f t="shared" si="1"/>
        <v>2.9409246575342465E-2</v>
      </c>
      <c r="T17" s="332">
        <f t="shared" si="2"/>
        <v>0.12579030558482612</v>
      </c>
      <c r="U17" s="332">
        <f t="shared" si="3"/>
        <v>1.1688290305584825E-2</v>
      </c>
      <c r="V17" s="335">
        <v>4</v>
      </c>
      <c r="W17" s="335">
        <v>4</v>
      </c>
      <c r="X17" s="346" t="s">
        <v>204</v>
      </c>
      <c r="Y17" s="347" t="s">
        <v>205</v>
      </c>
    </row>
    <row r="18" spans="1:25" ht="15" x14ac:dyDescent="0.25">
      <c r="A18" s="338"/>
      <c r="B18" s="343">
        <v>2</v>
      </c>
      <c r="C18" s="341" t="s">
        <v>206</v>
      </c>
      <c r="D18" s="329" t="s">
        <v>72</v>
      </c>
      <c r="E18" s="330" t="s">
        <v>198</v>
      </c>
      <c r="F18" s="330">
        <v>250</v>
      </c>
      <c r="G18" s="330">
        <v>250</v>
      </c>
      <c r="H18" s="331">
        <v>0.75</v>
      </c>
      <c r="I18" s="331">
        <v>0.24</v>
      </c>
      <c r="J18" s="344">
        <v>2.1150000000000002</v>
      </c>
      <c r="K18" s="345">
        <v>0.10350000000000001</v>
      </c>
      <c r="L18" s="332">
        <f>SUM(Inhalation_Exp[[#This Row],[Vapor_High-End]],Inhalation_Exp[[#This Row],[Dust_High-End]])</f>
        <v>2.8650000000000002</v>
      </c>
      <c r="M18" s="332">
        <f>SUM(Inhalation_Exp[[#This Row],[Vapor_Central Tendency]],Inhalation_Exp[[#This Row],[Dust_Central Tendency]])</f>
        <v>0.34350000000000003</v>
      </c>
      <c r="N18" s="339">
        <f>(((L18*ED_8))*WorkBreathRate)/IF(Inhalation_Exp[[#This Row],[Worker Type]]="Female of Reproductive Age",BW_F,BW_default)</f>
        <v>0.3955816361753538</v>
      </c>
      <c r="O18" s="340">
        <f>((M18*ED_8)*WorkBreathRate)/IF(Inhalation_Exp[[#This Row],[Worker Type]]="Female of Reproductive Age",BW_F,BW_default)</f>
        <v>4.7428374180186396E-2</v>
      </c>
      <c r="P18" s="339">
        <f>IF(EFID&gt;Inhalation_Exp[[#This Row],[ED_High-End]],Inhalation_Exp[[#This Row],[24hr_High-End]]*Inhalation_Exp[[#This Row],[ED_High-End]]/ID,Inhalation_Exp[[#This Row],[24hr_High-End]]*EFID/ID)</f>
        <v>0.29009319986192611</v>
      </c>
      <c r="Q18" s="340">
        <f>IF(EFID&gt;Inhalation_Exp[[#This Row],[ED_Central Tendency]],Inhalation_Exp[[#This Row],[24hr_Central Tendency]]*Inhalation_Exp[[#This Row],[ED_Central Tendency]]/ID,Inhalation_Exp[[#This Row],[24hr_Central Tendency]]*EFID/ID)</f>
        <v>3.4780807732136688E-2</v>
      </c>
      <c r="R18" s="339">
        <f t="shared" si="0"/>
        <v>0.27094632614750264</v>
      </c>
      <c r="S18" s="340">
        <f t="shared" si="1"/>
        <v>3.2485187794648214E-2</v>
      </c>
      <c r="T18" s="332">
        <f t="shared" si="2"/>
        <v>0.13894683392179621</v>
      </c>
      <c r="U18" s="332">
        <f t="shared" si="3"/>
        <v>1.2910779764539675E-2</v>
      </c>
      <c r="V18" s="335">
        <v>4</v>
      </c>
      <c r="W18" s="335">
        <v>4</v>
      </c>
      <c r="X18" s="346" t="s">
        <v>204</v>
      </c>
      <c r="Y18" s="347" t="s">
        <v>205</v>
      </c>
    </row>
    <row r="19" spans="1:25" ht="15" x14ac:dyDescent="0.25">
      <c r="A19" s="338"/>
      <c r="B19" s="343">
        <v>3</v>
      </c>
      <c r="C19" s="341" t="s">
        <v>206</v>
      </c>
      <c r="D19" s="329" t="s">
        <v>92</v>
      </c>
      <c r="E19" s="330" t="s">
        <v>198</v>
      </c>
      <c r="F19" s="330">
        <v>250</v>
      </c>
      <c r="G19" s="330">
        <v>250</v>
      </c>
      <c r="H19" s="331">
        <v>0.24</v>
      </c>
      <c r="I19" s="331">
        <v>0.24</v>
      </c>
      <c r="J19" s="345">
        <v>0.10350000000000001</v>
      </c>
      <c r="K19" s="345">
        <v>0.10350000000000001</v>
      </c>
      <c r="L19" s="332">
        <f>SUM(Inhalation_Exp[[#This Row],[Vapor_High-End]],Inhalation_Exp[[#This Row],[Dust_High-End]])</f>
        <v>0.34350000000000003</v>
      </c>
      <c r="M19" s="332">
        <f>SUM(Inhalation_Exp[[#This Row],[Vapor_Central Tendency]],Inhalation_Exp[[#This Row],[Dust_Central Tendency]])</f>
        <v>0.34350000000000003</v>
      </c>
      <c r="N19" s="339">
        <f>(((L19*ED_8))*WorkBreathRate)/IF(Inhalation_Exp[[#This Row],[Worker Type]]="Female of Reproductive Age",BW_F,BW_default)</f>
        <v>4.2937500000000003E-2</v>
      </c>
      <c r="O19" s="340">
        <f>((M19*ED_8)*WorkBreathRate)/IF(Inhalation_Exp[[#This Row],[Worker Type]]="Female of Reproductive Age",BW_F,BW_default)</f>
        <v>4.2937500000000003E-2</v>
      </c>
      <c r="P19" s="339">
        <f>IF(EFID&gt;Inhalation_Exp[[#This Row],[ED_High-End]],Inhalation_Exp[[#This Row],[24hr_High-End]]*Inhalation_Exp[[#This Row],[ED_High-End]]/ID,Inhalation_Exp[[#This Row],[24hr_High-End]]*EFID/ID)</f>
        <v>3.1487500000000002E-2</v>
      </c>
      <c r="Q19" s="340">
        <f>IF(EFID&gt;Inhalation_Exp[[#This Row],[ED_Central Tendency]],Inhalation_Exp[[#This Row],[24hr_Central Tendency]]*Inhalation_Exp[[#This Row],[ED_Central Tendency]]/ID,Inhalation_Exp[[#This Row],[24hr_Central Tendency]]*EFID/ID)</f>
        <v>3.1487500000000002E-2</v>
      </c>
      <c r="R19" s="339">
        <f t="shared" si="0"/>
        <v>2.9409246575342465E-2</v>
      </c>
      <c r="S19" s="340">
        <f t="shared" si="1"/>
        <v>2.9409246575342465E-2</v>
      </c>
      <c r="T19" s="332">
        <f t="shared" si="2"/>
        <v>1.5081664910432033E-2</v>
      </c>
      <c r="U19" s="332">
        <f t="shared" si="3"/>
        <v>1.1688290305584825E-2</v>
      </c>
      <c r="V19" s="335">
        <v>4</v>
      </c>
      <c r="W19" s="335">
        <v>4</v>
      </c>
      <c r="X19" s="346" t="s">
        <v>204</v>
      </c>
      <c r="Y19" s="347" t="s">
        <v>205</v>
      </c>
    </row>
    <row r="20" spans="1:25" ht="15" x14ac:dyDescent="0.25">
      <c r="B20" s="343">
        <v>3</v>
      </c>
      <c r="C20" s="341" t="s">
        <v>207</v>
      </c>
      <c r="D20" s="329" t="s">
        <v>197</v>
      </c>
      <c r="E20" s="330" t="s">
        <v>198</v>
      </c>
      <c r="F20" s="330">
        <v>250</v>
      </c>
      <c r="G20" s="330">
        <v>250</v>
      </c>
      <c r="H20" s="331">
        <v>0.75</v>
      </c>
      <c r="I20" s="331">
        <v>0.24</v>
      </c>
      <c r="J20" s="344">
        <v>0.94000000000000006</v>
      </c>
      <c r="K20" s="345">
        <v>4.6000000000000006E-2</v>
      </c>
      <c r="L20" s="333">
        <f>SUM(Inhalation_Exp[[#This Row],[Vapor_High-End]],Inhalation_Exp[[#This Row],[Dust_High-End]])</f>
        <v>1.69</v>
      </c>
      <c r="M20" s="332">
        <f>SUM(Inhalation_Exp[[#This Row],[Vapor_Central Tendency]],Inhalation_Exp[[#This Row],[Dust_Central Tendency]])</f>
        <v>0.28599999999999998</v>
      </c>
      <c r="N20" s="339">
        <f>(((L20*ED_8))*WorkBreathRate)/IF(Inhalation_Exp[[#This Row],[Worker Type]]="Female of Reproductive Age",BW_F,BW_default)</f>
        <v>0.21124999999999999</v>
      </c>
      <c r="O20" s="334">
        <f>((M20*ED_8)*WorkBreathRate)/IF(Inhalation_Exp[[#This Row],[Worker Type]]="Female of Reproductive Age",BW_F,BW_default)</f>
        <v>3.5749999999999997E-2</v>
      </c>
      <c r="P20" s="339">
        <f>IF(EFID&gt;Inhalation_Exp[[#This Row],[ED_High-End]],Inhalation_Exp[[#This Row],[24hr_High-End]]*Inhalation_Exp[[#This Row],[ED_High-End]]/ID,Inhalation_Exp[[#This Row],[24hr_High-End]]*EFID/ID)</f>
        <v>0.15491666666666667</v>
      </c>
      <c r="Q20" s="334">
        <f>IF(EFID&gt;Inhalation_Exp[[#This Row],[ED_Central Tendency]],Inhalation_Exp[[#This Row],[24hr_Central Tendency]]*Inhalation_Exp[[#This Row],[ED_Central Tendency]]/ID,Inhalation_Exp[[#This Row],[24hr_Central Tendency]]*EFID/ID)</f>
        <v>2.6216666666666666E-2</v>
      </c>
      <c r="R20" s="339">
        <f t="shared" si="0"/>
        <v>0.1446917808219178</v>
      </c>
      <c r="S20" s="334">
        <f t="shared" si="1"/>
        <v>2.4486301369863014E-2</v>
      </c>
      <c r="T20" s="332">
        <f t="shared" si="2"/>
        <v>7.4200913242009128E-2</v>
      </c>
      <c r="U20" s="332">
        <f t="shared" si="3"/>
        <v>9.7317351598173521E-3</v>
      </c>
      <c r="V20" s="335">
        <v>4</v>
      </c>
      <c r="W20" s="335">
        <v>4</v>
      </c>
      <c r="X20" s="346" t="s">
        <v>204</v>
      </c>
      <c r="Y20" s="347" t="s">
        <v>205</v>
      </c>
    </row>
    <row r="21" spans="1:25" ht="15" x14ac:dyDescent="0.25">
      <c r="A21" s="338"/>
      <c r="B21" s="343">
        <v>3</v>
      </c>
      <c r="C21" s="341" t="s">
        <v>207</v>
      </c>
      <c r="D21" s="329" t="s">
        <v>72</v>
      </c>
      <c r="E21" s="330" t="s">
        <v>198</v>
      </c>
      <c r="F21" s="330">
        <v>250</v>
      </c>
      <c r="G21" s="330">
        <v>250</v>
      </c>
      <c r="H21" s="331">
        <v>0.75</v>
      </c>
      <c r="I21" s="331">
        <v>0.24</v>
      </c>
      <c r="J21" s="344">
        <v>0.94000000000000006</v>
      </c>
      <c r="K21" s="345">
        <v>4.6000000000000006E-2</v>
      </c>
      <c r="L21" s="332">
        <f>SUM(Inhalation_Exp[[#This Row],[Vapor_High-End]],Inhalation_Exp[[#This Row],[Dust_High-End]])</f>
        <v>1.69</v>
      </c>
      <c r="M21" s="332">
        <f>SUM(Inhalation_Exp[[#This Row],[Vapor_Central Tendency]],Inhalation_Exp[[#This Row],[Dust_Central Tendency]])</f>
        <v>0.28599999999999998</v>
      </c>
      <c r="N21" s="339">
        <f>(((L21*ED_8))*WorkBreathRate)/IF(Inhalation_Exp[[#This Row],[Worker Type]]="Female of Reproductive Age",BW_F,BW_default)</f>
        <v>0.23334483948912663</v>
      </c>
      <c r="O21" s="340">
        <f>((M21*ED_8)*WorkBreathRate)/IF(Inhalation_Exp[[#This Row],[Worker Type]]="Female of Reproductive Age",BW_F,BW_default)</f>
        <v>3.948912668277528E-2</v>
      </c>
      <c r="P21" s="339">
        <f>IF(EFID&gt;Inhalation_Exp[[#This Row],[ED_High-End]],Inhalation_Exp[[#This Row],[24hr_High-End]]*Inhalation_Exp[[#This Row],[ED_High-End]]/ID,Inhalation_Exp[[#This Row],[24hr_High-End]]*EFID/ID)</f>
        <v>0.17111954895869286</v>
      </c>
      <c r="Q21" s="340">
        <f>IF(EFID&gt;Inhalation_Exp[[#This Row],[ED_Central Tendency]],Inhalation_Exp[[#This Row],[24hr_Central Tendency]]*Inhalation_Exp[[#This Row],[ED_Central Tendency]]/ID,Inhalation_Exp[[#This Row],[24hr_Central Tendency]]*EFID/ID)</f>
        <v>2.8958692900701872E-2</v>
      </c>
      <c r="R21" s="339">
        <f t="shared" si="0"/>
        <v>0.15982523252679906</v>
      </c>
      <c r="S21" s="340">
        <f t="shared" si="1"/>
        <v>2.7047347042996765E-2</v>
      </c>
      <c r="T21" s="332">
        <f t="shared" si="2"/>
        <v>8.1961657706050794E-2</v>
      </c>
      <c r="U21" s="332">
        <f t="shared" si="3"/>
        <v>1.0749586645293586E-2</v>
      </c>
      <c r="V21" s="335">
        <v>4</v>
      </c>
      <c r="W21" s="335">
        <v>4</v>
      </c>
      <c r="X21" s="346" t="s">
        <v>204</v>
      </c>
      <c r="Y21" s="347" t="s">
        <v>205</v>
      </c>
    </row>
    <row r="22" spans="1:25" ht="15" x14ac:dyDescent="0.25">
      <c r="A22" s="338"/>
      <c r="B22" s="343">
        <v>3</v>
      </c>
      <c r="C22" s="341" t="s">
        <v>207</v>
      </c>
      <c r="D22" s="329" t="s">
        <v>92</v>
      </c>
      <c r="E22" s="330" t="s">
        <v>198</v>
      </c>
      <c r="F22" s="330">
        <v>250</v>
      </c>
      <c r="G22" s="330">
        <v>250</v>
      </c>
      <c r="H22" s="331">
        <v>0.24</v>
      </c>
      <c r="I22" s="331">
        <v>0.24</v>
      </c>
      <c r="J22" s="345">
        <v>4.6000000000000006E-2</v>
      </c>
      <c r="K22" s="345">
        <v>4.6000000000000006E-2</v>
      </c>
      <c r="L22" s="332">
        <f>SUM(Inhalation_Exp[[#This Row],[Vapor_High-End]],Inhalation_Exp[[#This Row],[Dust_High-End]])</f>
        <v>0.28599999999999998</v>
      </c>
      <c r="M22" s="332">
        <f>SUM(Inhalation_Exp[[#This Row],[Vapor_Central Tendency]],Inhalation_Exp[[#This Row],[Dust_Central Tendency]])</f>
        <v>0.28599999999999998</v>
      </c>
      <c r="N22" s="339">
        <f>(((L22*ED_8))*WorkBreathRate)/IF(Inhalation_Exp[[#This Row],[Worker Type]]="Female of Reproductive Age",BW_F,BW_default)</f>
        <v>3.5749999999999997E-2</v>
      </c>
      <c r="O22" s="340">
        <f>((M22*ED_8)*WorkBreathRate)/IF(Inhalation_Exp[[#This Row],[Worker Type]]="Female of Reproductive Age",BW_F,BW_default)</f>
        <v>3.5749999999999997E-2</v>
      </c>
      <c r="P22" s="339">
        <f>IF(EFID&gt;Inhalation_Exp[[#This Row],[ED_High-End]],Inhalation_Exp[[#This Row],[24hr_High-End]]*Inhalation_Exp[[#This Row],[ED_High-End]]/ID,Inhalation_Exp[[#This Row],[24hr_High-End]]*EFID/ID)</f>
        <v>2.6216666666666666E-2</v>
      </c>
      <c r="Q22" s="340">
        <f>IF(EFID&gt;Inhalation_Exp[[#This Row],[ED_Central Tendency]],Inhalation_Exp[[#This Row],[24hr_Central Tendency]]*Inhalation_Exp[[#This Row],[ED_Central Tendency]]/ID,Inhalation_Exp[[#This Row],[24hr_Central Tendency]]*EFID/ID)</f>
        <v>2.6216666666666666E-2</v>
      </c>
      <c r="R22" s="339">
        <f t="shared" si="0"/>
        <v>2.4486301369863014E-2</v>
      </c>
      <c r="S22" s="340">
        <f t="shared" si="1"/>
        <v>2.4486301369863014E-2</v>
      </c>
      <c r="T22" s="332">
        <f t="shared" si="2"/>
        <v>1.2557077625570776E-2</v>
      </c>
      <c r="U22" s="332">
        <f t="shared" si="3"/>
        <v>9.7317351598173521E-3</v>
      </c>
      <c r="V22" s="335">
        <v>4</v>
      </c>
      <c r="W22" s="335">
        <v>4</v>
      </c>
      <c r="X22" s="346" t="s">
        <v>204</v>
      </c>
      <c r="Y22" s="347" t="s">
        <v>205</v>
      </c>
    </row>
    <row r="23" spans="1:25" ht="15" x14ac:dyDescent="0.25">
      <c r="A23" s="338"/>
      <c r="B23" s="343">
        <v>3</v>
      </c>
      <c r="C23" s="341" t="s">
        <v>208</v>
      </c>
      <c r="D23" s="329" t="s">
        <v>197</v>
      </c>
      <c r="E23" s="330" t="s">
        <v>198</v>
      </c>
      <c r="F23" s="330">
        <v>250</v>
      </c>
      <c r="G23" s="330">
        <v>250</v>
      </c>
      <c r="H23" s="331"/>
      <c r="I23" s="331"/>
      <c r="J23" s="331"/>
      <c r="K23" s="331"/>
      <c r="L23" s="333">
        <v>5.2439999999999989</v>
      </c>
      <c r="M23" s="332">
        <v>0.82499999999999996</v>
      </c>
      <c r="N23" s="339">
        <f>(((L23*ED_8))*WorkBreathRate)/IF(Inhalation_Exp[[#This Row],[Worker Type]]="Female of Reproductive Age",BW_F,BW_default)</f>
        <v>0.65549999999999986</v>
      </c>
      <c r="O23" s="339">
        <f>((M23*ED_8)*WorkBreathRate)/IF(Inhalation_Exp[[#This Row],[Worker Type]]="Female of Reproductive Age",BW_F,BW_default)</f>
        <v>0.10312499999999999</v>
      </c>
      <c r="P23" s="332">
        <f>IF(EFID&gt;Inhalation_Exp[[#This Row],[ED_High-End]],Inhalation_Exp[[#This Row],[24hr_High-End]]*Inhalation_Exp[[#This Row],[ED_High-End]]/ID,Inhalation_Exp[[#This Row],[24hr_High-End]]*EFID/ID)</f>
        <v>0.48069999999999991</v>
      </c>
      <c r="Q23" s="331">
        <f>IF(EFID&gt;Inhalation_Exp[[#This Row],[ED_Central Tendency]],Inhalation_Exp[[#This Row],[24hr_Central Tendency]]*Inhalation_Exp[[#This Row],[ED_Central Tendency]]/ID,Inhalation_Exp[[#This Row],[24hr_Central Tendency]]*EFID/ID)</f>
        <v>7.5624999999999998E-2</v>
      </c>
      <c r="R23" s="332">
        <f t="shared" si="0"/>
        <v>0.44897260273972595</v>
      </c>
      <c r="S23" s="331">
        <f t="shared" si="1"/>
        <v>7.0633561643835621E-2</v>
      </c>
      <c r="T23" s="332">
        <f t="shared" si="2"/>
        <v>0.23024236037934664</v>
      </c>
      <c r="U23" s="332">
        <f t="shared" si="3"/>
        <v>2.8072312961011592E-2</v>
      </c>
      <c r="V23" s="348">
        <v>14</v>
      </c>
      <c r="W23" s="349" t="s">
        <v>209</v>
      </c>
      <c r="X23" s="350" t="s">
        <v>210</v>
      </c>
      <c r="Y23" s="337" t="s">
        <v>200</v>
      </c>
    </row>
    <row r="24" spans="1:25" ht="15" x14ac:dyDescent="0.2">
      <c r="A24" s="338"/>
      <c r="B24" s="343">
        <v>3</v>
      </c>
      <c r="C24" s="341" t="s">
        <v>208</v>
      </c>
      <c r="D24" s="329" t="s">
        <v>72</v>
      </c>
      <c r="E24" s="330" t="s">
        <v>198</v>
      </c>
      <c r="F24" s="330">
        <v>250</v>
      </c>
      <c r="G24" s="330">
        <v>250</v>
      </c>
      <c r="H24" s="331"/>
      <c r="I24" s="331"/>
      <c r="J24" s="331"/>
      <c r="K24" s="331"/>
      <c r="L24" s="331">
        <v>5.2439999999999989</v>
      </c>
      <c r="M24" s="330">
        <v>0.82499999999999996</v>
      </c>
      <c r="N24" s="339">
        <f>(((L24*ED_8))*WorkBreathRate)/IF(Inhalation_Exp[[#This Row],[Worker Type]]="Female of Reproductive Age",BW_F,BW_default)</f>
        <v>0.72405937176389346</v>
      </c>
      <c r="O24" s="340">
        <f>((M24*ED_8)*WorkBreathRate)/IF(Inhalation_Exp[[#This Row],[Worker Type]]="Female of Reproductive Age",BW_F,BW_default)</f>
        <v>0.11391094235415945</v>
      </c>
      <c r="P24" s="332">
        <f>IF(EFID&gt;Inhalation_Exp[[#This Row],[ED_High-End]],Inhalation_Exp[[#This Row],[24hr_High-End]]*Inhalation_Exp[[#This Row],[ED_High-End]]/ID,Inhalation_Exp[[#This Row],[24hr_High-End]]*EFID/ID)</f>
        <v>0.53097687262685522</v>
      </c>
      <c r="Q24" s="351">
        <f>IF(EFID&gt;Inhalation_Exp[[#This Row],[ED_Central Tendency]],Inhalation_Exp[[#This Row],[24hr_Central Tendency]]*Inhalation_Exp[[#This Row],[ED_Central Tendency]]/ID,Inhalation_Exp[[#This Row],[24hr_Central Tendency]]*EFID/ID)</f>
        <v>8.3534691059716934E-2</v>
      </c>
      <c r="R24" s="332">
        <f t="shared" si="0"/>
        <v>0.49593107655061192</v>
      </c>
      <c r="S24" s="351">
        <f t="shared" si="1"/>
        <v>7.8021193393259899E-2</v>
      </c>
      <c r="T24" s="332">
        <f t="shared" si="2"/>
        <v>0.2543236290003138</v>
      </c>
      <c r="U24" s="332">
        <f t="shared" si="3"/>
        <v>3.1008423015269963E-2</v>
      </c>
      <c r="V24" s="349">
        <v>14</v>
      </c>
      <c r="W24" s="349" t="s">
        <v>209</v>
      </c>
      <c r="X24" s="350" t="s">
        <v>210</v>
      </c>
      <c r="Y24" s="337" t="s">
        <v>200</v>
      </c>
    </row>
    <row r="25" spans="1:25" ht="15" x14ac:dyDescent="0.2">
      <c r="A25" s="338"/>
      <c r="B25" s="343">
        <v>3</v>
      </c>
      <c r="C25" s="341" t="s">
        <v>208</v>
      </c>
      <c r="D25" s="329" t="s">
        <v>92</v>
      </c>
      <c r="E25" s="330" t="s">
        <v>198</v>
      </c>
      <c r="F25" s="330">
        <v>250</v>
      </c>
      <c r="G25" s="330">
        <v>250</v>
      </c>
      <c r="H25" s="331"/>
      <c r="I25" s="331"/>
      <c r="J25" s="331"/>
      <c r="K25" s="331"/>
      <c r="L25" s="330">
        <v>0.82499999999999996</v>
      </c>
      <c r="M25" s="330">
        <v>0.82499999999999996</v>
      </c>
      <c r="N25" s="339">
        <f>(((L25*ED_8))*WorkBreathRate)/IF(Inhalation_Exp[[#This Row],[Worker Type]]="Female of Reproductive Age",BW_F,BW_default)</f>
        <v>0.10312499999999999</v>
      </c>
      <c r="O25" s="340">
        <f>((M25*ED_8)*WorkBreathRate)/IF(Inhalation_Exp[[#This Row],[Worker Type]]="Female of Reproductive Age",BW_F,BW_default)</f>
        <v>0.10312499999999999</v>
      </c>
      <c r="P25" s="332">
        <f>IF(EFID&gt;Inhalation_Exp[[#This Row],[ED_High-End]],Inhalation_Exp[[#This Row],[24hr_High-End]]*Inhalation_Exp[[#This Row],[ED_High-End]]/ID,Inhalation_Exp[[#This Row],[24hr_High-End]]*EFID/ID)</f>
        <v>7.5624999999999998E-2</v>
      </c>
      <c r="Q25" s="351">
        <f>IF(EFID&gt;Inhalation_Exp[[#This Row],[ED_Central Tendency]],Inhalation_Exp[[#This Row],[24hr_Central Tendency]]*Inhalation_Exp[[#This Row],[ED_Central Tendency]]/ID,Inhalation_Exp[[#This Row],[24hr_Central Tendency]]*EFID/ID)</f>
        <v>7.5624999999999998E-2</v>
      </c>
      <c r="R25" s="332">
        <f t="shared" si="0"/>
        <v>7.0633561643835621E-2</v>
      </c>
      <c r="S25" s="351">
        <f t="shared" si="1"/>
        <v>7.0633561643835621E-2</v>
      </c>
      <c r="T25" s="332">
        <f t="shared" si="2"/>
        <v>3.6222339304531087E-2</v>
      </c>
      <c r="U25" s="332">
        <f t="shared" si="3"/>
        <v>2.8072312961011592E-2</v>
      </c>
      <c r="V25" s="349">
        <v>14</v>
      </c>
      <c r="W25" s="349" t="s">
        <v>209</v>
      </c>
      <c r="X25" s="350" t="s">
        <v>210</v>
      </c>
      <c r="Y25" s="337" t="s">
        <v>200</v>
      </c>
    </row>
    <row r="26" spans="1:25" ht="15" x14ac:dyDescent="0.25">
      <c r="A26" s="338"/>
      <c r="B26" s="343">
        <v>3</v>
      </c>
      <c r="C26" s="341" t="s">
        <v>211</v>
      </c>
      <c r="D26" s="329" t="s">
        <v>197</v>
      </c>
      <c r="E26" s="330" t="s">
        <v>198</v>
      </c>
      <c r="F26" s="330">
        <v>250</v>
      </c>
      <c r="G26" s="330">
        <v>232</v>
      </c>
      <c r="H26" s="331">
        <v>0.1</v>
      </c>
      <c r="I26" s="330">
        <v>0.05</v>
      </c>
      <c r="J26" s="331"/>
      <c r="K26" s="331"/>
      <c r="L26" s="332">
        <f>SUM(Inhalation_Exp[[#This Row],[Vapor_High-End]],Inhalation_Exp[[#This Row],[Dust_High-End]])</f>
        <v>0.1</v>
      </c>
      <c r="M26" s="332">
        <f>SUM(Inhalation_Exp[[#This Row],[Vapor_Central Tendency]],Inhalation_Exp[[#This Row],[Dust_Central Tendency]])</f>
        <v>0.05</v>
      </c>
      <c r="N26" s="334">
        <f>(((L26*ED_8))*WorkBreathRate)/IF(Inhalation_Exp[[#This Row],[Worker Type]]="Female of Reproductive Age",BW_F,BW_default)</f>
        <v>1.2500000000000001E-2</v>
      </c>
      <c r="O26" s="334">
        <f>((M26*ED_8)*WorkBreathRate)/IF(Inhalation_Exp[[#This Row],[Worker Type]]="Female of Reproductive Age",BW_F,BW_default)</f>
        <v>6.2500000000000003E-3</v>
      </c>
      <c r="P26" s="331">
        <f>IF(EFID&gt;Inhalation_Exp[[#This Row],[ED_High-End]],Inhalation_Exp[[#This Row],[24hr_High-End]]*Inhalation_Exp[[#This Row],[ED_High-End]]/ID,Inhalation_Exp[[#This Row],[24hr_High-End]]*EFID/ID)</f>
        <v>9.1666666666666667E-3</v>
      </c>
      <c r="Q26" s="331">
        <f>IF(EFID&gt;Inhalation_Exp[[#This Row],[ED_Central Tendency]],Inhalation_Exp[[#This Row],[24hr_Central Tendency]]*Inhalation_Exp[[#This Row],[ED_Central Tendency]]/ID,Inhalation_Exp[[#This Row],[24hr_Central Tendency]]*EFID/ID)</f>
        <v>4.5833333333333334E-3</v>
      </c>
      <c r="R26" s="331">
        <f t="shared" si="0"/>
        <v>8.5616438356164379E-3</v>
      </c>
      <c r="S26" s="331">
        <f t="shared" si="1"/>
        <v>3.9726027397260274E-3</v>
      </c>
      <c r="T26" s="332">
        <f t="shared" si="2"/>
        <v>4.3905865823674044E-3</v>
      </c>
      <c r="U26" s="332">
        <f t="shared" si="3"/>
        <v>1.5788549350193187E-3</v>
      </c>
      <c r="V26" s="349">
        <v>19</v>
      </c>
      <c r="W26" s="349" t="s">
        <v>209</v>
      </c>
      <c r="X26" s="342" t="s">
        <v>212</v>
      </c>
      <c r="Y26" s="337" t="s">
        <v>200</v>
      </c>
    </row>
    <row r="27" spans="1:25" ht="15" x14ac:dyDescent="0.25">
      <c r="A27" s="338"/>
      <c r="B27" s="343">
        <v>3</v>
      </c>
      <c r="C27" s="341" t="s">
        <v>211</v>
      </c>
      <c r="D27" s="329" t="s">
        <v>72</v>
      </c>
      <c r="E27" s="330" t="s">
        <v>198</v>
      </c>
      <c r="F27" s="330">
        <v>250</v>
      </c>
      <c r="G27" s="330">
        <v>232</v>
      </c>
      <c r="H27" s="331">
        <v>0.1</v>
      </c>
      <c r="I27" s="330">
        <v>0.05</v>
      </c>
      <c r="J27" s="331"/>
      <c r="K27" s="331"/>
      <c r="L27" s="332">
        <f>SUM(Inhalation_Exp[[#This Row],[Vapor_High-End]],Inhalation_Exp[[#This Row],[Dust_High-End]])</f>
        <v>0.1</v>
      </c>
      <c r="M27" s="332">
        <f>SUM(Inhalation_Exp[[#This Row],[Vapor_Central Tendency]],Inhalation_Exp[[#This Row],[Dust_Central Tendency]])</f>
        <v>0.05</v>
      </c>
      <c r="N27" s="339">
        <f>(((L27*ED_8))*WorkBreathRate)/IF(Inhalation_Exp[[#This Row],[Worker Type]]="Female of Reproductive Age",BW_F,BW_default)</f>
        <v>1.3807386952019328E-2</v>
      </c>
      <c r="O27" s="340">
        <f>((M27*ED_8)*WorkBreathRate)/IF(Inhalation_Exp[[#This Row],[Worker Type]]="Female of Reproductive Age",BW_F,BW_default)</f>
        <v>6.9036934760096638E-3</v>
      </c>
      <c r="P27" s="332">
        <f>IF(EFID&gt;Inhalation_Exp[[#This Row],[ED_High-End]],Inhalation_Exp[[#This Row],[24hr_High-End]]*Inhalation_Exp[[#This Row],[ED_High-End]]/ID,Inhalation_Exp[[#This Row],[24hr_High-End]]*EFID/ID)</f>
        <v>1.0125417098147507E-2</v>
      </c>
      <c r="Q27" s="351">
        <f>IF(EFID&gt;Inhalation_Exp[[#This Row],[ED_Central Tendency]],Inhalation_Exp[[#This Row],[24hr_Central Tendency]]*Inhalation_Exp[[#This Row],[ED_Central Tendency]]/ID,Inhalation_Exp[[#This Row],[24hr_Central Tendency]]*EFID/ID)</f>
        <v>5.0627085490737534E-3</v>
      </c>
      <c r="R27" s="332">
        <f t="shared" si="0"/>
        <v>9.457114350698171E-3</v>
      </c>
      <c r="S27" s="351">
        <f t="shared" si="1"/>
        <v>4.3881010587239503E-3</v>
      </c>
      <c r="T27" s="332">
        <f t="shared" si="2"/>
        <v>4.8498022311272669E-3</v>
      </c>
      <c r="U27" s="332">
        <f t="shared" si="3"/>
        <v>1.7439888823133651E-3</v>
      </c>
      <c r="V27" s="349">
        <v>19</v>
      </c>
      <c r="W27" s="349" t="s">
        <v>209</v>
      </c>
      <c r="X27" s="342" t="s">
        <v>212</v>
      </c>
      <c r="Y27" s="337" t="s">
        <v>200</v>
      </c>
    </row>
    <row r="28" spans="1:25" ht="15" x14ac:dyDescent="0.25">
      <c r="A28" s="338"/>
      <c r="B28" s="343">
        <v>3</v>
      </c>
      <c r="C28" s="341" t="s">
        <v>211</v>
      </c>
      <c r="D28" s="329" t="s">
        <v>92</v>
      </c>
      <c r="E28" s="330" t="s">
        <v>198</v>
      </c>
      <c r="F28" s="330">
        <v>250</v>
      </c>
      <c r="G28" s="330">
        <v>232</v>
      </c>
      <c r="H28" s="330">
        <v>0.05</v>
      </c>
      <c r="I28" s="330">
        <v>0.05</v>
      </c>
      <c r="J28" s="331"/>
      <c r="K28" s="331"/>
      <c r="L28" s="332">
        <f>SUM(Inhalation_Exp[[#This Row],[Vapor_High-End]],Inhalation_Exp[[#This Row],[Dust_High-End]])</f>
        <v>0.05</v>
      </c>
      <c r="M28" s="332">
        <f>SUM(Inhalation_Exp[[#This Row],[Vapor_Central Tendency]],Inhalation_Exp[[#This Row],[Dust_Central Tendency]])</f>
        <v>0.05</v>
      </c>
      <c r="N28" s="339">
        <f>(((L28*ED_8))*WorkBreathRate)/IF(Inhalation_Exp[[#This Row],[Worker Type]]="Female of Reproductive Age",BW_F,BW_default)</f>
        <v>6.2500000000000003E-3</v>
      </c>
      <c r="O28" s="340">
        <f>((M28*ED_8)*WorkBreathRate)/IF(Inhalation_Exp[[#This Row],[Worker Type]]="Female of Reproductive Age",BW_F,BW_default)</f>
        <v>6.2500000000000003E-3</v>
      </c>
      <c r="P28" s="332">
        <f>IF(EFID&gt;Inhalation_Exp[[#This Row],[ED_High-End]],Inhalation_Exp[[#This Row],[24hr_High-End]]*Inhalation_Exp[[#This Row],[ED_High-End]]/ID,Inhalation_Exp[[#This Row],[24hr_High-End]]*EFID/ID)</f>
        <v>4.5833333333333334E-3</v>
      </c>
      <c r="Q28" s="351">
        <f>IF(EFID&gt;Inhalation_Exp[[#This Row],[ED_Central Tendency]],Inhalation_Exp[[#This Row],[24hr_Central Tendency]]*Inhalation_Exp[[#This Row],[ED_Central Tendency]]/ID,Inhalation_Exp[[#This Row],[24hr_Central Tendency]]*EFID/ID)</f>
        <v>4.5833333333333334E-3</v>
      </c>
      <c r="R28" s="332">
        <f t="shared" si="0"/>
        <v>4.2808219178082189E-3</v>
      </c>
      <c r="S28" s="351">
        <f t="shared" si="1"/>
        <v>3.9726027397260274E-3</v>
      </c>
      <c r="T28" s="332">
        <f t="shared" si="2"/>
        <v>2.1952932911837022E-3</v>
      </c>
      <c r="U28" s="332">
        <f t="shared" si="3"/>
        <v>1.5788549350193187E-3</v>
      </c>
      <c r="V28" s="349">
        <v>19</v>
      </c>
      <c r="W28" s="349" t="s">
        <v>209</v>
      </c>
      <c r="X28" s="342" t="s">
        <v>212</v>
      </c>
      <c r="Y28" s="337" t="s">
        <v>200</v>
      </c>
    </row>
    <row r="29" spans="1:25" x14ac:dyDescent="0.2">
      <c r="A29" s="338"/>
      <c r="B29" s="352"/>
      <c r="C29" s="341" t="s">
        <v>213</v>
      </c>
      <c r="D29" s="329" t="s">
        <v>197</v>
      </c>
      <c r="E29" s="330" t="s">
        <v>198</v>
      </c>
      <c r="F29" s="330">
        <v>250</v>
      </c>
      <c r="G29" s="330">
        <v>250</v>
      </c>
      <c r="H29" s="331"/>
      <c r="I29" s="331"/>
      <c r="J29" s="331">
        <v>0.54</v>
      </c>
      <c r="K29" s="331">
        <v>3.8000000000000006E-2</v>
      </c>
      <c r="L29" s="332">
        <f>SUM(Inhalation_Exp[[#This Row],[Vapor_High-End]],Inhalation_Exp[[#This Row],[Dust_High-End]])</f>
        <v>0.54</v>
      </c>
      <c r="M29" s="332">
        <f>SUM(Inhalation_Exp[[#This Row],[Vapor_Central Tendency]],Inhalation_Exp[[#This Row],[Dust_Central Tendency]])</f>
        <v>3.8000000000000006E-2</v>
      </c>
      <c r="N29" s="334">
        <f>(((L29*ED_8))*WorkBreathRate)/IF(Inhalation_Exp[[#This Row],[Worker Type]]="Female of Reproductive Age",BW_F,BW_default)</f>
        <v>6.7500000000000004E-2</v>
      </c>
      <c r="O29" s="334">
        <f>((M29*ED_8)*WorkBreathRate)/IF(Inhalation_Exp[[#This Row],[Worker Type]]="Female of Reproductive Age",BW_F,BW_default)</f>
        <v>4.7500000000000007E-3</v>
      </c>
      <c r="P29" s="331">
        <f>IF(EFID&gt;Inhalation_Exp[[#This Row],[ED_High-End]],Inhalation_Exp[[#This Row],[24hr_High-End]]*Inhalation_Exp[[#This Row],[ED_High-End]]/ID,Inhalation_Exp[[#This Row],[24hr_High-End]]*EFID/ID)</f>
        <v>4.9500000000000002E-2</v>
      </c>
      <c r="Q29" s="331">
        <f>IF(EFID&gt;Inhalation_Exp[[#This Row],[ED_Central Tendency]],Inhalation_Exp[[#This Row],[24hr_Central Tendency]]*Inhalation_Exp[[#This Row],[ED_Central Tendency]]/ID,Inhalation_Exp[[#This Row],[24hr_Central Tendency]]*EFID/ID)</f>
        <v>3.4833333333333335E-3</v>
      </c>
      <c r="R29" s="331">
        <f t="shared" si="0"/>
        <v>4.6232876712328765E-2</v>
      </c>
      <c r="S29" s="331">
        <f t="shared" si="1"/>
        <v>3.2534246575342471E-3</v>
      </c>
      <c r="T29" s="332">
        <f t="shared" si="2"/>
        <v>2.3709167544783982E-2</v>
      </c>
      <c r="U29" s="332">
        <f t="shared" si="3"/>
        <v>1.2930277485072009E-3</v>
      </c>
      <c r="V29" s="349">
        <v>19</v>
      </c>
      <c r="W29" s="349" t="s">
        <v>209</v>
      </c>
      <c r="X29" s="336" t="s">
        <v>214</v>
      </c>
      <c r="Y29" s="337" t="s">
        <v>215</v>
      </c>
    </row>
    <row r="30" spans="1:25" x14ac:dyDescent="0.2">
      <c r="A30" s="338"/>
      <c r="B30" s="352"/>
      <c r="C30" s="341" t="s">
        <v>213</v>
      </c>
      <c r="D30" s="329" t="s">
        <v>72</v>
      </c>
      <c r="E30" s="330" t="s">
        <v>198</v>
      </c>
      <c r="F30" s="330">
        <v>250</v>
      </c>
      <c r="G30" s="330">
        <v>250</v>
      </c>
      <c r="H30" s="331"/>
      <c r="I30" s="331"/>
      <c r="J30" s="331">
        <v>0.54</v>
      </c>
      <c r="K30" s="331">
        <v>3.8000000000000006E-2</v>
      </c>
      <c r="L30" s="332">
        <f>SUM(Inhalation_Exp[[#This Row],[Vapor_High-End]],Inhalation_Exp[[#This Row],[Dust_High-End]])</f>
        <v>0.54</v>
      </c>
      <c r="M30" s="332">
        <f>SUM(Inhalation_Exp[[#This Row],[Vapor_Central Tendency]],Inhalation_Exp[[#This Row],[Dust_Central Tendency]])</f>
        <v>3.8000000000000006E-2</v>
      </c>
      <c r="N30" s="339">
        <f>(((L30*ED_8))*WorkBreathRate)/IF(Inhalation_Exp[[#This Row],[Worker Type]]="Female of Reproductive Age",BW_F,BW_default)</f>
        <v>7.4559889540904381E-2</v>
      </c>
      <c r="O30" s="340">
        <f>((M30*ED_8)*WorkBreathRate)/IF(Inhalation_Exp[[#This Row],[Worker Type]]="Female of Reproductive Age",BW_F,BW_default)</f>
        <v>5.2468070417673457E-3</v>
      </c>
      <c r="P30" s="331">
        <f>IF(EFID&gt;Inhalation_Exp[[#This Row],[ED_High-End]],Inhalation_Exp[[#This Row],[24hr_High-End]]*Inhalation_Exp[[#This Row],[ED_High-End]]/ID,Inhalation_Exp[[#This Row],[24hr_High-End]]*EFID/ID)</f>
        <v>5.4677252329996547E-2</v>
      </c>
      <c r="Q30" s="331">
        <f>IF(EFID&gt;Inhalation_Exp[[#This Row],[ED_Central Tendency]],Inhalation_Exp[[#This Row],[24hr_Central Tendency]]*Inhalation_Exp[[#This Row],[ED_Central Tendency]]/ID,Inhalation_Exp[[#This Row],[24hr_Central Tendency]]*EFID/ID)</f>
        <v>3.8476584972960536E-3</v>
      </c>
      <c r="R30" s="332">
        <f t="shared" si="0"/>
        <v>5.106841749377012E-2</v>
      </c>
      <c r="S30" s="332">
        <f t="shared" si="1"/>
        <v>3.5937034532653052E-3</v>
      </c>
      <c r="T30" s="332">
        <f t="shared" si="2"/>
        <v>2.6188932048087241E-2</v>
      </c>
      <c r="U30" s="332">
        <f t="shared" si="3"/>
        <v>1.4282667570669804E-3</v>
      </c>
      <c r="V30" s="349">
        <v>19</v>
      </c>
      <c r="W30" s="349" t="s">
        <v>209</v>
      </c>
      <c r="X30" s="336" t="s">
        <v>214</v>
      </c>
      <c r="Y30" s="337" t="s">
        <v>215</v>
      </c>
    </row>
    <row r="31" spans="1:25" x14ac:dyDescent="0.2">
      <c r="A31" s="338"/>
      <c r="B31" s="352"/>
      <c r="C31" s="341" t="s">
        <v>213</v>
      </c>
      <c r="D31" s="329" t="s">
        <v>92</v>
      </c>
      <c r="E31" s="330" t="s">
        <v>198</v>
      </c>
      <c r="F31" s="330">
        <v>250</v>
      </c>
      <c r="G31" s="330">
        <v>250</v>
      </c>
      <c r="H31" s="331"/>
      <c r="I31" s="331"/>
      <c r="J31" s="331">
        <v>3.8000000000000006E-2</v>
      </c>
      <c r="K31" s="331">
        <v>3.8000000000000006E-2</v>
      </c>
      <c r="L31" s="332">
        <f>SUM(Inhalation_Exp[[#This Row],[Vapor_High-End]],Inhalation_Exp[[#This Row],[Dust_High-End]])</f>
        <v>3.8000000000000006E-2</v>
      </c>
      <c r="M31" s="332">
        <f>SUM(Inhalation_Exp[[#This Row],[Vapor_Central Tendency]],Inhalation_Exp[[#This Row],[Dust_Central Tendency]])</f>
        <v>3.8000000000000006E-2</v>
      </c>
      <c r="N31" s="339">
        <f>(((L31*ED_8))*WorkBreathRate)/IF(Inhalation_Exp[[#This Row],[Worker Type]]="Female of Reproductive Age",BW_F,BW_default)</f>
        <v>4.7500000000000007E-3</v>
      </c>
      <c r="O31" s="340">
        <f>((M31*ED_8)*WorkBreathRate)/IF(Inhalation_Exp[[#This Row],[Worker Type]]="Female of Reproductive Age",BW_F,BW_default)</f>
        <v>4.7500000000000007E-3</v>
      </c>
      <c r="P31" s="331">
        <f>IF(EFID&gt;Inhalation_Exp[[#This Row],[ED_High-End]],Inhalation_Exp[[#This Row],[24hr_High-End]]*Inhalation_Exp[[#This Row],[ED_High-End]]/ID,Inhalation_Exp[[#This Row],[24hr_High-End]]*EFID/ID)</f>
        <v>3.4833333333333335E-3</v>
      </c>
      <c r="Q31" s="331">
        <f>IF(EFID&gt;Inhalation_Exp[[#This Row],[ED_Central Tendency]],Inhalation_Exp[[#This Row],[24hr_Central Tendency]]*Inhalation_Exp[[#This Row],[ED_Central Tendency]]/ID,Inhalation_Exp[[#This Row],[24hr_Central Tendency]]*EFID/ID)</f>
        <v>3.4833333333333335E-3</v>
      </c>
      <c r="R31" s="332">
        <f t="shared" si="0"/>
        <v>3.2534246575342471E-3</v>
      </c>
      <c r="S31" s="332">
        <f t="shared" si="1"/>
        <v>3.2534246575342471E-3</v>
      </c>
      <c r="T31" s="332">
        <f t="shared" si="2"/>
        <v>1.6684229012996139E-3</v>
      </c>
      <c r="U31" s="332">
        <f t="shared" si="3"/>
        <v>1.2930277485072009E-3</v>
      </c>
      <c r="V31" s="349">
        <v>19</v>
      </c>
      <c r="W31" s="349" t="s">
        <v>209</v>
      </c>
      <c r="X31" s="336" t="s">
        <v>214</v>
      </c>
      <c r="Y31" s="337" t="s">
        <v>215</v>
      </c>
    </row>
    <row r="32" spans="1:25" ht="15" x14ac:dyDescent="0.2">
      <c r="A32" s="338"/>
      <c r="B32" s="343">
        <v>4</v>
      </c>
      <c r="C32" s="341" t="s">
        <v>216</v>
      </c>
      <c r="D32" s="329" t="s">
        <v>197</v>
      </c>
      <c r="E32" s="330" t="s">
        <v>198</v>
      </c>
      <c r="F32" s="330">
        <v>250</v>
      </c>
      <c r="G32" s="330">
        <v>250</v>
      </c>
      <c r="H32" s="331">
        <v>0.1</v>
      </c>
      <c r="I32" s="330">
        <v>0.05</v>
      </c>
      <c r="J32" s="331"/>
      <c r="K32" s="331"/>
      <c r="L32" s="332">
        <f>SUM(Inhalation_Exp[[#This Row],[Vapor_High-End]],Inhalation_Exp[[#This Row],[Dust_High-End]])</f>
        <v>0.1</v>
      </c>
      <c r="M32" s="332">
        <f>SUM(Inhalation_Exp[[#This Row],[Vapor_Central Tendency]],Inhalation_Exp[[#This Row],[Dust_Central Tendency]])</f>
        <v>0.05</v>
      </c>
      <c r="N32" s="334">
        <f>(((L32*ED_8))*WorkBreathRate)/IF(Inhalation_Exp[[#This Row],[Worker Type]]="Female of Reproductive Age",BW_F,BW_default)</f>
        <v>1.2500000000000001E-2</v>
      </c>
      <c r="O32" s="334">
        <f>((M32*ED_8)*WorkBreathRate)/IF(Inhalation_Exp[[#This Row],[Worker Type]]="Female of Reproductive Age",BW_F,BW_default)</f>
        <v>6.2500000000000003E-3</v>
      </c>
      <c r="P32" s="331">
        <f>IF(EFID&gt;Inhalation_Exp[[#This Row],[ED_High-End]],Inhalation_Exp[[#This Row],[24hr_High-End]]*Inhalation_Exp[[#This Row],[ED_High-End]]/ID,Inhalation_Exp[[#This Row],[24hr_High-End]]*EFID/ID)</f>
        <v>9.1666666666666667E-3</v>
      </c>
      <c r="Q32" s="331">
        <f>IF(EFID&gt;Inhalation_Exp[[#This Row],[ED_Central Tendency]],Inhalation_Exp[[#This Row],[24hr_Central Tendency]]*Inhalation_Exp[[#This Row],[ED_Central Tendency]]/ID,Inhalation_Exp[[#This Row],[24hr_Central Tendency]]*EFID/ID)</f>
        <v>4.5833333333333334E-3</v>
      </c>
      <c r="R32" s="331">
        <f t="shared" si="0"/>
        <v>8.5616438356164379E-3</v>
      </c>
      <c r="S32" s="331">
        <f t="shared" si="1"/>
        <v>4.2808219178082189E-3</v>
      </c>
      <c r="T32" s="332">
        <f t="shared" si="2"/>
        <v>4.3905865823674044E-3</v>
      </c>
      <c r="U32" s="332">
        <f t="shared" si="3"/>
        <v>1.7013523006673692E-3</v>
      </c>
      <c r="V32" s="349" t="s">
        <v>209</v>
      </c>
      <c r="W32" s="349" t="s">
        <v>209</v>
      </c>
      <c r="X32" s="336" t="s">
        <v>217</v>
      </c>
      <c r="Y32" s="337" t="s">
        <v>200</v>
      </c>
    </row>
    <row r="33" spans="1:25" ht="15" x14ac:dyDescent="0.2">
      <c r="A33" s="338"/>
      <c r="B33" s="343">
        <v>4</v>
      </c>
      <c r="C33" s="341" t="s">
        <v>216</v>
      </c>
      <c r="D33" s="329" t="s">
        <v>72</v>
      </c>
      <c r="E33" s="330" t="s">
        <v>198</v>
      </c>
      <c r="F33" s="330">
        <v>250</v>
      </c>
      <c r="G33" s="330">
        <v>250</v>
      </c>
      <c r="H33" s="331">
        <v>0.1</v>
      </c>
      <c r="I33" s="330">
        <v>0.05</v>
      </c>
      <c r="J33" s="331"/>
      <c r="K33" s="331"/>
      <c r="L33" s="332">
        <f>SUM(Inhalation_Exp[[#This Row],[Vapor_High-End]],Inhalation_Exp[[#This Row],[Dust_High-End]])</f>
        <v>0.1</v>
      </c>
      <c r="M33" s="332">
        <f>SUM(Inhalation_Exp[[#This Row],[Vapor_Central Tendency]],Inhalation_Exp[[#This Row],[Dust_Central Tendency]])</f>
        <v>0.05</v>
      </c>
      <c r="N33" s="339">
        <f>(((L33*ED_8))*WorkBreathRate)/IF(Inhalation_Exp[[#This Row],[Worker Type]]="Female of Reproductive Age",BW_F,BW_default)</f>
        <v>1.3807386952019328E-2</v>
      </c>
      <c r="O33" s="340">
        <f>((M33*ED_8)*WorkBreathRate)/IF(Inhalation_Exp[[#This Row],[Worker Type]]="Female of Reproductive Age",BW_F,BW_default)</f>
        <v>6.9036934760096638E-3</v>
      </c>
      <c r="P33" s="332">
        <f>IF(EFID&gt;Inhalation_Exp[[#This Row],[ED_High-End]],Inhalation_Exp[[#This Row],[24hr_High-End]]*Inhalation_Exp[[#This Row],[ED_High-End]]/ID,Inhalation_Exp[[#This Row],[24hr_High-End]]*EFID/ID)</f>
        <v>1.0125417098147507E-2</v>
      </c>
      <c r="Q33" s="351">
        <f>IF(EFID&gt;Inhalation_Exp[[#This Row],[ED_Central Tendency]],Inhalation_Exp[[#This Row],[24hr_Central Tendency]]*Inhalation_Exp[[#This Row],[ED_Central Tendency]]/ID,Inhalation_Exp[[#This Row],[24hr_Central Tendency]]*EFID/ID)</f>
        <v>5.0627085490737534E-3</v>
      </c>
      <c r="R33" s="332">
        <f t="shared" si="0"/>
        <v>9.457114350698171E-3</v>
      </c>
      <c r="S33" s="351">
        <f t="shared" si="1"/>
        <v>4.7285571753490855E-3</v>
      </c>
      <c r="T33" s="332">
        <f t="shared" si="2"/>
        <v>4.8498022311272669E-3</v>
      </c>
      <c r="U33" s="332">
        <f t="shared" si="3"/>
        <v>1.8792983645618158E-3</v>
      </c>
      <c r="V33" s="349" t="s">
        <v>209</v>
      </c>
      <c r="W33" s="349" t="s">
        <v>209</v>
      </c>
      <c r="X33" s="336" t="s">
        <v>217</v>
      </c>
      <c r="Y33" s="337" t="s">
        <v>200</v>
      </c>
    </row>
    <row r="34" spans="1:25" ht="15" x14ac:dyDescent="0.2">
      <c r="A34" s="338"/>
      <c r="B34" s="343">
        <v>4</v>
      </c>
      <c r="C34" s="341" t="s">
        <v>216</v>
      </c>
      <c r="D34" s="329" t="s">
        <v>92</v>
      </c>
      <c r="E34" s="330" t="s">
        <v>198</v>
      </c>
      <c r="F34" s="330">
        <v>250</v>
      </c>
      <c r="G34" s="330">
        <v>250</v>
      </c>
      <c r="H34" s="330">
        <v>0.05</v>
      </c>
      <c r="I34" s="330">
        <v>0.05</v>
      </c>
      <c r="J34" s="331"/>
      <c r="K34" s="331"/>
      <c r="L34" s="332">
        <f>SUM(Inhalation_Exp[[#This Row],[Vapor_High-End]],Inhalation_Exp[[#This Row],[Dust_High-End]])</f>
        <v>0.05</v>
      </c>
      <c r="M34" s="332">
        <f>SUM(Inhalation_Exp[[#This Row],[Vapor_Central Tendency]],Inhalation_Exp[[#This Row],[Dust_Central Tendency]])</f>
        <v>0.05</v>
      </c>
      <c r="N34" s="339">
        <f>(((L34*ED_8))*WorkBreathRate)/IF(Inhalation_Exp[[#This Row],[Worker Type]]="Female of Reproductive Age",BW_F,BW_default)</f>
        <v>6.2500000000000003E-3</v>
      </c>
      <c r="O34" s="340">
        <f>((M34*ED_8)*WorkBreathRate)/IF(Inhalation_Exp[[#This Row],[Worker Type]]="Female of Reproductive Age",BW_F,BW_default)</f>
        <v>6.2500000000000003E-3</v>
      </c>
      <c r="P34" s="332">
        <f>IF(EFID&gt;Inhalation_Exp[[#This Row],[ED_High-End]],Inhalation_Exp[[#This Row],[24hr_High-End]]*Inhalation_Exp[[#This Row],[ED_High-End]]/ID,Inhalation_Exp[[#This Row],[24hr_High-End]]*EFID/ID)</f>
        <v>4.5833333333333334E-3</v>
      </c>
      <c r="Q34" s="351">
        <f>IF(EFID&gt;Inhalation_Exp[[#This Row],[ED_Central Tendency]],Inhalation_Exp[[#This Row],[24hr_Central Tendency]]*Inhalation_Exp[[#This Row],[ED_Central Tendency]]/ID,Inhalation_Exp[[#This Row],[24hr_Central Tendency]]*EFID/ID)</f>
        <v>4.5833333333333334E-3</v>
      </c>
      <c r="R34" s="332">
        <f t="shared" si="0"/>
        <v>4.2808219178082189E-3</v>
      </c>
      <c r="S34" s="351">
        <f t="shared" si="1"/>
        <v>4.2808219178082189E-3</v>
      </c>
      <c r="T34" s="332">
        <f t="shared" si="2"/>
        <v>2.1952932911837022E-3</v>
      </c>
      <c r="U34" s="332">
        <f t="shared" si="3"/>
        <v>1.7013523006673692E-3</v>
      </c>
      <c r="V34" s="349" t="s">
        <v>209</v>
      </c>
      <c r="W34" s="349" t="s">
        <v>209</v>
      </c>
      <c r="X34" s="336" t="s">
        <v>217</v>
      </c>
      <c r="Y34" s="337" t="s">
        <v>200</v>
      </c>
    </row>
    <row r="35" spans="1:25" ht="15" x14ac:dyDescent="0.25">
      <c r="A35" s="338"/>
      <c r="B35" s="343">
        <v>4</v>
      </c>
      <c r="C35" s="341" t="s">
        <v>218</v>
      </c>
      <c r="D35" s="329" t="s">
        <v>197</v>
      </c>
      <c r="E35" s="330" t="s">
        <v>198</v>
      </c>
      <c r="F35" s="330">
        <v>250</v>
      </c>
      <c r="G35" s="330">
        <v>250</v>
      </c>
      <c r="H35" s="331">
        <v>1</v>
      </c>
      <c r="I35" s="331">
        <v>0.5</v>
      </c>
      <c r="J35" s="331"/>
      <c r="K35" s="331"/>
      <c r="L35" s="333">
        <f>SUM(Inhalation_Exp[[#This Row],[Vapor_High-End]],Inhalation_Exp[[#This Row],[Dust_High-End]])</f>
        <v>1</v>
      </c>
      <c r="M35" s="332">
        <f>SUM(Inhalation_Exp[[#This Row],[Vapor_Central Tendency]],Inhalation_Exp[[#This Row],[Dust_Central Tendency]])</f>
        <v>0.5</v>
      </c>
      <c r="N35" s="339">
        <f>(((L35*ED_8))*WorkBreathRate)/IF(Inhalation_Exp[[#This Row],[Worker Type]]="Female of Reproductive Age",BW_F,BW_default)</f>
        <v>0.125</v>
      </c>
      <c r="O35" s="334">
        <f>((M35*ED_8)*WorkBreathRate)/IF(Inhalation_Exp[[#This Row],[Worker Type]]="Female of Reproductive Age",BW_F,BW_default)</f>
        <v>6.25E-2</v>
      </c>
      <c r="P35" s="331">
        <f>IF(EFID&gt;Inhalation_Exp[[#This Row],[ED_High-End]],Inhalation_Exp[[#This Row],[24hr_High-End]]*Inhalation_Exp[[#This Row],[ED_High-End]]/ID,Inhalation_Exp[[#This Row],[24hr_High-End]]*EFID/ID)</f>
        <v>9.166666666666666E-2</v>
      </c>
      <c r="Q35" s="331">
        <f>IF(EFID&gt;Inhalation_Exp[[#This Row],[ED_Central Tendency]],Inhalation_Exp[[#This Row],[24hr_Central Tendency]]*Inhalation_Exp[[#This Row],[ED_Central Tendency]]/ID,Inhalation_Exp[[#This Row],[24hr_Central Tendency]]*EFID/ID)</f>
        <v>4.583333333333333E-2</v>
      </c>
      <c r="R35" s="331">
        <f t="shared" si="0"/>
        <v>8.5616438356164379E-2</v>
      </c>
      <c r="S35" s="331">
        <f t="shared" si="1"/>
        <v>4.2808219178082189E-2</v>
      </c>
      <c r="T35" s="332">
        <f t="shared" si="2"/>
        <v>4.3905865823674041E-2</v>
      </c>
      <c r="U35" s="332">
        <f t="shared" si="3"/>
        <v>1.7013523006673692E-2</v>
      </c>
      <c r="V35" s="335">
        <v>3</v>
      </c>
      <c r="W35" s="335">
        <v>3</v>
      </c>
      <c r="X35" s="342" t="s">
        <v>201</v>
      </c>
      <c r="Y35" s="337" t="s">
        <v>200</v>
      </c>
    </row>
    <row r="36" spans="1:25" ht="15" x14ac:dyDescent="0.25">
      <c r="A36" s="338"/>
      <c r="B36" s="343">
        <v>4</v>
      </c>
      <c r="C36" s="341" t="s">
        <v>218</v>
      </c>
      <c r="D36" s="329" t="s">
        <v>72</v>
      </c>
      <c r="E36" s="330" t="s">
        <v>198</v>
      </c>
      <c r="F36" s="330">
        <v>250</v>
      </c>
      <c r="G36" s="330">
        <v>250</v>
      </c>
      <c r="H36" s="331">
        <v>1</v>
      </c>
      <c r="I36" s="331">
        <v>0.5</v>
      </c>
      <c r="J36" s="331"/>
      <c r="K36" s="331"/>
      <c r="L36" s="332">
        <f>SUM(Inhalation_Exp[[#This Row],[Vapor_High-End]],Inhalation_Exp[[#This Row],[Dust_High-End]])</f>
        <v>1</v>
      </c>
      <c r="M36" s="332">
        <f>SUM(Inhalation_Exp[[#This Row],[Vapor_Central Tendency]],Inhalation_Exp[[#This Row],[Dust_Central Tendency]])</f>
        <v>0.5</v>
      </c>
      <c r="N36" s="339">
        <f>(((L36*ED_8))*WorkBreathRate)/IF(Inhalation_Exp[[#This Row],[Worker Type]]="Female of Reproductive Age",BW_F,BW_default)</f>
        <v>0.13807386952019329</v>
      </c>
      <c r="O36" s="340">
        <f>((M36*ED_8)*WorkBreathRate)/IF(Inhalation_Exp[[#This Row],[Worker Type]]="Female of Reproductive Age",BW_F,BW_default)</f>
        <v>6.9036934760096647E-2</v>
      </c>
      <c r="P36" s="332">
        <f>IF(EFID&gt;Inhalation_Exp[[#This Row],[ED_High-End]],Inhalation_Exp[[#This Row],[24hr_High-End]]*Inhalation_Exp[[#This Row],[ED_High-End]]/ID,Inhalation_Exp[[#This Row],[24hr_High-End]]*EFID/ID)</f>
        <v>0.10125417098147509</v>
      </c>
      <c r="Q36" s="351">
        <f>IF(EFID&gt;Inhalation_Exp[[#This Row],[ED_Central Tendency]],Inhalation_Exp[[#This Row],[24hr_Central Tendency]]*Inhalation_Exp[[#This Row],[ED_Central Tendency]]/ID,Inhalation_Exp[[#This Row],[24hr_Central Tendency]]*EFID/ID)</f>
        <v>5.0627085490737543E-2</v>
      </c>
      <c r="R36" s="332">
        <f t="shared" si="0"/>
        <v>9.4571143506981703E-2</v>
      </c>
      <c r="S36" s="351">
        <f t="shared" si="1"/>
        <v>4.7285571753490852E-2</v>
      </c>
      <c r="T36" s="332">
        <f t="shared" si="2"/>
        <v>4.8498022311272669E-2</v>
      </c>
      <c r="U36" s="332">
        <f t="shared" si="3"/>
        <v>1.8792983645618159E-2</v>
      </c>
      <c r="V36" s="335">
        <v>3</v>
      </c>
      <c r="W36" s="335">
        <v>3</v>
      </c>
      <c r="X36" s="342" t="s">
        <v>201</v>
      </c>
      <c r="Y36" s="337" t="s">
        <v>200</v>
      </c>
    </row>
    <row r="37" spans="1:25" ht="15" x14ac:dyDescent="0.25">
      <c r="A37" s="338"/>
      <c r="B37" s="343">
        <v>4</v>
      </c>
      <c r="C37" s="341" t="s">
        <v>218</v>
      </c>
      <c r="D37" s="329" t="s">
        <v>92</v>
      </c>
      <c r="E37" s="330" t="s">
        <v>198</v>
      </c>
      <c r="F37" s="330">
        <v>250</v>
      </c>
      <c r="G37" s="330">
        <v>250</v>
      </c>
      <c r="H37" s="331">
        <v>0.5</v>
      </c>
      <c r="I37" s="331">
        <v>0.5</v>
      </c>
      <c r="J37" s="331"/>
      <c r="K37" s="331"/>
      <c r="L37" s="332">
        <f>SUM(Inhalation_Exp[[#This Row],[Vapor_High-End]],Inhalation_Exp[[#This Row],[Dust_High-End]])</f>
        <v>0.5</v>
      </c>
      <c r="M37" s="332">
        <f>SUM(Inhalation_Exp[[#This Row],[Vapor_Central Tendency]],Inhalation_Exp[[#This Row],[Dust_Central Tendency]])</f>
        <v>0.5</v>
      </c>
      <c r="N37" s="339">
        <f>(((L37*ED_8))*WorkBreathRate)/IF(Inhalation_Exp[[#This Row],[Worker Type]]="Female of Reproductive Age",BW_F,BW_default)</f>
        <v>6.25E-2</v>
      </c>
      <c r="O37" s="340">
        <f>((M37*ED_8)*WorkBreathRate)/IF(Inhalation_Exp[[#This Row],[Worker Type]]="Female of Reproductive Age",BW_F,BW_default)</f>
        <v>6.25E-2</v>
      </c>
      <c r="P37" s="332">
        <f>IF(EFID&gt;Inhalation_Exp[[#This Row],[ED_High-End]],Inhalation_Exp[[#This Row],[24hr_High-End]]*Inhalation_Exp[[#This Row],[ED_High-End]]/ID,Inhalation_Exp[[#This Row],[24hr_High-End]]*EFID/ID)</f>
        <v>4.583333333333333E-2</v>
      </c>
      <c r="Q37" s="351">
        <f>IF(EFID&gt;Inhalation_Exp[[#This Row],[ED_Central Tendency]],Inhalation_Exp[[#This Row],[24hr_Central Tendency]]*Inhalation_Exp[[#This Row],[ED_Central Tendency]]/ID,Inhalation_Exp[[#This Row],[24hr_Central Tendency]]*EFID/ID)</f>
        <v>4.583333333333333E-2</v>
      </c>
      <c r="R37" s="332">
        <f t="shared" si="0"/>
        <v>4.2808219178082189E-2</v>
      </c>
      <c r="S37" s="351">
        <f t="shared" si="1"/>
        <v>4.2808219178082189E-2</v>
      </c>
      <c r="T37" s="332">
        <f t="shared" si="2"/>
        <v>2.195293291183702E-2</v>
      </c>
      <c r="U37" s="332">
        <f t="shared" si="3"/>
        <v>1.7013523006673692E-2</v>
      </c>
      <c r="V37" s="335">
        <v>3</v>
      </c>
      <c r="W37" s="335">
        <v>3</v>
      </c>
      <c r="X37" s="342" t="s">
        <v>201</v>
      </c>
      <c r="Y37" s="337" t="s">
        <v>200</v>
      </c>
    </row>
    <row r="38" spans="1:25" ht="15" x14ac:dyDescent="0.25">
      <c r="A38" s="338"/>
      <c r="B38" s="343">
        <v>4</v>
      </c>
      <c r="C38" s="341" t="s">
        <v>219</v>
      </c>
      <c r="D38" s="329" t="s">
        <v>197</v>
      </c>
      <c r="E38" s="330" t="s">
        <v>198</v>
      </c>
      <c r="F38" s="353">
        <v>4</v>
      </c>
      <c r="G38" s="353">
        <v>2</v>
      </c>
      <c r="H38" s="331">
        <v>0.1</v>
      </c>
      <c r="I38" s="330">
        <v>0.05</v>
      </c>
      <c r="J38" s="331"/>
      <c r="K38" s="331"/>
      <c r="L38" s="332">
        <f>SUM(Inhalation_Exp[[#This Row],[Vapor_High-End]],Inhalation_Exp[[#This Row],[Dust_High-End]])</f>
        <v>0.1</v>
      </c>
      <c r="M38" s="332">
        <f>SUM(Inhalation_Exp[[#This Row],[Vapor_Central Tendency]],Inhalation_Exp[[#This Row],[Dust_Central Tendency]])</f>
        <v>0.05</v>
      </c>
      <c r="N38" s="334">
        <f>(((L38*ED_8))*WorkBreathRate)/IF(Inhalation_Exp[[#This Row],[Worker Type]]="Female of Reproductive Age",BW_F,BW_default)</f>
        <v>1.2500000000000001E-2</v>
      </c>
      <c r="O38" s="334">
        <f>((M38*ED_8)*WorkBreathRate)/IF(Inhalation_Exp[[#This Row],[Worker Type]]="Female of Reproductive Age",BW_F,BW_default)</f>
        <v>6.2500000000000003E-3</v>
      </c>
      <c r="P38" s="331">
        <f>IF(EFID&gt;Inhalation_Exp[[#This Row],[ED_High-End]],Inhalation_Exp[[#This Row],[24hr_High-End]]*Inhalation_Exp[[#This Row],[ED_High-End]]/ID,Inhalation_Exp[[#This Row],[24hr_High-End]]*EFID/ID)</f>
        <v>1.6666666666666668E-3</v>
      </c>
      <c r="Q38" s="331">
        <f>IF(EFID&gt;Inhalation_Exp[[#This Row],[ED_Central Tendency]],Inhalation_Exp[[#This Row],[24hr_Central Tendency]]*Inhalation_Exp[[#This Row],[ED_Central Tendency]]/ID,Inhalation_Exp[[#This Row],[24hr_Central Tendency]]*EFID/ID)</f>
        <v>4.1666666666666669E-4</v>
      </c>
      <c r="R38" s="331">
        <f t="shared" si="0"/>
        <v>1.36986301369863E-4</v>
      </c>
      <c r="S38" s="331">
        <f t="shared" si="1"/>
        <v>3.4246575342465758E-5</v>
      </c>
      <c r="T38" s="332">
        <f t="shared" si="2"/>
        <v>7.0249385317878473E-5</v>
      </c>
      <c r="U38" s="332">
        <f t="shared" si="3"/>
        <v>1.3610818405338953E-5</v>
      </c>
      <c r="V38" s="349">
        <v>19</v>
      </c>
      <c r="W38" s="349" t="s">
        <v>209</v>
      </c>
      <c r="X38" s="354" t="s">
        <v>220</v>
      </c>
      <c r="Y38" s="337" t="s">
        <v>200</v>
      </c>
    </row>
    <row r="39" spans="1:25" ht="15" x14ac:dyDescent="0.25">
      <c r="A39" s="338"/>
      <c r="B39" s="343">
        <v>4</v>
      </c>
      <c r="C39" s="341" t="s">
        <v>219</v>
      </c>
      <c r="D39" s="329" t="s">
        <v>72</v>
      </c>
      <c r="E39" s="330" t="s">
        <v>198</v>
      </c>
      <c r="F39" s="353">
        <v>4</v>
      </c>
      <c r="G39" s="353">
        <v>2</v>
      </c>
      <c r="H39" s="331">
        <v>0.1</v>
      </c>
      <c r="I39" s="330">
        <v>0.05</v>
      </c>
      <c r="J39" s="331"/>
      <c r="K39" s="331"/>
      <c r="L39" s="332">
        <f>SUM(Inhalation_Exp[[#This Row],[Vapor_High-End]],Inhalation_Exp[[#This Row],[Dust_High-End]])</f>
        <v>0.1</v>
      </c>
      <c r="M39" s="332">
        <f>SUM(Inhalation_Exp[[#This Row],[Vapor_Central Tendency]],Inhalation_Exp[[#This Row],[Dust_Central Tendency]])</f>
        <v>0.05</v>
      </c>
      <c r="N39" s="339">
        <f>(((L39*ED_8))*WorkBreathRate)/IF(Inhalation_Exp[[#This Row],[Worker Type]]="Female of Reproductive Age",BW_F,BW_default)</f>
        <v>1.3807386952019328E-2</v>
      </c>
      <c r="O39" s="340">
        <f>((M39*ED_8)*WorkBreathRate)/IF(Inhalation_Exp[[#This Row],[Worker Type]]="Female of Reproductive Age",BW_F,BW_default)</f>
        <v>6.9036934760096638E-3</v>
      </c>
      <c r="P39" s="332">
        <f>IF(EFID&gt;Inhalation_Exp[[#This Row],[ED_High-End]],Inhalation_Exp[[#This Row],[24hr_High-End]]*Inhalation_Exp[[#This Row],[ED_High-End]]/ID,Inhalation_Exp[[#This Row],[24hr_High-End]]*EFID/ID)</f>
        <v>1.8409849269359103E-3</v>
      </c>
      <c r="Q39" s="351">
        <f>IF(EFID&gt;Inhalation_Exp[[#This Row],[ED_Central Tendency]],Inhalation_Exp[[#This Row],[24hr_Central Tendency]]*Inhalation_Exp[[#This Row],[ED_Central Tendency]]/ID,Inhalation_Exp[[#This Row],[24hr_Central Tendency]]*EFID/ID)</f>
        <v>4.6024623173397759E-4</v>
      </c>
      <c r="R39" s="332">
        <f t="shared" si="0"/>
        <v>1.513138296111707E-4</v>
      </c>
      <c r="S39" s="351">
        <f t="shared" si="1"/>
        <v>3.7828457402792675E-5</v>
      </c>
      <c r="T39" s="332">
        <f t="shared" si="2"/>
        <v>7.7596835698036251E-5</v>
      </c>
      <c r="U39" s="332">
        <f t="shared" si="3"/>
        <v>1.5034386916494526E-5</v>
      </c>
      <c r="V39" s="349">
        <v>19</v>
      </c>
      <c r="W39" s="349" t="s">
        <v>209</v>
      </c>
      <c r="X39" s="354" t="s">
        <v>220</v>
      </c>
      <c r="Y39" s="337" t="s">
        <v>200</v>
      </c>
    </row>
    <row r="40" spans="1:25" ht="15" x14ac:dyDescent="0.25">
      <c r="A40" s="338"/>
      <c r="B40" s="343">
        <v>4</v>
      </c>
      <c r="C40" s="341" t="s">
        <v>219</v>
      </c>
      <c r="D40" s="329" t="s">
        <v>92</v>
      </c>
      <c r="E40" s="330" t="s">
        <v>198</v>
      </c>
      <c r="F40" s="353">
        <v>4</v>
      </c>
      <c r="G40" s="353">
        <v>2</v>
      </c>
      <c r="H40" s="330">
        <v>0.05</v>
      </c>
      <c r="I40" s="330">
        <v>0.05</v>
      </c>
      <c r="J40" s="331"/>
      <c r="K40" s="331"/>
      <c r="L40" s="332">
        <f>SUM(Inhalation_Exp[[#This Row],[Vapor_High-End]],Inhalation_Exp[[#This Row],[Dust_High-End]])</f>
        <v>0.05</v>
      </c>
      <c r="M40" s="332">
        <f>SUM(Inhalation_Exp[[#This Row],[Vapor_Central Tendency]],Inhalation_Exp[[#This Row],[Dust_Central Tendency]])</f>
        <v>0.05</v>
      </c>
      <c r="N40" s="339">
        <f>(((L40*ED_8))*WorkBreathRate)/IF(Inhalation_Exp[[#This Row],[Worker Type]]="Female of Reproductive Age",BW_F,BW_default)</f>
        <v>6.2500000000000003E-3</v>
      </c>
      <c r="O40" s="340">
        <f>((M40*ED_8)*WorkBreathRate)/IF(Inhalation_Exp[[#This Row],[Worker Type]]="Female of Reproductive Age",BW_F,BW_default)</f>
        <v>6.2500000000000003E-3</v>
      </c>
      <c r="P40" s="332">
        <f>IF(EFID&gt;Inhalation_Exp[[#This Row],[ED_High-End]],Inhalation_Exp[[#This Row],[24hr_High-End]]*Inhalation_Exp[[#This Row],[ED_High-End]]/ID,Inhalation_Exp[[#This Row],[24hr_High-End]]*EFID/ID)</f>
        <v>8.3333333333333339E-4</v>
      </c>
      <c r="Q40" s="351">
        <f>IF(EFID&gt;Inhalation_Exp[[#This Row],[ED_Central Tendency]],Inhalation_Exp[[#This Row],[24hr_Central Tendency]]*Inhalation_Exp[[#This Row],[ED_Central Tendency]]/ID,Inhalation_Exp[[#This Row],[24hr_Central Tendency]]*EFID/ID)</f>
        <v>4.1666666666666669E-4</v>
      </c>
      <c r="R40" s="332">
        <f t="shared" si="0"/>
        <v>6.8493150684931502E-5</v>
      </c>
      <c r="S40" s="351">
        <f t="shared" si="1"/>
        <v>3.4246575342465758E-5</v>
      </c>
      <c r="T40" s="332">
        <f t="shared" si="2"/>
        <v>3.5124692658939236E-5</v>
      </c>
      <c r="U40" s="332">
        <f t="shared" si="3"/>
        <v>1.3610818405338953E-5</v>
      </c>
      <c r="V40" s="349">
        <v>19</v>
      </c>
      <c r="W40" s="349" t="s">
        <v>209</v>
      </c>
      <c r="X40" s="354" t="s">
        <v>220</v>
      </c>
      <c r="Y40" s="337" t="s">
        <v>200</v>
      </c>
    </row>
    <row r="41" spans="1:25" ht="15" x14ac:dyDescent="0.2">
      <c r="A41" s="338"/>
      <c r="B41" s="343">
        <v>4</v>
      </c>
      <c r="C41" s="341" t="s">
        <v>221</v>
      </c>
      <c r="D41" s="329" t="s">
        <v>197</v>
      </c>
      <c r="E41" s="330" t="s">
        <v>198</v>
      </c>
      <c r="F41" s="355">
        <v>249</v>
      </c>
      <c r="G41" s="356">
        <v>247</v>
      </c>
      <c r="H41" s="357">
        <v>5.5754999999999999</v>
      </c>
      <c r="I41" s="357">
        <v>1.5112000000000001</v>
      </c>
      <c r="J41" s="331"/>
      <c r="K41" s="331"/>
      <c r="L41" s="333">
        <f>SUM(Inhalation_Exp[[#This Row],[Vapor_High-End]],Inhalation_Exp[[#This Row],[Dust_High-End]])</f>
        <v>5.5754999999999999</v>
      </c>
      <c r="M41" s="333">
        <f>SUM(Inhalation_Exp[[#This Row],[Vapor_Central Tendency]],Inhalation_Exp[[#This Row],[Dust_Central Tendency]])</f>
        <v>1.5112000000000001</v>
      </c>
      <c r="N41" s="339">
        <f>(((L41*ED_8))*WorkBreathRate)/IF(Inhalation_Exp[[#This Row],[Worker Type]]="Female of Reproductive Age",BW_F,BW_default)</f>
        <v>0.69693749999999999</v>
      </c>
      <c r="O41" s="339">
        <f>((M41*ED_8)*WorkBreathRate)/IF(Inhalation_Exp[[#This Row],[Worker Type]]="Female of Reproductive Age",BW_F,BW_default)</f>
        <v>0.18890000000000001</v>
      </c>
      <c r="P41" s="332">
        <f>IF(EFID&gt;Inhalation_Exp[[#This Row],[ED_High-End]],Inhalation_Exp[[#This Row],[24hr_High-End]]*Inhalation_Exp[[#This Row],[ED_High-End]]/ID,Inhalation_Exp[[#This Row],[24hr_High-End]]*EFID/ID)</f>
        <v>0.51108750000000003</v>
      </c>
      <c r="Q41" s="332">
        <f>IF(EFID&gt;Inhalation_Exp[[#This Row],[ED_Central Tendency]],Inhalation_Exp[[#This Row],[24hr_Central Tendency]]*Inhalation_Exp[[#This Row],[ED_Central Tendency]]/ID,Inhalation_Exp[[#This Row],[24hr_Central Tendency]]*EFID/ID)</f>
        <v>0.13852666666666666</v>
      </c>
      <c r="R41" s="332">
        <f t="shared" si="0"/>
        <v>0.47544503424657536</v>
      </c>
      <c r="S41" s="332">
        <f t="shared" si="1"/>
        <v>0.12783095890410959</v>
      </c>
      <c r="T41" s="332">
        <f t="shared" si="2"/>
        <v>0.24381796628029506</v>
      </c>
      <c r="U41" s="332">
        <f t="shared" si="3"/>
        <v>5.0804611872146119E-2</v>
      </c>
      <c r="V41" s="349" t="s">
        <v>209</v>
      </c>
      <c r="W41" s="349" t="s">
        <v>209</v>
      </c>
      <c r="X41" s="336" t="s">
        <v>222</v>
      </c>
      <c r="Y41" s="337" t="s">
        <v>215</v>
      </c>
    </row>
    <row r="42" spans="1:25" ht="15" x14ac:dyDescent="0.2">
      <c r="A42" s="338"/>
      <c r="B42" s="343">
        <v>4</v>
      </c>
      <c r="C42" s="341" t="s">
        <v>221</v>
      </c>
      <c r="D42" s="329" t="s">
        <v>72</v>
      </c>
      <c r="E42" s="330" t="s">
        <v>198</v>
      </c>
      <c r="F42" s="355">
        <v>249</v>
      </c>
      <c r="G42" s="356">
        <v>247</v>
      </c>
      <c r="H42" s="357">
        <v>5.5754999999999999</v>
      </c>
      <c r="I42" s="357">
        <v>1.5112000000000001</v>
      </c>
      <c r="J42" s="331"/>
      <c r="K42" s="331"/>
      <c r="L42" s="332">
        <f>SUM(Inhalation_Exp[[#This Row],[Vapor_High-End]],Inhalation_Exp[[#This Row],[Dust_High-End]])</f>
        <v>5.5754999999999999</v>
      </c>
      <c r="M42" s="332">
        <f>SUM(Inhalation_Exp[[#This Row],[Vapor_Central Tendency]],Inhalation_Exp[[#This Row],[Dust_Central Tendency]])</f>
        <v>1.5112000000000001</v>
      </c>
      <c r="N42" s="339">
        <f>(((L42*ED_8))*WorkBreathRate)/IF(Inhalation_Exp[[#This Row],[Worker Type]]="Female of Reproductive Age",BW_F,BW_default)</f>
        <v>0.76983085950983754</v>
      </c>
      <c r="O42" s="340">
        <f>((M42*ED_8)*WorkBreathRate)/IF(Inhalation_Exp[[#This Row],[Worker Type]]="Female of Reproductive Age",BW_F,BW_default)</f>
        <v>0.20865723161891611</v>
      </c>
      <c r="P42" s="332">
        <f>IF(EFID&gt;Inhalation_Exp[[#This Row],[ED_High-End]],Inhalation_Exp[[#This Row],[24hr_High-End]]*Inhalation_Exp[[#This Row],[ED_High-End]]/ID,Inhalation_Exp[[#This Row],[24hr_High-End]]*EFID/ID)</f>
        <v>0.56454263030721419</v>
      </c>
      <c r="Q42" s="351">
        <f>IF(EFID&gt;Inhalation_Exp[[#This Row],[ED_Central Tendency]],Inhalation_Exp[[#This Row],[24hr_Central Tendency]]*Inhalation_Exp[[#This Row],[ED_Central Tendency]]/ID,Inhalation_Exp[[#This Row],[24hr_Central Tendency]]*EFID/ID)</f>
        <v>0.15301530318720513</v>
      </c>
      <c r="R42" s="332">
        <f t="shared" si="0"/>
        <v>0.52517228498068369</v>
      </c>
      <c r="S42" s="351">
        <f t="shared" si="1"/>
        <v>0.14120092112293775</v>
      </c>
      <c r="T42" s="332">
        <f t="shared" si="2"/>
        <v>0.26931912050291473</v>
      </c>
      <c r="U42" s="332">
        <f t="shared" si="3"/>
        <v>5.6118314805270124E-2</v>
      </c>
      <c r="V42" s="349" t="s">
        <v>209</v>
      </c>
      <c r="W42" s="349" t="s">
        <v>209</v>
      </c>
      <c r="X42" s="336" t="s">
        <v>222</v>
      </c>
      <c r="Y42" s="337" t="s">
        <v>215</v>
      </c>
    </row>
    <row r="43" spans="1:25" ht="15" x14ac:dyDescent="0.2">
      <c r="A43" s="338"/>
      <c r="B43" s="343">
        <v>4</v>
      </c>
      <c r="C43" s="341" t="s">
        <v>221</v>
      </c>
      <c r="D43" s="329" t="s">
        <v>92</v>
      </c>
      <c r="E43" s="330" t="s">
        <v>198</v>
      </c>
      <c r="F43" s="355">
        <v>249</v>
      </c>
      <c r="G43" s="356">
        <v>247</v>
      </c>
      <c r="H43" s="357">
        <v>0.379</v>
      </c>
      <c r="I43" s="357">
        <v>5.0999999999999997E-2</v>
      </c>
      <c r="J43" s="331"/>
      <c r="K43" s="331"/>
      <c r="L43" s="332">
        <f>SUM(Inhalation_Exp[[#This Row],[Vapor_High-End]],Inhalation_Exp[[#This Row],[Dust_High-End]])</f>
        <v>0.379</v>
      </c>
      <c r="M43" s="332">
        <f>SUM(Inhalation_Exp[[#This Row],[Vapor_Central Tendency]],Inhalation_Exp[[#This Row],[Dust_Central Tendency]])</f>
        <v>5.0999999999999997E-2</v>
      </c>
      <c r="N43" s="339">
        <f>(((L43*ED_8))*WorkBreathRate)/IF(Inhalation_Exp[[#This Row],[Worker Type]]="Female of Reproductive Age",BW_F,BW_default)</f>
        <v>4.7375E-2</v>
      </c>
      <c r="O43" s="340">
        <f>((M43*ED_8)*WorkBreathRate)/IF(Inhalation_Exp[[#This Row],[Worker Type]]="Female of Reproductive Age",BW_F,BW_default)</f>
        <v>6.3750000000000005E-3</v>
      </c>
      <c r="P43" s="332">
        <f>IF(EFID&gt;Inhalation_Exp[[#This Row],[ED_High-End]],Inhalation_Exp[[#This Row],[24hr_High-End]]*Inhalation_Exp[[#This Row],[ED_High-End]]/ID,Inhalation_Exp[[#This Row],[24hr_High-End]]*EFID/ID)</f>
        <v>3.4741666666666671E-2</v>
      </c>
      <c r="Q43" s="351">
        <f>IF(EFID&gt;Inhalation_Exp[[#This Row],[ED_Central Tendency]],Inhalation_Exp[[#This Row],[24hr_Central Tendency]]*Inhalation_Exp[[#This Row],[ED_Central Tendency]]/ID,Inhalation_Exp[[#This Row],[24hr_Central Tendency]]*EFID/ID)</f>
        <v>4.6750000000000003E-3</v>
      </c>
      <c r="R43" s="332">
        <f t="shared" si="0"/>
        <v>3.2318835616438356E-2</v>
      </c>
      <c r="S43" s="351">
        <f t="shared" si="1"/>
        <v>4.3140410958904113E-3</v>
      </c>
      <c r="T43" s="332">
        <f t="shared" si="2"/>
        <v>1.6573761854583771E-2</v>
      </c>
      <c r="U43" s="332">
        <f t="shared" si="3"/>
        <v>1.7145547945205482E-3</v>
      </c>
      <c r="V43" s="349" t="s">
        <v>209</v>
      </c>
      <c r="W43" s="349" t="s">
        <v>209</v>
      </c>
      <c r="X43" s="336" t="s">
        <v>222</v>
      </c>
      <c r="Y43" s="337" t="s">
        <v>215</v>
      </c>
    </row>
    <row r="44" spans="1:25" ht="15" x14ac:dyDescent="0.25">
      <c r="A44" s="338"/>
      <c r="B44" s="343">
        <v>5</v>
      </c>
      <c r="C44" s="341" t="s">
        <v>223</v>
      </c>
      <c r="D44" s="329" t="s">
        <v>197</v>
      </c>
      <c r="E44" s="330" t="s">
        <v>198</v>
      </c>
      <c r="F44" s="330">
        <v>250</v>
      </c>
      <c r="G44" s="330">
        <v>250</v>
      </c>
      <c r="H44" s="331"/>
      <c r="I44" s="331"/>
      <c r="J44" s="353">
        <f>3.5*0.45</f>
        <v>1.575</v>
      </c>
      <c r="K44" s="353">
        <f>0.24*0.45</f>
        <v>0.108</v>
      </c>
      <c r="L44" s="333">
        <f>SUM(Inhalation_Exp[[#This Row],[Vapor_High-End]],Inhalation_Exp[[#This Row],[Dust_High-End]])</f>
        <v>1.575</v>
      </c>
      <c r="M44" s="332">
        <f>SUM(Inhalation_Exp[[#This Row],[Vapor_Central Tendency]],Inhalation_Exp[[#This Row],[Dust_Central Tendency]])</f>
        <v>0.108</v>
      </c>
      <c r="N44" s="339">
        <f>(((L44*ED_8))*WorkBreathRate)/IF(Inhalation_Exp[[#This Row],[Worker Type]]="Female of Reproductive Age",BW_F,BW_default)</f>
        <v>0.19687499999999999</v>
      </c>
      <c r="O44" s="334">
        <f>((M44*ED_8)*WorkBreathRate)/IF(Inhalation_Exp[[#This Row],[Worker Type]]="Female of Reproductive Age",BW_F,BW_default)</f>
        <v>1.3500000000000002E-2</v>
      </c>
      <c r="P44" s="332">
        <f>IF(EFID&gt;Inhalation_Exp[[#This Row],[ED_High-End]],Inhalation_Exp[[#This Row],[24hr_High-End]]*Inhalation_Exp[[#This Row],[ED_High-End]]/ID,Inhalation_Exp[[#This Row],[24hr_High-End]]*EFID/ID)</f>
        <v>0.144375</v>
      </c>
      <c r="Q44" s="331">
        <f>IF(EFID&gt;Inhalation_Exp[[#This Row],[ED_Central Tendency]],Inhalation_Exp[[#This Row],[24hr_Central Tendency]]*Inhalation_Exp[[#This Row],[ED_Central Tendency]]/ID,Inhalation_Exp[[#This Row],[24hr_Central Tendency]]*EFID/ID)</f>
        <v>9.9000000000000008E-3</v>
      </c>
      <c r="R44" s="332">
        <f t="shared" si="0"/>
        <v>0.1348458904109589</v>
      </c>
      <c r="S44" s="331">
        <f t="shared" si="1"/>
        <v>9.2465753424657553E-3</v>
      </c>
      <c r="T44" s="332">
        <f t="shared" si="2"/>
        <v>6.915173867228662E-2</v>
      </c>
      <c r="U44" s="332">
        <f t="shared" si="3"/>
        <v>3.6749209694415179E-3</v>
      </c>
      <c r="V44" s="349" t="s">
        <v>209</v>
      </c>
      <c r="W44" s="349" t="s">
        <v>209</v>
      </c>
      <c r="X44" s="358" t="s">
        <v>224</v>
      </c>
      <c r="Y44" s="337" t="s">
        <v>215</v>
      </c>
    </row>
    <row r="45" spans="1:25" ht="15" x14ac:dyDescent="0.25">
      <c r="A45" s="338"/>
      <c r="B45" s="343">
        <v>5</v>
      </c>
      <c r="C45" s="341" t="s">
        <v>223</v>
      </c>
      <c r="D45" s="329" t="s">
        <v>72</v>
      </c>
      <c r="E45" s="330" t="s">
        <v>198</v>
      </c>
      <c r="F45" s="330">
        <v>250</v>
      </c>
      <c r="G45" s="330">
        <v>250</v>
      </c>
      <c r="H45" s="331"/>
      <c r="I45" s="331"/>
      <c r="J45" s="353">
        <f>3.5*0.45</f>
        <v>1.575</v>
      </c>
      <c r="K45" s="353">
        <f>0.24*0.45</f>
        <v>0.108</v>
      </c>
      <c r="L45" s="332">
        <f>SUM(Inhalation_Exp[[#This Row],[Vapor_High-End]],Inhalation_Exp[[#This Row],[Dust_High-End]])</f>
        <v>1.575</v>
      </c>
      <c r="M45" s="332">
        <f>SUM(Inhalation_Exp[[#This Row],[Vapor_Central Tendency]],Inhalation_Exp[[#This Row],[Dust_Central Tendency]])</f>
        <v>0.108</v>
      </c>
      <c r="N45" s="339">
        <f>(((L45*ED_8))*WorkBreathRate)/IF(Inhalation_Exp[[#This Row],[Worker Type]]="Female of Reproductive Age",BW_F,BW_default)</f>
        <v>0.21746634449430441</v>
      </c>
      <c r="O45" s="340">
        <f>((M45*ED_8)*WorkBreathRate)/IF(Inhalation_Exp[[#This Row],[Worker Type]]="Female of Reproductive Age",BW_F,BW_default)</f>
        <v>1.4911977908180876E-2</v>
      </c>
      <c r="P45" s="332">
        <f>IF(EFID&gt;Inhalation_Exp[[#This Row],[ED_High-End]],Inhalation_Exp[[#This Row],[24hr_High-End]]*Inhalation_Exp[[#This Row],[ED_High-End]]/ID,Inhalation_Exp[[#This Row],[24hr_High-End]]*EFID/ID)</f>
        <v>0.15947531929582323</v>
      </c>
      <c r="Q45" s="351">
        <f>IF(EFID&gt;Inhalation_Exp[[#This Row],[ED_Central Tendency]],Inhalation_Exp[[#This Row],[24hr_Central Tendency]]*Inhalation_Exp[[#This Row],[ED_Central Tendency]]/ID,Inhalation_Exp[[#This Row],[24hr_Central Tendency]]*EFID/ID)</f>
        <v>1.093545046599931E-2</v>
      </c>
      <c r="R45" s="332">
        <f t="shared" si="0"/>
        <v>0.14894955102349619</v>
      </c>
      <c r="S45" s="351">
        <f t="shared" si="1"/>
        <v>1.0213683498754025E-2</v>
      </c>
      <c r="T45" s="332">
        <f t="shared" si="2"/>
        <v>7.638438514025446E-2</v>
      </c>
      <c r="U45" s="332">
        <f t="shared" si="3"/>
        <v>4.0592844674535227E-3</v>
      </c>
      <c r="V45" s="349" t="s">
        <v>209</v>
      </c>
      <c r="W45" s="349" t="s">
        <v>209</v>
      </c>
      <c r="X45" s="358" t="s">
        <v>224</v>
      </c>
      <c r="Y45" s="337" t="s">
        <v>215</v>
      </c>
    </row>
    <row r="46" spans="1:25" ht="15" x14ac:dyDescent="0.25">
      <c r="A46" s="338"/>
      <c r="B46" s="343">
        <v>5</v>
      </c>
      <c r="C46" s="341" t="s">
        <v>223</v>
      </c>
      <c r="D46" s="329" t="s">
        <v>92</v>
      </c>
      <c r="E46" s="330" t="s">
        <v>198</v>
      </c>
      <c r="F46" s="330">
        <v>250</v>
      </c>
      <c r="G46" s="330">
        <v>250</v>
      </c>
      <c r="H46" s="331"/>
      <c r="I46" s="331"/>
      <c r="J46" s="353">
        <f>0.24*0.45</f>
        <v>0.108</v>
      </c>
      <c r="K46" s="353">
        <f>0.24*0.45</f>
        <v>0.108</v>
      </c>
      <c r="L46" s="332">
        <f>SUM(Inhalation_Exp[[#This Row],[Vapor_High-End]],Inhalation_Exp[[#This Row],[Dust_High-End]])</f>
        <v>0.108</v>
      </c>
      <c r="M46" s="332">
        <f>SUM(Inhalation_Exp[[#This Row],[Vapor_Central Tendency]],Inhalation_Exp[[#This Row],[Dust_Central Tendency]])</f>
        <v>0.108</v>
      </c>
      <c r="N46" s="339">
        <f>(((L46*ED_8))*WorkBreathRate)/IF(Inhalation_Exp[[#This Row],[Worker Type]]="Female of Reproductive Age",BW_F,BW_default)</f>
        <v>1.3500000000000002E-2</v>
      </c>
      <c r="O46" s="340">
        <f>((M46*ED_8)*WorkBreathRate)/IF(Inhalation_Exp[[#This Row],[Worker Type]]="Female of Reproductive Age",BW_F,BW_default)</f>
        <v>1.3500000000000002E-2</v>
      </c>
      <c r="P46" s="332">
        <f>IF(EFID&gt;Inhalation_Exp[[#This Row],[ED_High-End]],Inhalation_Exp[[#This Row],[24hr_High-End]]*Inhalation_Exp[[#This Row],[ED_High-End]]/ID,Inhalation_Exp[[#This Row],[24hr_High-End]]*EFID/ID)</f>
        <v>9.9000000000000008E-3</v>
      </c>
      <c r="Q46" s="351">
        <f>IF(EFID&gt;Inhalation_Exp[[#This Row],[ED_Central Tendency]],Inhalation_Exp[[#This Row],[24hr_Central Tendency]]*Inhalation_Exp[[#This Row],[ED_Central Tendency]]/ID,Inhalation_Exp[[#This Row],[24hr_Central Tendency]]*EFID/ID)</f>
        <v>9.9000000000000008E-3</v>
      </c>
      <c r="R46" s="332">
        <f t="shared" si="0"/>
        <v>9.2465753424657553E-3</v>
      </c>
      <c r="S46" s="351">
        <f t="shared" si="1"/>
        <v>9.2465753424657553E-3</v>
      </c>
      <c r="T46" s="332">
        <f t="shared" si="2"/>
        <v>4.7418335089567977E-3</v>
      </c>
      <c r="U46" s="332">
        <f t="shared" si="3"/>
        <v>3.6749209694415179E-3</v>
      </c>
      <c r="V46" s="349" t="s">
        <v>209</v>
      </c>
      <c r="W46" s="349" t="s">
        <v>209</v>
      </c>
      <c r="X46" s="358" t="s">
        <v>224</v>
      </c>
      <c r="Y46" s="337" t="s">
        <v>215</v>
      </c>
    </row>
    <row r="47" spans="1:25" ht="15" x14ac:dyDescent="0.2">
      <c r="A47" s="338"/>
      <c r="B47" s="343">
        <v>5</v>
      </c>
      <c r="C47" s="341" t="s">
        <v>225</v>
      </c>
      <c r="D47" s="329" t="s">
        <v>197</v>
      </c>
      <c r="E47" s="330" t="s">
        <v>198</v>
      </c>
      <c r="F47" s="330">
        <v>250</v>
      </c>
      <c r="G47" s="330">
        <v>250</v>
      </c>
      <c r="H47" s="331">
        <v>0.03</v>
      </c>
      <c r="I47" s="359">
        <v>0.01</v>
      </c>
      <c r="J47" s="353">
        <v>0.81</v>
      </c>
      <c r="K47" s="353">
        <v>9.0000000000000011E-2</v>
      </c>
      <c r="L47" s="332">
        <f>SUM(Inhalation_Exp[[#This Row],[Vapor_High-End]],Inhalation_Exp[[#This Row],[Dust_High-End]])</f>
        <v>0.84000000000000008</v>
      </c>
      <c r="M47" s="332">
        <f>SUM(Inhalation_Exp[[#This Row],[Vapor_Central Tendency]],Inhalation_Exp[[#This Row],[Dust_Central Tendency]])</f>
        <v>0.1</v>
      </c>
      <c r="N47" s="339">
        <f>(((L47*ED_8))*WorkBreathRate)/IF(Inhalation_Exp[[#This Row],[Worker Type]]="Female of Reproductive Age",BW_F,BW_default)</f>
        <v>0.10500000000000001</v>
      </c>
      <c r="O47" s="334">
        <f>((M47*ED_8)*WorkBreathRate)/IF(Inhalation_Exp[[#This Row],[Worker Type]]="Female of Reproductive Age",BW_F,BW_default)</f>
        <v>1.2500000000000001E-2</v>
      </c>
      <c r="P47" s="331">
        <f>IF(EFID&gt;Inhalation_Exp[[#This Row],[ED_High-End]],Inhalation_Exp[[#This Row],[24hr_High-End]]*Inhalation_Exp[[#This Row],[ED_High-End]]/ID,Inhalation_Exp[[#This Row],[24hr_High-End]]*EFID/ID)</f>
        <v>7.6999999999999999E-2</v>
      </c>
      <c r="Q47" s="331">
        <f>IF(EFID&gt;Inhalation_Exp[[#This Row],[ED_Central Tendency]],Inhalation_Exp[[#This Row],[24hr_Central Tendency]]*Inhalation_Exp[[#This Row],[ED_Central Tendency]]/ID,Inhalation_Exp[[#This Row],[24hr_Central Tendency]]*EFID/ID)</f>
        <v>9.1666666666666667E-3</v>
      </c>
      <c r="R47" s="331">
        <f t="shared" si="0"/>
        <v>7.1917808219178092E-2</v>
      </c>
      <c r="S47" s="331">
        <f t="shared" si="1"/>
        <v>8.5616438356164379E-3</v>
      </c>
      <c r="T47" s="332">
        <f t="shared" si="2"/>
        <v>3.6880927291886204E-2</v>
      </c>
      <c r="U47" s="332">
        <f t="shared" si="3"/>
        <v>3.4027046013347384E-3</v>
      </c>
      <c r="V47" s="349">
        <v>3</v>
      </c>
      <c r="W47" s="349" t="s">
        <v>209</v>
      </c>
      <c r="X47" s="336" t="s">
        <v>226</v>
      </c>
      <c r="Y47" s="337" t="s">
        <v>227</v>
      </c>
    </row>
    <row r="48" spans="1:25" ht="15" x14ac:dyDescent="0.2">
      <c r="A48" s="338"/>
      <c r="B48" s="343">
        <v>5</v>
      </c>
      <c r="C48" s="341" t="s">
        <v>225</v>
      </c>
      <c r="D48" s="329" t="s">
        <v>72</v>
      </c>
      <c r="E48" s="330" t="s">
        <v>198</v>
      </c>
      <c r="F48" s="330">
        <v>250</v>
      </c>
      <c r="G48" s="330">
        <v>250</v>
      </c>
      <c r="H48" s="331">
        <v>0.03</v>
      </c>
      <c r="I48" s="359">
        <v>0.01</v>
      </c>
      <c r="J48" s="353">
        <v>0.81</v>
      </c>
      <c r="K48" s="353">
        <v>9.0000000000000011E-2</v>
      </c>
      <c r="L48" s="332">
        <f>SUM(Inhalation_Exp[[#This Row],[Vapor_High-End]],Inhalation_Exp[[#This Row],[Dust_High-End]])</f>
        <v>0.84000000000000008</v>
      </c>
      <c r="M48" s="332">
        <f>SUM(Inhalation_Exp[[#This Row],[Vapor_Central Tendency]],Inhalation_Exp[[#This Row],[Dust_Central Tendency]])</f>
        <v>0.1</v>
      </c>
      <c r="N48" s="339">
        <f>(((L48*ED_8))*WorkBreathRate)/IF(Inhalation_Exp[[#This Row],[Worker Type]]="Female of Reproductive Age",BW_F,BW_default)</f>
        <v>0.11598205039696236</v>
      </c>
      <c r="O48" s="340">
        <f>((M48*ED_8)*WorkBreathRate)/IF(Inhalation_Exp[[#This Row],[Worker Type]]="Female of Reproductive Age",BW_F,BW_default)</f>
        <v>1.3807386952019328E-2</v>
      </c>
      <c r="P48" s="332">
        <f>IF(EFID&gt;Inhalation_Exp[[#This Row],[ED_High-End]],Inhalation_Exp[[#This Row],[24hr_High-End]]*Inhalation_Exp[[#This Row],[ED_High-End]]/ID,Inhalation_Exp[[#This Row],[24hr_High-End]]*EFID/ID)</f>
        <v>8.5053503624439059E-2</v>
      </c>
      <c r="Q48" s="351">
        <f>IF(EFID&gt;Inhalation_Exp[[#This Row],[ED_Central Tendency]],Inhalation_Exp[[#This Row],[24hr_Central Tendency]]*Inhalation_Exp[[#This Row],[ED_Central Tendency]]/ID,Inhalation_Exp[[#This Row],[24hr_Central Tendency]]*EFID/ID)</f>
        <v>1.0125417098147507E-2</v>
      </c>
      <c r="R48" s="332">
        <f t="shared" si="0"/>
        <v>7.9439760545864629E-2</v>
      </c>
      <c r="S48" s="351">
        <f t="shared" si="1"/>
        <v>9.457114350698171E-3</v>
      </c>
      <c r="T48" s="332">
        <f t="shared" si="2"/>
        <v>4.0738338741469038E-2</v>
      </c>
      <c r="U48" s="332">
        <f t="shared" si="3"/>
        <v>3.7585967291236316E-3</v>
      </c>
      <c r="V48" s="349">
        <v>3</v>
      </c>
      <c r="W48" s="349" t="s">
        <v>209</v>
      </c>
      <c r="X48" s="336" t="s">
        <v>226</v>
      </c>
      <c r="Y48" s="337" t="s">
        <v>227</v>
      </c>
    </row>
    <row r="49" spans="1:25" ht="15" x14ac:dyDescent="0.2">
      <c r="A49" s="338"/>
      <c r="B49" s="343">
        <v>5</v>
      </c>
      <c r="C49" s="341" t="s">
        <v>225</v>
      </c>
      <c r="D49" s="329" t="s">
        <v>92</v>
      </c>
      <c r="E49" s="330" t="s">
        <v>198</v>
      </c>
      <c r="F49" s="330">
        <v>250</v>
      </c>
      <c r="G49" s="330">
        <v>250</v>
      </c>
      <c r="H49" s="360">
        <v>0.01</v>
      </c>
      <c r="I49" s="360">
        <v>0.01</v>
      </c>
      <c r="J49" s="353">
        <v>9.0000000000000011E-2</v>
      </c>
      <c r="K49" s="353">
        <v>9.0000000000000011E-2</v>
      </c>
      <c r="L49" s="332">
        <f>SUM(Inhalation_Exp[[#This Row],[Vapor_High-End]],Inhalation_Exp[[#This Row],[Dust_High-End]])</f>
        <v>0.1</v>
      </c>
      <c r="M49" s="332">
        <f>SUM(Inhalation_Exp[[#This Row],[Vapor_Central Tendency]],Inhalation_Exp[[#This Row],[Dust_Central Tendency]])</f>
        <v>0.1</v>
      </c>
      <c r="N49" s="339">
        <f>(((L49*ED_8))*WorkBreathRate)/IF(Inhalation_Exp[[#This Row],[Worker Type]]="Female of Reproductive Age",BW_F,BW_default)</f>
        <v>1.2500000000000001E-2</v>
      </c>
      <c r="O49" s="340">
        <f>((M49*ED_8)*WorkBreathRate)/IF(Inhalation_Exp[[#This Row],[Worker Type]]="Female of Reproductive Age",BW_F,BW_default)</f>
        <v>1.2500000000000001E-2</v>
      </c>
      <c r="P49" s="332">
        <f>IF(EFID&gt;Inhalation_Exp[[#This Row],[ED_High-End]],Inhalation_Exp[[#This Row],[24hr_High-End]]*Inhalation_Exp[[#This Row],[ED_High-End]]/ID,Inhalation_Exp[[#This Row],[24hr_High-End]]*EFID/ID)</f>
        <v>9.1666666666666667E-3</v>
      </c>
      <c r="Q49" s="351">
        <f>IF(EFID&gt;Inhalation_Exp[[#This Row],[ED_Central Tendency]],Inhalation_Exp[[#This Row],[24hr_Central Tendency]]*Inhalation_Exp[[#This Row],[ED_Central Tendency]]/ID,Inhalation_Exp[[#This Row],[24hr_Central Tendency]]*EFID/ID)</f>
        <v>9.1666666666666667E-3</v>
      </c>
      <c r="R49" s="332">
        <f t="shared" si="0"/>
        <v>8.5616438356164379E-3</v>
      </c>
      <c r="S49" s="351">
        <f t="shared" si="1"/>
        <v>8.5616438356164379E-3</v>
      </c>
      <c r="T49" s="332">
        <f t="shared" si="2"/>
        <v>4.3905865823674044E-3</v>
      </c>
      <c r="U49" s="332">
        <f t="shared" si="3"/>
        <v>3.4027046013347384E-3</v>
      </c>
      <c r="V49" s="349">
        <v>3</v>
      </c>
      <c r="W49" s="349" t="s">
        <v>209</v>
      </c>
      <c r="X49" s="336" t="s">
        <v>226</v>
      </c>
      <c r="Y49" s="337" t="s">
        <v>227</v>
      </c>
    </row>
    <row r="50" spans="1:25" ht="15" x14ac:dyDescent="0.25">
      <c r="A50" s="338"/>
      <c r="B50" s="343">
        <v>6</v>
      </c>
      <c r="C50" s="341" t="s">
        <v>228</v>
      </c>
      <c r="D50" s="329" t="s">
        <v>197</v>
      </c>
      <c r="E50" s="330" t="s">
        <v>198</v>
      </c>
      <c r="F50" s="330">
        <v>250</v>
      </c>
      <c r="G50" s="361">
        <v>250</v>
      </c>
      <c r="H50" s="362"/>
      <c r="I50" s="362"/>
      <c r="J50" s="363">
        <f>3.5*0.45</f>
        <v>1.575</v>
      </c>
      <c r="K50" s="353">
        <f>0.24*0.45</f>
        <v>0.108</v>
      </c>
      <c r="L50" s="333">
        <f>SUM(Inhalation_Exp[[#This Row],[Vapor_High-End]],Inhalation_Exp[[#This Row],[Dust_High-End]])</f>
        <v>1.575</v>
      </c>
      <c r="M50" s="332">
        <f>SUM(Inhalation_Exp[[#This Row],[Vapor_Central Tendency]],Inhalation_Exp[[#This Row],[Dust_Central Tendency]])</f>
        <v>0.108</v>
      </c>
      <c r="N50" s="339">
        <f>(((L50*ED_8))*WorkBreathRate)/IF(Inhalation_Exp[[#This Row],[Worker Type]]="Female of Reproductive Age",BW_F,BW_default)</f>
        <v>0.19687499999999999</v>
      </c>
      <c r="O50" s="334">
        <f>((M50*ED_8)*WorkBreathRate)/IF(Inhalation_Exp[[#This Row],[Worker Type]]="Female of Reproductive Age",BW_F,BW_default)</f>
        <v>1.3500000000000002E-2</v>
      </c>
      <c r="P50" s="331">
        <f>IF(EFID&gt;Inhalation_Exp[[#This Row],[ED_High-End]],Inhalation_Exp[[#This Row],[24hr_High-End]]*Inhalation_Exp[[#This Row],[ED_High-End]]/ID,Inhalation_Exp[[#This Row],[24hr_High-End]]*EFID/ID)</f>
        <v>0.144375</v>
      </c>
      <c r="Q50" s="331">
        <f>IF(EFID&gt;Inhalation_Exp[[#This Row],[ED_Central Tendency]],Inhalation_Exp[[#This Row],[24hr_Central Tendency]]*Inhalation_Exp[[#This Row],[ED_Central Tendency]]/ID,Inhalation_Exp[[#This Row],[24hr_Central Tendency]]*EFID/ID)</f>
        <v>9.9000000000000008E-3</v>
      </c>
      <c r="R50" s="332">
        <f t="shared" si="0"/>
        <v>0.1348458904109589</v>
      </c>
      <c r="S50" s="331">
        <f t="shared" si="1"/>
        <v>9.2465753424657553E-3</v>
      </c>
      <c r="T50" s="332">
        <f t="shared" si="2"/>
        <v>6.915173867228662E-2</v>
      </c>
      <c r="U50" s="332">
        <f t="shared" si="3"/>
        <v>3.6749209694415179E-3</v>
      </c>
      <c r="V50" s="349" t="s">
        <v>209</v>
      </c>
      <c r="W50" s="349" t="s">
        <v>209</v>
      </c>
      <c r="X50" s="358" t="s">
        <v>224</v>
      </c>
      <c r="Y50" s="337" t="s">
        <v>215</v>
      </c>
    </row>
    <row r="51" spans="1:25" ht="15" x14ac:dyDescent="0.25">
      <c r="A51" s="338"/>
      <c r="B51" s="343">
        <v>6</v>
      </c>
      <c r="C51" s="341" t="s">
        <v>228</v>
      </c>
      <c r="D51" s="329" t="s">
        <v>72</v>
      </c>
      <c r="E51" s="330" t="s">
        <v>198</v>
      </c>
      <c r="F51" s="330">
        <v>250</v>
      </c>
      <c r="G51" s="361">
        <v>250</v>
      </c>
      <c r="H51" s="362"/>
      <c r="I51" s="362"/>
      <c r="J51" s="363">
        <f>3.5*0.45</f>
        <v>1.575</v>
      </c>
      <c r="K51" s="353">
        <f>0.24*0.45</f>
        <v>0.108</v>
      </c>
      <c r="L51" s="332">
        <f>SUM(Inhalation_Exp[[#This Row],[Vapor_High-End]],Inhalation_Exp[[#This Row],[Dust_High-End]])</f>
        <v>1.575</v>
      </c>
      <c r="M51" s="332">
        <f>SUM(Inhalation_Exp[[#This Row],[Vapor_Central Tendency]],Inhalation_Exp[[#This Row],[Dust_Central Tendency]])</f>
        <v>0.108</v>
      </c>
      <c r="N51" s="339">
        <f>(((L51*ED_8))*WorkBreathRate)/IF(Inhalation_Exp[[#This Row],[Worker Type]]="Female of Reproductive Age",BW_F,BW_default)</f>
        <v>0.21746634449430441</v>
      </c>
      <c r="O51" s="340">
        <f>((M51*ED_8)*WorkBreathRate)/IF(Inhalation_Exp[[#This Row],[Worker Type]]="Female of Reproductive Age",BW_F,BW_default)</f>
        <v>1.4911977908180876E-2</v>
      </c>
      <c r="P51" s="332">
        <f>IF(EFID&gt;Inhalation_Exp[[#This Row],[ED_High-End]],Inhalation_Exp[[#This Row],[24hr_High-End]]*Inhalation_Exp[[#This Row],[ED_High-End]]/ID,Inhalation_Exp[[#This Row],[24hr_High-End]]*EFID/ID)</f>
        <v>0.15947531929582323</v>
      </c>
      <c r="Q51" s="351">
        <f>IF(EFID&gt;Inhalation_Exp[[#This Row],[ED_Central Tendency]],Inhalation_Exp[[#This Row],[24hr_Central Tendency]]*Inhalation_Exp[[#This Row],[ED_Central Tendency]]/ID,Inhalation_Exp[[#This Row],[24hr_Central Tendency]]*EFID/ID)</f>
        <v>1.093545046599931E-2</v>
      </c>
      <c r="R51" s="332">
        <f t="shared" ref="R51:R52" si="4">N51*F51*WY_high/(WY_high*365)</f>
        <v>0.14894955102349619</v>
      </c>
      <c r="S51" s="351">
        <f t="shared" ref="S51:S52" si="5">O51*G51*WY_mid/(WY_mid*365)</f>
        <v>1.0213683498754025E-2</v>
      </c>
      <c r="T51" s="332">
        <f t="shared" ref="T51:T52" si="6">N51*F51*WY_high/(LT*365)</f>
        <v>7.638438514025446E-2</v>
      </c>
      <c r="U51" s="332">
        <f t="shared" ref="U51:U52" si="7">O51*G51*WY_mid/(LT*365)</f>
        <v>4.0592844674535227E-3</v>
      </c>
      <c r="V51" s="349" t="s">
        <v>209</v>
      </c>
      <c r="W51" s="349" t="s">
        <v>209</v>
      </c>
      <c r="X51" s="358" t="s">
        <v>224</v>
      </c>
      <c r="Y51" s="337" t="s">
        <v>215</v>
      </c>
    </row>
    <row r="52" spans="1:25" ht="15.75" thickBot="1" x14ac:dyDescent="0.3">
      <c r="A52" s="338"/>
      <c r="B52" s="343">
        <v>6</v>
      </c>
      <c r="C52" s="364" t="s">
        <v>228</v>
      </c>
      <c r="D52" s="329" t="s">
        <v>92</v>
      </c>
      <c r="E52" s="330" t="s">
        <v>198</v>
      </c>
      <c r="F52" s="330">
        <v>250</v>
      </c>
      <c r="G52" s="361">
        <v>250</v>
      </c>
      <c r="H52" s="362"/>
      <c r="I52" s="362"/>
      <c r="J52" s="363">
        <f t="shared" ref="J52:K52" si="8">0.24*0.45</f>
        <v>0.108</v>
      </c>
      <c r="K52" s="353">
        <f t="shared" si="8"/>
        <v>0.108</v>
      </c>
      <c r="L52" s="332">
        <f>SUM(Inhalation_Exp[[#This Row],[Vapor_High-End]],Inhalation_Exp[[#This Row],[Dust_High-End]])</f>
        <v>0.108</v>
      </c>
      <c r="M52" s="332">
        <f>SUM(Inhalation_Exp[[#This Row],[Vapor_Central Tendency]],Inhalation_Exp[[#This Row],[Dust_Central Tendency]])</f>
        <v>0.108</v>
      </c>
      <c r="N52" s="339">
        <f>(((L52*ED_8))*WorkBreathRate)/IF(Inhalation_Exp[[#This Row],[Worker Type]]="Female of Reproductive Age",BW_F,BW_default)</f>
        <v>1.3500000000000002E-2</v>
      </c>
      <c r="O52" s="340">
        <f>((M52*ED_8)*WorkBreathRate)/IF(Inhalation_Exp[[#This Row],[Worker Type]]="Female of Reproductive Age",BW_F,BW_default)</f>
        <v>1.3500000000000002E-2</v>
      </c>
      <c r="P52" s="332">
        <f>IF(EFID&gt;Inhalation_Exp[[#This Row],[ED_High-End]],Inhalation_Exp[[#This Row],[24hr_High-End]]*Inhalation_Exp[[#This Row],[ED_High-End]]/ID,Inhalation_Exp[[#This Row],[24hr_High-End]]*EFID/ID)</f>
        <v>9.9000000000000008E-3</v>
      </c>
      <c r="Q52" s="351">
        <f>IF(EFID&gt;Inhalation_Exp[[#This Row],[ED_Central Tendency]],Inhalation_Exp[[#This Row],[24hr_Central Tendency]]*Inhalation_Exp[[#This Row],[ED_Central Tendency]]/ID,Inhalation_Exp[[#This Row],[24hr_Central Tendency]]*EFID/ID)</f>
        <v>9.9000000000000008E-3</v>
      </c>
      <c r="R52" s="332">
        <f t="shared" si="4"/>
        <v>9.2465753424657553E-3</v>
      </c>
      <c r="S52" s="351">
        <f t="shared" si="5"/>
        <v>9.2465753424657553E-3</v>
      </c>
      <c r="T52" s="332">
        <f t="shared" si="6"/>
        <v>4.7418335089567977E-3</v>
      </c>
      <c r="U52" s="332">
        <f t="shared" si="7"/>
        <v>3.6749209694415179E-3</v>
      </c>
      <c r="V52" s="349" t="s">
        <v>209</v>
      </c>
      <c r="W52" s="349" t="s">
        <v>209</v>
      </c>
      <c r="X52" s="358" t="s">
        <v>224</v>
      </c>
      <c r="Y52" s="337" t="s">
        <v>215</v>
      </c>
    </row>
    <row r="53" spans="1:25" ht="15" x14ac:dyDescent="0.2">
      <c r="I53" s="366"/>
      <c r="J53" s="366"/>
      <c r="K53" s="366"/>
      <c r="L53" s="367"/>
    </row>
    <row r="54" spans="1:25" x14ac:dyDescent="0.2">
      <c r="E54" s="368"/>
      <c r="I54" s="302"/>
      <c r="J54" s="302"/>
      <c r="K54" s="302"/>
    </row>
    <row r="55" spans="1:25" x14ac:dyDescent="0.2">
      <c r="I55" s="369"/>
      <c r="J55" s="369"/>
      <c r="K55" s="369"/>
    </row>
    <row r="56" spans="1:25" x14ac:dyDescent="0.2">
      <c r="I56" s="369"/>
      <c r="J56" s="369"/>
      <c r="K56" s="369"/>
    </row>
    <row r="57" spans="1:25" x14ac:dyDescent="0.2">
      <c r="I57" s="369"/>
      <c r="J57" s="369"/>
      <c r="K57" s="369"/>
    </row>
  </sheetData>
  <sheetProtection sheet="1" objects="1" scenarios="1" formatCells="0" formatColumns="0" formatRows="0" sort="0" autoFilter="0"/>
  <mergeCells count="15">
    <mergeCell ref="F2:G3"/>
    <mergeCell ref="H2:I2"/>
    <mergeCell ref="L2:M2"/>
    <mergeCell ref="H3:I3"/>
    <mergeCell ref="L3:M3"/>
    <mergeCell ref="J2:K2"/>
    <mergeCell ref="J3:K3"/>
    <mergeCell ref="T2:U2"/>
    <mergeCell ref="T3:U3"/>
    <mergeCell ref="P2:Q2"/>
    <mergeCell ref="P3:Q3"/>
    <mergeCell ref="N3:O3"/>
    <mergeCell ref="R3:S3"/>
    <mergeCell ref="N2:O2"/>
    <mergeCell ref="R2:S2"/>
  </mergeCells>
  <phoneticPr fontId="2" type="noConversion"/>
  <conditionalFormatting sqref="H41:I41">
    <cfRule type="cellIs" dxfId="295" priority="84" operator="between">
      <formula>10</formula>
      <formula>9999.999</formula>
    </cfRule>
    <cfRule type="cellIs" dxfId="294" priority="83" operator="between">
      <formula>1</formula>
      <formula>9.999</formula>
    </cfRule>
    <cfRule type="cellIs" dxfId="293" priority="82" operator="between">
      <formula>0.1</formula>
      <formula>0.999</formula>
    </cfRule>
    <cfRule type="cellIs" dxfId="292" priority="81" operator="equal">
      <formula>0</formula>
    </cfRule>
    <cfRule type="cellIs" dxfId="291" priority="86" operator="lessThan">
      <formula>0.1</formula>
    </cfRule>
  </conditionalFormatting>
  <conditionalFormatting sqref="H41:I42">
    <cfRule type="cellIs" dxfId="290" priority="75" operator="lessThan">
      <formula>0.1</formula>
    </cfRule>
    <cfRule type="cellIs" dxfId="289" priority="73" operator="between">
      <formula>10</formula>
      <formula>9999.999</formula>
    </cfRule>
    <cfRule type="cellIs" dxfId="288" priority="71" operator="between">
      <formula>0.1</formula>
      <formula>0.999</formula>
    </cfRule>
    <cfRule type="cellIs" dxfId="287" priority="70" operator="equal">
      <formula>0</formula>
    </cfRule>
    <cfRule type="cellIs" dxfId="286" priority="72" operator="between">
      <formula>1</formula>
      <formula>9.999</formula>
    </cfRule>
  </conditionalFormatting>
  <conditionalFormatting sqref="H42:I43">
    <cfRule type="cellIs" dxfId="285" priority="59" operator="equal">
      <formula>0</formula>
    </cfRule>
    <cfRule type="cellIs" dxfId="284" priority="64" operator="lessThan">
      <formula>0.1</formula>
    </cfRule>
    <cfRule type="cellIs" dxfId="283" priority="62" operator="between">
      <formula>10</formula>
      <formula>9999.999</formula>
    </cfRule>
    <cfRule type="cellIs" dxfId="282" priority="61" operator="between">
      <formula>1</formula>
      <formula>9.999</formula>
    </cfRule>
    <cfRule type="cellIs" dxfId="281" priority="60" operator="between">
      <formula>0.1</formula>
      <formula>0.999</formula>
    </cfRule>
  </conditionalFormatting>
  <conditionalFormatting sqref="H43:I43 H47:I49">
    <cfRule type="cellIs" dxfId="280" priority="40" operator="between">
      <formula>10</formula>
      <formula>9999.999</formula>
    </cfRule>
  </conditionalFormatting>
  <conditionalFormatting sqref="H43:I43 J44:K46 J48:K52 H47:I49">
    <cfRule type="cellIs" dxfId="279" priority="58" operator="lessThan">
      <formula>0.1</formula>
    </cfRule>
  </conditionalFormatting>
  <conditionalFormatting sqref="H43:I43 J44:K46">
    <cfRule type="cellIs" dxfId="278" priority="37" operator="equal">
      <formula>0</formula>
    </cfRule>
  </conditionalFormatting>
  <conditionalFormatting sqref="H43:I43">
    <cfRule type="cellIs" dxfId="277" priority="38" operator="between">
      <formula>0.1</formula>
      <formula>0.999</formula>
    </cfRule>
    <cfRule type="cellIs" dxfId="276" priority="39" operator="between">
      <formula>1</formula>
      <formula>9.999</formula>
    </cfRule>
  </conditionalFormatting>
  <conditionalFormatting sqref="J14:J19">
    <cfRule type="cellIs" dxfId="275" priority="16" operator="equal">
      <formula>0</formula>
    </cfRule>
    <cfRule type="cellIs" dxfId="274" priority="17" operator="lessThan">
      <formula>0.1</formula>
    </cfRule>
  </conditionalFormatting>
  <conditionalFormatting sqref="J16">
    <cfRule type="cellIs" dxfId="273" priority="13" operator="lessThan">
      <formula>0.1</formula>
    </cfRule>
    <cfRule type="cellIs" dxfId="272" priority="14" operator="equal">
      <formula>0</formula>
    </cfRule>
  </conditionalFormatting>
  <conditionalFormatting sqref="J19">
    <cfRule type="cellIs" dxfId="271" priority="12" operator="equal">
      <formula>0</formula>
    </cfRule>
  </conditionalFormatting>
  <conditionalFormatting sqref="J19:J22">
    <cfRule type="cellIs" dxfId="270" priority="11" operator="lessThan">
      <formula>0.1</formula>
    </cfRule>
  </conditionalFormatting>
  <conditionalFormatting sqref="J20:J22">
    <cfRule type="cellIs" dxfId="269" priority="10" operator="equal">
      <formula>0</formula>
    </cfRule>
  </conditionalFormatting>
  <conditionalFormatting sqref="J22">
    <cfRule type="cellIs" dxfId="268" priority="1" operator="lessThan">
      <formula>0.1</formula>
    </cfRule>
    <cfRule type="cellIs" dxfId="267" priority="2" operator="equal">
      <formula>0</formula>
    </cfRule>
  </conditionalFormatting>
  <conditionalFormatting sqref="J14:K19">
    <cfRule type="cellIs" dxfId="266" priority="15" operator="lessThan">
      <formula>0.1</formula>
    </cfRule>
  </conditionalFormatting>
  <conditionalFormatting sqref="J14:K22">
    <cfRule type="cellIs" dxfId="265" priority="6" operator="between">
      <formula>10</formula>
      <formula>9999.999</formula>
    </cfRule>
    <cfRule type="cellIs" dxfId="264" priority="5" operator="between">
      <formula>1</formula>
      <formula>9.999</formula>
    </cfRule>
    <cfRule type="cellIs" dxfId="263" priority="4" operator="between">
      <formula>0.1</formula>
      <formula>0.999</formula>
    </cfRule>
    <cfRule type="cellIs" dxfId="262" priority="3" operator="greaterThan">
      <formula>10000</formula>
    </cfRule>
  </conditionalFormatting>
  <conditionalFormatting sqref="J20:K22">
    <cfRule type="cellIs" dxfId="261" priority="9" operator="lessThan">
      <formula>0.1</formula>
    </cfRule>
  </conditionalFormatting>
  <conditionalFormatting sqref="J41:K47">
    <cfRule type="cellIs" dxfId="260" priority="100" operator="lessThan">
      <formula>0.1</formula>
    </cfRule>
  </conditionalFormatting>
  <conditionalFormatting sqref="J41:K52 H41:I43 H47:I49">
    <cfRule type="cellIs" dxfId="259" priority="23" operator="greaterThan">
      <formula>10000</formula>
    </cfRule>
  </conditionalFormatting>
  <conditionalFormatting sqref="J41:K52">
    <cfRule type="cellIs" dxfId="258" priority="22" operator="between">
      <formula>10</formula>
      <formula>9999.999</formula>
    </cfRule>
  </conditionalFormatting>
  <conditionalFormatting sqref="J44:K52">
    <cfRule type="cellIs" dxfId="257" priority="21" operator="between">
      <formula>1</formula>
      <formula>9.999</formula>
    </cfRule>
    <cfRule type="cellIs" dxfId="256" priority="20" operator="between">
      <formula>0.1</formula>
      <formula>0.999</formula>
    </cfRule>
  </conditionalFormatting>
  <conditionalFormatting sqref="J47:K47">
    <cfRule type="cellIs" dxfId="255" priority="95" operator="equal">
      <formula>0</formula>
    </cfRule>
  </conditionalFormatting>
  <conditionalFormatting sqref="J47:K52">
    <cfRule type="cellIs" dxfId="254" priority="93" operator="lessThan">
      <formula>0.1</formula>
    </cfRule>
  </conditionalFormatting>
  <conditionalFormatting sqref="J48:K49">
    <cfRule type="cellIs" dxfId="253" priority="88" operator="equal">
      <formula>0</formula>
    </cfRule>
  </conditionalFormatting>
  <conditionalFormatting sqref="J50:K51">
    <cfRule type="cellIs" dxfId="252" priority="25" operator="equal">
      <formula>0</formula>
    </cfRule>
  </conditionalFormatting>
  <conditionalFormatting sqref="J52:K52">
    <cfRule type="cellIs" dxfId="251" priority="18" stopIfTrue="1" operator="equal">
      <formula>0</formula>
    </cfRule>
  </conditionalFormatting>
  <conditionalFormatting sqref="J5:U5 H5:I22 J6:M13 N6:U52 L14:M22 H23:M25 H23:K31 L26:M52 H32:I34 H35:K40 I53:K57 H47:I49 J41:K46">
    <cfRule type="cellIs" dxfId="250" priority="164" operator="between">
      <formula>1</formula>
      <formula>9.999</formula>
    </cfRule>
  </conditionalFormatting>
  <conditionalFormatting sqref="J5:U5 H5:I22 J6:M13 N6:U52 L14:M22 H23:M25 H23:K31 L26:M52 H32:I34 H35:K40 I53:K57">
    <cfRule type="cellIs" dxfId="249" priority="147" operator="greaterThan">
      <formula>10000</formula>
    </cfRule>
    <cfRule type="cellIs" dxfId="248" priority="151" operator="lessThan">
      <formula>0.1</formula>
    </cfRule>
    <cfRule type="cellIs" dxfId="247" priority="163" operator="between">
      <formula>10</formula>
      <formula>9999.999</formula>
    </cfRule>
  </conditionalFormatting>
  <conditionalFormatting sqref="J5:U5 H5:I22 J6:M13 N6:U52 L14:M22 H23:M25 H23:K31 L26:M52 H32:I34 H35:K40 J41:K46 H47:I49 I53:K57">
    <cfRule type="cellIs" dxfId="246" priority="165" operator="between">
      <formula>0.1</formula>
      <formula>0.999</formula>
    </cfRule>
  </conditionalFormatting>
  <conditionalFormatting sqref="K14:K22">
    <cfRule type="cellIs" dxfId="245" priority="8" operator="equal">
      <formula>0</formula>
    </cfRule>
    <cfRule type="cellIs" dxfId="244" priority="7" operator="lessThan">
      <formula>0.1</formula>
    </cfRule>
  </conditionalFormatting>
  <conditionalFormatting sqref="P5:Q52">
    <cfRule type="cellIs" dxfId="243" priority="167" operator="between">
      <formula>1</formula>
      <formula>9.999</formula>
    </cfRule>
    <cfRule type="cellIs" dxfId="242" priority="168" operator="lessThan">
      <formula>0.1</formula>
    </cfRule>
    <cfRule type="cellIs" dxfId="241" priority="169" operator="between">
      <formula>0.1</formula>
      <formula>0.999</formula>
    </cfRule>
    <cfRule type="cellIs" dxfId="240" priority="170" operator="between">
      <formula>10</formula>
      <formula>9999.999</formula>
    </cfRule>
    <cfRule type="cellIs" dxfId="239" priority="171" operator="greaterThan">
      <formula>10000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F8EF-0238-48DF-B0F9-9BD2EA206E1A}">
  <sheetPr codeName="Sheet11">
    <tabColor rgb="FF92D050"/>
  </sheetPr>
  <dimension ref="A1:V79"/>
  <sheetViews>
    <sheetView zoomScale="70" zoomScaleNormal="70" workbookViewId="0">
      <selection activeCell="L18" sqref="L18:Q21"/>
    </sheetView>
  </sheetViews>
  <sheetFormatPr defaultColWidth="8.85546875" defaultRowHeight="12.75" x14ac:dyDescent="0.25"/>
  <cols>
    <col min="1" max="1" width="2.140625" style="26" customWidth="1"/>
    <col min="2" max="2" width="8.42578125" style="27" customWidth="1"/>
    <col min="3" max="3" width="20.85546875" style="56" customWidth="1"/>
    <col min="4" max="4" width="15.42578125" style="232" customWidth="1"/>
    <col min="5" max="5" width="11.42578125" style="56" customWidth="1"/>
    <col min="6" max="6" width="11.5703125" style="56" customWidth="1"/>
    <col min="7" max="7" width="2.42578125" style="26" customWidth="1"/>
    <col min="8" max="8" width="10.42578125" style="26" customWidth="1"/>
    <col min="9" max="9" width="9.85546875" style="56" customWidth="1"/>
    <col min="10" max="10" width="10.140625" style="26" bestFit="1" customWidth="1"/>
    <col min="11" max="11" width="14.42578125" style="26" customWidth="1"/>
    <col min="12" max="12" width="22.5703125" style="26" customWidth="1"/>
    <col min="13" max="13" width="18.140625" style="26" customWidth="1"/>
    <col min="14" max="14" width="18.85546875" style="26" customWidth="1"/>
    <col min="15" max="15" width="21.140625" style="26" customWidth="1"/>
    <col min="16" max="17" width="18.85546875" style="26" customWidth="1"/>
    <col min="18" max="18" width="23.140625" style="26" customWidth="1"/>
    <col min="19" max="19" width="18.140625" style="26" customWidth="1"/>
    <col min="20" max="20" width="21.140625" style="26" customWidth="1"/>
    <col min="21" max="21" width="17.140625" style="26" customWidth="1"/>
    <col min="22" max="22" width="17.5703125" style="26" customWidth="1"/>
    <col min="23" max="23" width="16.85546875" style="26" customWidth="1"/>
    <col min="24" max="24" width="17" style="26" customWidth="1"/>
    <col min="25" max="25" width="13.140625" style="26" customWidth="1"/>
    <col min="26" max="16384" width="8.85546875" style="26"/>
  </cols>
  <sheetData>
    <row r="1" spans="2:22" ht="13.5" thickBot="1" x14ac:dyDescent="0.3"/>
    <row r="2" spans="2:22" ht="27.75" customHeight="1" thickBot="1" x14ac:dyDescent="0.3">
      <c r="C2" s="30" t="s">
        <v>62</v>
      </c>
      <c r="D2" s="230" t="s">
        <v>63</v>
      </c>
      <c r="E2" s="231"/>
      <c r="F2" s="35" t="s">
        <v>65</v>
      </c>
      <c r="L2" s="234" t="s">
        <v>140</v>
      </c>
      <c r="M2" s="234"/>
      <c r="N2" s="29"/>
      <c r="O2" s="28"/>
      <c r="P2" s="50"/>
      <c r="Q2" s="50"/>
      <c r="S2" s="56"/>
      <c r="T2" s="50"/>
      <c r="U2" s="28"/>
      <c r="V2" s="28"/>
    </row>
    <row r="3" spans="2:22" ht="39" thickBot="1" x14ac:dyDescent="0.3">
      <c r="C3" s="37" t="s">
        <v>66</v>
      </c>
      <c r="D3" s="38" t="s">
        <v>67</v>
      </c>
      <c r="E3" s="39"/>
      <c r="F3" s="42" t="s">
        <v>70</v>
      </c>
      <c r="G3" s="56"/>
      <c r="I3" s="26"/>
      <c r="K3" s="235"/>
      <c r="L3" s="235" t="s">
        <v>75</v>
      </c>
    </row>
    <row r="4" spans="2:22" ht="51" x14ac:dyDescent="0.25">
      <c r="C4" s="43" t="s">
        <v>207</v>
      </c>
      <c r="D4" s="44" t="str">
        <f>_xlfn.XLOOKUP($C$4,Inhalation_Exp[OES],Inhalation_Exp[Data Type])</f>
        <v>Monitoring and Modeled Data</v>
      </c>
      <c r="E4" s="370"/>
      <c r="F4" s="48" t="s">
        <v>72</v>
      </c>
      <c r="G4" s="56"/>
      <c r="H4" s="56"/>
      <c r="L4" s="57" t="s">
        <v>175</v>
      </c>
      <c r="M4" s="120" t="s">
        <v>77</v>
      </c>
      <c r="N4" s="59" t="s">
        <v>141</v>
      </c>
      <c r="O4" s="59" t="s">
        <v>79</v>
      </c>
      <c r="P4" s="59" t="s">
        <v>142</v>
      </c>
      <c r="Q4" s="60" t="s">
        <v>143</v>
      </c>
    </row>
    <row r="5" spans="2:22" ht="26.25" thickBot="1" x14ac:dyDescent="0.3">
      <c r="G5" s="50"/>
      <c r="H5" s="50"/>
      <c r="I5" s="50"/>
      <c r="J5" s="28"/>
      <c r="L5" s="68"/>
      <c r="M5" s="130"/>
      <c r="N5" s="74" t="s">
        <v>229</v>
      </c>
      <c r="O5" s="74" t="s">
        <v>84</v>
      </c>
      <c r="P5" s="74" t="s">
        <v>230</v>
      </c>
      <c r="Q5" s="75" t="s">
        <v>231</v>
      </c>
    </row>
    <row r="6" spans="2:22" ht="18" customHeight="1" x14ac:dyDescent="0.25">
      <c r="L6" s="78" t="str">
        <f>$F$4</f>
        <v>Female of Reproductive Age</v>
      </c>
      <c r="M6" s="371" t="s">
        <v>90</v>
      </c>
      <c r="N6" s="86">
        <f>SUMIFS(Inhalation_Exp[24hr_High-End],Inhalation_Exp[OES],$C$4,Inhalation_Exp[Worker Type],$L6,Inhalation_Exp[Data Type],$D$4)</f>
        <v>0.23334483948912663</v>
      </c>
      <c r="O6" s="86">
        <f>SUMIFS(Inhalation_Exp[Int_High-End],Inhalation_Exp[OES],$C$4,Inhalation_Exp[Worker Type],$L6,Inhalation_Exp[Data Type],$D$4)</f>
        <v>0.17111954895869286</v>
      </c>
      <c r="P6" s="86">
        <f>SUMIFS(Inhalation_Exp[ADD_High-End],Inhalation_Exp[OES],$C$4,Inhalation_Exp[Worker Type],$L6,Inhalation_Exp[Data Type],$D$4)</f>
        <v>0.15982523252679906</v>
      </c>
      <c r="Q6" s="98">
        <f>SUMIFS(Inhalation_Exp[LADD_High-End],Inhalation_Exp[OES],$C$4,Inhalation_Exp[Worker Type],$L6,Inhalation_Exp[Data Type],$D$4)</f>
        <v>8.1961657706050794E-2</v>
      </c>
    </row>
    <row r="7" spans="2:22" ht="15" customHeight="1" thickBot="1" x14ac:dyDescent="0.3">
      <c r="L7" s="88"/>
      <c r="M7" s="372" t="s">
        <v>91</v>
      </c>
      <c r="N7" s="103">
        <f>SUMIFS(Inhalation_Exp[24hr_Central Tendency],Inhalation_Exp[OES],$C$4,Inhalation_Exp[Worker Type],$L6,Inhalation_Exp[Data Type],$D$4)</f>
        <v>3.948912668277528E-2</v>
      </c>
      <c r="O7" s="103">
        <f>SUMIFS(Inhalation_Exp[Int_Central Tendency],Inhalation_Exp[OES],$C$4,Inhalation_Exp[Worker Type],$L6,Inhalation_Exp[Data Type],$D$4)</f>
        <v>2.8958692900701872E-2</v>
      </c>
      <c r="P7" s="103">
        <f>SUMIFS(Inhalation_Exp[ADD_Central Tendency],Inhalation_Exp[OES],$C$4,Inhalation_Exp[Worker Type],$L6,Inhalation_Exp[Data Type],$D$4)</f>
        <v>2.7047347042996765E-2</v>
      </c>
      <c r="Q7" s="104">
        <f>SUMIFS(Inhalation_Exp[LADD_Central Tendency],Inhalation_Exp[OES],$C$4,Inhalation_Exp[Worker Type],$L6,Inhalation_Exp[Data Type],$D$4)</f>
        <v>1.0749586645293586E-2</v>
      </c>
    </row>
    <row r="8" spans="2:22" ht="15.75" x14ac:dyDescent="0.25">
      <c r="C8" s="26"/>
      <c r="D8" s="26"/>
      <c r="E8" s="26"/>
      <c r="F8" s="26"/>
      <c r="L8" s="234" t="s">
        <v>65</v>
      </c>
    </row>
    <row r="9" spans="2:22" ht="25.5" customHeight="1" thickBot="1" x14ac:dyDescent="0.3">
      <c r="C9" s="26"/>
      <c r="D9" s="26"/>
      <c r="E9" s="26"/>
      <c r="H9" s="27"/>
      <c r="L9" s="235" t="s">
        <v>75</v>
      </c>
    </row>
    <row r="10" spans="2:22" ht="25.5" x14ac:dyDescent="0.25">
      <c r="C10" s="26"/>
      <c r="D10" s="26"/>
      <c r="E10" s="26"/>
      <c r="H10" s="27"/>
      <c r="L10" s="57" t="s">
        <v>175</v>
      </c>
      <c r="M10" s="120" t="s">
        <v>77</v>
      </c>
      <c r="N10" s="59" t="s">
        <v>144</v>
      </c>
      <c r="O10" s="59" t="s">
        <v>79</v>
      </c>
      <c r="P10" s="59" t="s">
        <v>145</v>
      </c>
      <c r="Q10" s="60" t="s">
        <v>146</v>
      </c>
    </row>
    <row r="11" spans="2:22" ht="13.5" thickBot="1" x14ac:dyDescent="0.3">
      <c r="H11" s="27"/>
      <c r="L11" s="68"/>
      <c r="M11" s="130"/>
      <c r="N11" s="74" t="s">
        <v>147</v>
      </c>
      <c r="O11" s="74" t="s">
        <v>84</v>
      </c>
      <c r="P11" s="74" t="s">
        <v>148</v>
      </c>
      <c r="Q11" s="75" t="s">
        <v>149</v>
      </c>
    </row>
    <row r="12" spans="2:22" ht="12.75" customHeight="1" thickBot="1" x14ac:dyDescent="0.3">
      <c r="H12" s="27"/>
      <c r="L12" s="78" t="str">
        <f>$F$4</f>
        <v>Female of Reproductive Age</v>
      </c>
      <c r="M12" s="371" t="s">
        <v>90</v>
      </c>
      <c r="N12" s="81">
        <f>SUMIFS(Dermal_Exp[High-End AD (mg/kg-day)],Dermal_Exp[Worker Type],$L$12,Dermal_Exp[OES],$C$4)</f>
        <v>2.3380970722940377</v>
      </c>
      <c r="O12" s="81">
        <f>SUMIFS(Dermal_Exp[High-End IADD (mg/kg-day)],Dermal_Exp[Worker Type],$L$12,Dermal_Exp[OES],$C$4)</f>
        <v>1.7146045196822943</v>
      </c>
      <c r="P12" s="81">
        <f>SUMIFS(Dermal_Exp[High-End ADD (mg/kg-day)],Dermal_Exp[Worker Type],$L$12,Dermal_Exp[OES],$C$4)</f>
        <v>1.6014363508863274</v>
      </c>
      <c r="Q12" s="82">
        <f>SUMIFS(Dermal_Exp[High-End LADD (mg/kg-day)],Dermal_Exp[Worker Type],$L$12,Dermal_Exp[OES],$C$4)</f>
        <v>0.82124941071093716</v>
      </c>
    </row>
    <row r="13" spans="2:22" ht="15.75" customHeight="1" thickBot="1" x14ac:dyDescent="0.3">
      <c r="H13" s="27"/>
      <c r="L13" s="88"/>
      <c r="M13" s="372" t="s">
        <v>91</v>
      </c>
      <c r="N13" s="373">
        <f>SUMIFS(Dermal_Exp[Central Tendency AD (mg/kg-day)],Dermal_Exp[Worker Type],$L$12,Dermal_Exp[OES],$C$4)</f>
        <v>1.1690485361470189</v>
      </c>
      <c r="O13" s="105">
        <f>SUMIFS(Dermal_Exp[Central Tendency IADD (mg/kg-day)],Dermal_Exp[Worker Type],$L$12,Dermal_Exp[OES],$C$4)</f>
        <v>0.85730225984114716</v>
      </c>
      <c r="P13" s="105">
        <f>SUMIFS(Dermal_Exp[Central Tendency ADD (mg/kg-day)],Dermal_Exp[Worker Type],$L$12,Dermal_Exp[OES],$C$4)</f>
        <v>0.80071817544316359</v>
      </c>
      <c r="Q13" s="106">
        <f>SUMIFS(Dermal_Exp[Central Tendency LADD (mg/kg-day)],Dermal_Exp[Worker Type],$L$12,Dermal_Exp[OES],$C$4)</f>
        <v>0.3182341466504881</v>
      </c>
    </row>
    <row r="14" spans="2:22" s="28" customFormat="1" ht="16.5" thickBot="1" x14ac:dyDescent="0.3">
      <c r="B14" s="29"/>
      <c r="C14" s="50"/>
      <c r="D14" s="112"/>
      <c r="E14" s="112"/>
      <c r="F14" s="112"/>
      <c r="G14" s="115"/>
      <c r="H14" s="247" t="s">
        <v>232</v>
      </c>
      <c r="I14" s="50"/>
      <c r="J14" s="50"/>
      <c r="L14" s="49"/>
      <c r="M14" s="248"/>
      <c r="N14" s="248"/>
      <c r="O14" s="249"/>
      <c r="P14" s="249"/>
      <c r="S14" s="239"/>
    </row>
    <row r="15" spans="2:22" s="28" customFormat="1" x14ac:dyDescent="0.25">
      <c r="B15" s="29"/>
      <c r="C15" s="251" t="s">
        <v>152</v>
      </c>
      <c r="D15" s="251" t="s">
        <v>153</v>
      </c>
      <c r="E15" s="251"/>
      <c r="F15" s="252" t="s">
        <v>154</v>
      </c>
      <c r="G15" s="253"/>
      <c r="H15" s="118" t="s">
        <v>97</v>
      </c>
      <c r="I15" s="58" t="s">
        <v>77</v>
      </c>
      <c r="J15" s="38" t="s">
        <v>98</v>
      </c>
      <c r="K15" s="254" t="str">
        <f>_xlfn.CONCAT("Exposure Estimates: ",$F$4," MOE")</f>
        <v>Exposure Estimates: Female of Reproductive Age MOE</v>
      </c>
      <c r="L15" s="374"/>
      <c r="M15" s="254"/>
      <c r="N15" s="254"/>
      <c r="O15" s="254"/>
      <c r="P15" s="254"/>
      <c r="Q15" s="39"/>
      <c r="S15" s="239"/>
    </row>
    <row r="16" spans="2:22" s="28" customFormat="1" x14ac:dyDescent="0.25">
      <c r="B16" s="29"/>
      <c r="C16" s="256"/>
      <c r="D16" s="256"/>
      <c r="E16" s="256"/>
      <c r="F16" s="257"/>
      <c r="G16" s="258"/>
      <c r="H16" s="375"/>
      <c r="I16" s="69"/>
      <c r="J16" s="259"/>
      <c r="K16" s="265" t="s">
        <v>233</v>
      </c>
      <c r="L16" s="376" t="s">
        <v>159</v>
      </c>
      <c r="M16" s="265" t="s">
        <v>234</v>
      </c>
      <c r="N16" s="265"/>
      <c r="O16" s="265"/>
      <c r="P16" s="265"/>
      <c r="Q16" s="377"/>
      <c r="S16" s="239"/>
    </row>
    <row r="17" spans="2:17" s="28" customFormat="1" ht="13.5" thickBot="1" x14ac:dyDescent="0.3">
      <c r="B17" s="29"/>
      <c r="C17" s="256"/>
      <c r="D17" s="256"/>
      <c r="E17" s="256"/>
      <c r="F17" s="257"/>
      <c r="G17" s="258"/>
      <c r="H17" s="378"/>
      <c r="I17" s="69"/>
      <c r="J17" s="131"/>
      <c r="K17" s="379"/>
      <c r="L17" s="380"/>
      <c r="M17" s="74">
        <f>'List Values'!$D$15</f>
        <v>10</v>
      </c>
      <c r="N17" s="74">
        <f>'List Values'!$D$16</f>
        <v>25</v>
      </c>
      <c r="O17" s="74">
        <f>'List Values'!$D$17</f>
        <v>50</v>
      </c>
      <c r="P17" s="74">
        <f>'List Values'!$D$18</f>
        <v>1000</v>
      </c>
      <c r="Q17" s="75">
        <f>'List Values'!$D$19</f>
        <v>10000</v>
      </c>
    </row>
    <row r="18" spans="2:17" s="28" customFormat="1" x14ac:dyDescent="0.25">
      <c r="B18" s="381" t="s">
        <v>106</v>
      </c>
      <c r="C18" s="271" t="s">
        <v>160</v>
      </c>
      <c r="D18" s="382" t="str">
        <f>_xlfn.XLOOKUP($B18,Tox_Table[Code],Tox_Table[Health Effect])</f>
        <v>↓ Fetal testicular testosterone</v>
      </c>
      <c r="E18" s="382">
        <f>_xlfn.XLOOKUP($B18,Tox_Table[Code],Tox_Table[Endpoint])</f>
        <v>0</v>
      </c>
      <c r="F18" s="383">
        <f>_xlfn.XLOOKUP($B18,Tox_Table[Code],Tox_Table[Study])</f>
        <v>0</v>
      </c>
      <c r="G18" s="274"/>
      <c r="H18" s="384">
        <f>_xlfn.XLOOKUP($B18, Tox_Table[Code],Tox_Table[HED / POD (mg/kg/day)], FALSE)</f>
        <v>2.1</v>
      </c>
      <c r="I18" s="385" t="s">
        <v>90</v>
      </c>
      <c r="J18" s="386">
        <f>_xlfn.XLOOKUP($B18,Tox_Table[Code],Tox_Table[Benchmark MOE])</f>
        <v>30</v>
      </c>
      <c r="K18" s="387" t="s">
        <v>157</v>
      </c>
      <c r="L18" s="278">
        <f>IFERROR($H$18/($N$6+$N$12),"")</f>
        <v>0.81666242989084548</v>
      </c>
      <c r="M18" s="141">
        <f>IFERROR($H$18/(($N$6/M$17)+$N$12),"")</f>
        <v>0.88929107195514523</v>
      </c>
      <c r="N18" s="141">
        <f>IFERROR($H$18/(($N$6/N$17)+$N$12),"")</f>
        <v>0.89459503601546086</v>
      </c>
      <c r="O18" s="141">
        <f>IFERROR($H$18/(($N$6/O$17)+$N$12),"")</f>
        <v>0.8963771116990682</v>
      </c>
      <c r="P18" s="141">
        <f>IFERROR($H$18/(($N$6/P$17)+$N$12),"")</f>
        <v>0.8980766724038568</v>
      </c>
      <c r="Q18" s="146">
        <f>IFERROR($H$18/(($N$6/Q$17)+$N$12),"")</f>
        <v>0.89815733779676254</v>
      </c>
    </row>
    <row r="19" spans="2:17" s="28" customFormat="1" x14ac:dyDescent="0.25">
      <c r="B19" s="381"/>
      <c r="C19" s="279"/>
      <c r="D19" s="388"/>
      <c r="E19" s="388"/>
      <c r="F19" s="389"/>
      <c r="G19" s="274"/>
      <c r="H19" s="390"/>
      <c r="I19" s="391"/>
      <c r="J19" s="392"/>
      <c r="K19" s="393">
        <f>'List Values'!$D$22</f>
        <v>5</v>
      </c>
      <c r="L19" s="394">
        <f>IFERROR($H$18/($N$6+$N$12/K19),"")</f>
        <v>2.9958731678148922</v>
      </c>
      <c r="M19" s="394">
        <f t="shared" ref="M19:Q21" si="0">IFERROR($H$18/(($N$6/M$17)+$N$12/$K19),"")</f>
        <v>4.2773873612385955</v>
      </c>
      <c r="N19" s="394">
        <f t="shared" si="0"/>
        <v>4.4029476363875251</v>
      </c>
      <c r="O19" s="394">
        <f t="shared" si="0"/>
        <v>4.4464553597757259</v>
      </c>
      <c r="P19" s="394">
        <f t="shared" si="0"/>
        <v>4.4885916739053968</v>
      </c>
      <c r="Q19" s="395">
        <f t="shared" si="0"/>
        <v>4.4906074236105784</v>
      </c>
    </row>
    <row r="20" spans="2:17" s="28" customFormat="1" x14ac:dyDescent="0.25">
      <c r="B20" s="381"/>
      <c r="C20" s="279"/>
      <c r="D20" s="388"/>
      <c r="E20" s="388"/>
      <c r="F20" s="389"/>
      <c r="G20" s="274"/>
      <c r="H20" s="390"/>
      <c r="I20" s="391"/>
      <c r="J20" s="392"/>
      <c r="K20" s="393">
        <f>'List Values'!$D$23</f>
        <v>10</v>
      </c>
      <c r="L20" s="394">
        <f>IFERROR($H$18/($N$6+$N$12/K20),"")</f>
        <v>4.4953003556343214</v>
      </c>
      <c r="M20" s="394">
        <f t="shared" si="0"/>
        <v>8.1666242989084541</v>
      </c>
      <c r="N20" s="394">
        <f t="shared" si="0"/>
        <v>8.6368749031458272</v>
      </c>
      <c r="O20" s="394">
        <f t="shared" si="0"/>
        <v>8.8058952727750501</v>
      </c>
      <c r="P20" s="394">
        <f t="shared" si="0"/>
        <v>8.9727081467978991</v>
      </c>
      <c r="Q20" s="395">
        <f t="shared" si="0"/>
        <v>8.9807667240385669</v>
      </c>
    </row>
    <row r="21" spans="2:17" s="28" customFormat="1" x14ac:dyDescent="0.25">
      <c r="B21" s="381"/>
      <c r="C21" s="279"/>
      <c r="D21" s="388"/>
      <c r="E21" s="388"/>
      <c r="F21" s="389"/>
      <c r="G21" s="274"/>
      <c r="H21" s="390"/>
      <c r="I21" s="391"/>
      <c r="J21" s="396"/>
      <c r="K21" s="393">
        <f>'List Values'!$D$24</f>
        <v>20</v>
      </c>
      <c r="L21" s="394">
        <f>IFERROR($H$18/($N$6+$N$12/K21),"")</f>
        <v>5.9957225983277969</v>
      </c>
      <c r="M21" s="394">
        <f t="shared" si="0"/>
        <v>14.974400453420639</v>
      </c>
      <c r="N21" s="394">
        <f t="shared" si="0"/>
        <v>16.635159253317557</v>
      </c>
      <c r="O21" s="394">
        <f t="shared" si="0"/>
        <v>17.273749806291654</v>
      </c>
      <c r="P21" s="394">
        <f t="shared" si="0"/>
        <v>17.927542233981367</v>
      </c>
      <c r="Q21" s="395">
        <f t="shared" si="0"/>
        <v>17.959741223632555</v>
      </c>
    </row>
    <row r="22" spans="2:17" s="28" customFormat="1" x14ac:dyDescent="0.25">
      <c r="B22" s="381" t="s">
        <v>106</v>
      </c>
      <c r="C22" s="279"/>
      <c r="D22" s="388"/>
      <c r="E22" s="388"/>
      <c r="F22" s="389"/>
      <c r="G22" s="274"/>
      <c r="H22" s="390">
        <f>_xlfn.XLOOKUP(B22, Tox_Table[Code],Tox_Table[HED / POD (mg/kg/day)], FALSE)</f>
        <v>2.1</v>
      </c>
      <c r="I22" s="391" t="s">
        <v>91</v>
      </c>
      <c r="J22" s="397">
        <f>_xlfn.XLOOKUP($B22,Tox_Table[Code],Tox_Table[Benchmark MOE])</f>
        <v>30</v>
      </c>
      <c r="K22" s="393" t="s">
        <v>157</v>
      </c>
      <c r="L22" s="394">
        <f>IFERROR($H$22/($N$7+$N$13),"")</f>
        <v>1.7376371995580548</v>
      </c>
      <c r="M22" s="394">
        <f>IFERROR($H$22/(($N$7/M$17)+$N$13),"")</f>
        <v>1.7902852236558209</v>
      </c>
      <c r="N22" s="394">
        <f>IFERROR($H$22/(($N$7/N$17)+$N$13),"")</f>
        <v>1.7939087553268227</v>
      </c>
      <c r="O22" s="394">
        <f>IFERROR($H$22/(($N$7/O$17)+$N$13),"")</f>
        <v>1.7951198609807444</v>
      </c>
      <c r="P22" s="394">
        <f>IFERROR($H$22/(($N$7/P$17)+$N$13),"")</f>
        <v>1.7962719270076839</v>
      </c>
      <c r="Q22" s="395">
        <f>IFERROR($H$22/(($N$7/Q$17)+$N$13),"")</f>
        <v>1.7963265352391622</v>
      </c>
    </row>
    <row r="23" spans="2:17" s="28" customFormat="1" x14ac:dyDescent="0.25">
      <c r="B23" s="381"/>
      <c r="C23" s="279"/>
      <c r="D23" s="388"/>
      <c r="E23" s="388"/>
      <c r="F23" s="389"/>
      <c r="G23" s="274"/>
      <c r="H23" s="390"/>
      <c r="I23" s="391"/>
      <c r="J23" s="397"/>
      <c r="K23" s="393">
        <f>'List Values'!$D$22</f>
        <v>5</v>
      </c>
      <c r="L23" s="394">
        <f>IFERROR($H$22/($N$7+$N$13/K23),"")</f>
        <v>7.683896670685419</v>
      </c>
      <c r="M23" s="394">
        <f t="shared" ref="M23:Q25" si="1">IFERROR($H$22/(($N$7/M$17)+$N$13/$K23),"")</f>
        <v>8.8324873390656826</v>
      </c>
      <c r="N23" s="394">
        <f t="shared" si="1"/>
        <v>8.9213921242463883</v>
      </c>
      <c r="O23" s="394">
        <f t="shared" si="1"/>
        <v>8.9514261182791035</v>
      </c>
      <c r="P23" s="394">
        <f t="shared" si="1"/>
        <v>8.9801463196062929</v>
      </c>
      <c r="Q23" s="395">
        <f t="shared" si="1"/>
        <v>8.9815113225207774</v>
      </c>
    </row>
    <row r="24" spans="2:17" s="28" customFormat="1" x14ac:dyDescent="0.25">
      <c r="B24" s="381"/>
      <c r="C24" s="279"/>
      <c r="D24" s="388"/>
      <c r="E24" s="388"/>
      <c r="F24" s="389"/>
      <c r="G24" s="274"/>
      <c r="H24" s="390"/>
      <c r="I24" s="391"/>
      <c r="J24" s="397"/>
      <c r="K24" s="393">
        <f>'List Values'!$D$23</f>
        <v>10</v>
      </c>
      <c r="L24" s="394">
        <f>IFERROR($H$22/($N$7+$N$13/K24),"")</f>
        <v>13.427626792320188</v>
      </c>
      <c r="M24" s="394">
        <f t="shared" si="1"/>
        <v>17.376371995580548</v>
      </c>
      <c r="N24" s="394">
        <f t="shared" si="1"/>
        <v>17.723849459361873</v>
      </c>
      <c r="O24" s="394">
        <f t="shared" si="1"/>
        <v>17.842784248492777</v>
      </c>
      <c r="P24" s="394">
        <f t="shared" si="1"/>
        <v>17.957260272470151</v>
      </c>
      <c r="Q24" s="395">
        <f t="shared" si="1"/>
        <v>17.962719270076839</v>
      </c>
    </row>
    <row r="25" spans="2:17" s="28" customFormat="1" ht="13.5" thickBot="1" x14ac:dyDescent="0.3">
      <c r="B25" s="381"/>
      <c r="C25" s="292"/>
      <c r="D25" s="398"/>
      <c r="E25" s="398"/>
      <c r="F25" s="399"/>
      <c r="G25" s="274"/>
      <c r="H25" s="400"/>
      <c r="I25" s="401"/>
      <c r="J25" s="402"/>
      <c r="K25" s="393">
        <f>'List Values'!$D$24</f>
        <v>20</v>
      </c>
      <c r="L25" s="158">
        <f>IFERROR($H$22/($N$7+$N$13/K25),"")</f>
        <v>21.441358904029503</v>
      </c>
      <c r="M25" s="158">
        <f t="shared" si="1"/>
        <v>33.653123757386297</v>
      </c>
      <c r="N25" s="158">
        <f t="shared" si="1"/>
        <v>34.981348018311536</v>
      </c>
      <c r="O25" s="158">
        <f t="shared" si="1"/>
        <v>35.447698918723745</v>
      </c>
      <c r="P25" s="158">
        <f t="shared" si="1"/>
        <v>35.90239721961489</v>
      </c>
      <c r="Q25" s="159">
        <f t="shared" si="1"/>
        <v>35.924225101776621</v>
      </c>
    </row>
    <row r="26" spans="2:17" s="28" customFormat="1" x14ac:dyDescent="0.25">
      <c r="B26" s="381" t="s">
        <v>111</v>
      </c>
      <c r="C26" s="279" t="s">
        <v>161</v>
      </c>
      <c r="D26" s="388" t="str">
        <f>_xlfn.XLOOKUP($B26,Tox_Table[Code],Tox_Table[Health Effect])</f>
        <v>↓ Fetal testicular testosterone</v>
      </c>
      <c r="E26" s="388">
        <f>_xlfn.XLOOKUP($B26,Tox_Table[Code],Tox_Table[Endpoint])</f>
        <v>0</v>
      </c>
      <c r="F26" s="389">
        <f>_xlfn.XLOOKUP($B26,Tox_Table[Code],Tox_Table[Study])</f>
        <v>0</v>
      </c>
      <c r="G26" s="274"/>
      <c r="H26" s="403">
        <f>_xlfn.XLOOKUP($B26, Tox_Table[Code],Tox_Table[HED / POD (mg/kg/day)], FALSE)</f>
        <v>2.1</v>
      </c>
      <c r="I26" s="404" t="s">
        <v>90</v>
      </c>
      <c r="J26" s="396">
        <f>_xlfn.XLOOKUP($B26,Tox_Table[Code],Tox_Table[Benchmark MOE])</f>
        <v>30</v>
      </c>
      <c r="K26" s="405" t="s">
        <v>157</v>
      </c>
      <c r="L26" s="278">
        <f>IFERROR($H$26/($O$6+$O$12),"")</f>
        <v>1.1136305862147893</v>
      </c>
      <c r="M26" s="278">
        <f>IFERROR($H$26/(($O$6/M$17)+$O$12),"")</f>
        <v>1.212669643575198</v>
      </c>
      <c r="N26" s="278">
        <f>IFERROR($H$26/(($O$6/N$17)+$O$12),"")</f>
        <v>1.2199023218392648</v>
      </c>
      <c r="O26" s="278">
        <f>IFERROR($H$26/(($O$6/O$17)+$O$12),"")</f>
        <v>1.222332425044184</v>
      </c>
      <c r="P26" s="278">
        <f>IFERROR($H$26/(($O$6/P$17)+$O$12),"")</f>
        <v>1.224650007823441</v>
      </c>
      <c r="Q26" s="406">
        <f>IFERROR($H$26/(($O$6/Q$17)+$O$12),"")</f>
        <v>1.2247600060864943</v>
      </c>
    </row>
    <row r="27" spans="2:17" s="28" customFormat="1" x14ac:dyDescent="0.25">
      <c r="B27" s="381" t="s">
        <v>111</v>
      </c>
      <c r="C27" s="279"/>
      <c r="D27" s="388"/>
      <c r="E27" s="388"/>
      <c r="F27" s="389"/>
      <c r="G27" s="274"/>
      <c r="H27" s="390"/>
      <c r="I27" s="391"/>
      <c r="J27" s="397"/>
      <c r="K27" s="393">
        <f>'List Values'!$D$22</f>
        <v>5</v>
      </c>
      <c r="L27" s="394">
        <f>IFERROR($H$26/($O$6+$O$12/K27),"")</f>
        <v>4.0852815924748533</v>
      </c>
      <c r="M27" s="394">
        <f t="shared" ref="M27:Q29" si="2">IFERROR($H$26/(($O$6/M$17)+$O$12/$K27),"")</f>
        <v>5.8328009471435402</v>
      </c>
      <c r="N27" s="394">
        <f t="shared" si="2"/>
        <v>6.0040195041648072</v>
      </c>
      <c r="O27" s="394">
        <f t="shared" si="2"/>
        <v>6.0633482178759905</v>
      </c>
      <c r="P27" s="394">
        <f t="shared" si="2"/>
        <v>6.1208068280528138</v>
      </c>
      <c r="Q27" s="395">
        <f t="shared" si="2"/>
        <v>6.1235555776507891</v>
      </c>
    </row>
    <row r="28" spans="2:17" s="28" customFormat="1" x14ac:dyDescent="0.25">
      <c r="B28" s="381"/>
      <c r="C28" s="279"/>
      <c r="D28" s="388"/>
      <c r="E28" s="388"/>
      <c r="F28" s="389"/>
      <c r="G28" s="274"/>
      <c r="H28" s="390"/>
      <c r="I28" s="391"/>
      <c r="J28" s="397"/>
      <c r="K28" s="393">
        <f>'List Values'!$D$23</f>
        <v>10</v>
      </c>
      <c r="L28" s="394">
        <f>IFERROR($H$26/($O$6+$O$12/K28),"")</f>
        <v>6.1299550304104384</v>
      </c>
      <c r="M28" s="394">
        <f t="shared" si="2"/>
        <v>11.136305862147893</v>
      </c>
      <c r="N28" s="394">
        <f t="shared" si="2"/>
        <v>11.777556686107948</v>
      </c>
      <c r="O28" s="394">
        <f t="shared" si="2"/>
        <v>12.008039008329614</v>
      </c>
      <c r="P28" s="394">
        <f t="shared" si="2"/>
        <v>12.235511109269863</v>
      </c>
      <c r="Q28" s="395">
        <f t="shared" si="2"/>
        <v>12.24650007823441</v>
      </c>
    </row>
    <row r="29" spans="2:17" s="28" customFormat="1" x14ac:dyDescent="0.25">
      <c r="B29" s="381"/>
      <c r="C29" s="279"/>
      <c r="D29" s="388"/>
      <c r="E29" s="388"/>
      <c r="F29" s="389"/>
      <c r="G29" s="274"/>
      <c r="H29" s="390"/>
      <c r="I29" s="391"/>
      <c r="J29" s="397"/>
      <c r="K29" s="393">
        <f>'List Values'!$D$24</f>
        <v>20</v>
      </c>
      <c r="L29" s="394">
        <f>IFERROR($H$26/($O$6+$O$12/K29),"")</f>
        <v>8.1759853613560853</v>
      </c>
      <c r="M29" s="394">
        <f t="shared" si="2"/>
        <v>20.419636981937238</v>
      </c>
      <c r="N29" s="394">
        <f t="shared" si="2"/>
        <v>22.684308072705758</v>
      </c>
      <c r="O29" s="394">
        <f t="shared" si="2"/>
        <v>23.555113372215896</v>
      </c>
      <c r="P29" s="394">
        <f t="shared" si="2"/>
        <v>24.446648500883679</v>
      </c>
      <c r="Q29" s="395">
        <f t="shared" si="2"/>
        <v>24.490556214044393</v>
      </c>
    </row>
    <row r="30" spans="2:17" s="28" customFormat="1" x14ac:dyDescent="0.25">
      <c r="B30" s="381" t="s">
        <v>111</v>
      </c>
      <c r="C30" s="279"/>
      <c r="D30" s="388"/>
      <c r="E30" s="388"/>
      <c r="F30" s="389"/>
      <c r="G30" s="274"/>
      <c r="H30" s="390">
        <f>_xlfn.XLOOKUP(B30, Tox_Table[Code],Tox_Table[HED / POD (mg/kg/day)], FALSE)</f>
        <v>2.1</v>
      </c>
      <c r="I30" s="391" t="s">
        <v>91</v>
      </c>
      <c r="J30" s="397">
        <f>_xlfn.XLOOKUP($B30,Tox_Table[Code],Tox_Table[Benchmark MOE])</f>
        <v>30</v>
      </c>
      <c r="K30" s="393" t="s">
        <v>157</v>
      </c>
      <c r="L30" s="394">
        <f>IFERROR($H$30/($O$7+$O$13),"")</f>
        <v>2.3695052721246204</v>
      </c>
      <c r="M30" s="394">
        <f>IFERROR($H$30/(($O$7/M$17)+$O$13),"")</f>
        <v>2.4412980322579374</v>
      </c>
      <c r="N30" s="394">
        <f>IFERROR($H$30/(($O$7/N$17)+$O$13),"")</f>
        <v>2.4462392118093033</v>
      </c>
      <c r="O30" s="394">
        <f>IFERROR($H$30/(($O$7/O$17)+$O$13),"")</f>
        <v>2.4478907195191968</v>
      </c>
      <c r="P30" s="394">
        <f>IFERROR($H$30/(($O$7/P$17)+$O$13),"")</f>
        <v>2.4494617186468419</v>
      </c>
      <c r="Q30" s="395">
        <f>IFERROR($H$30/(($O$7/Q$17)+$O$13),"")</f>
        <v>2.4495361844170391</v>
      </c>
    </row>
    <row r="31" spans="2:17" s="28" customFormat="1" x14ac:dyDescent="0.25">
      <c r="B31" s="381" t="s">
        <v>111</v>
      </c>
      <c r="C31" s="279"/>
      <c r="D31" s="388"/>
      <c r="E31" s="388"/>
      <c r="F31" s="389"/>
      <c r="G31" s="274"/>
      <c r="H31" s="390"/>
      <c r="I31" s="391"/>
      <c r="J31" s="397"/>
      <c r="K31" s="393">
        <f>'List Values'!$D$22</f>
        <v>5</v>
      </c>
      <c r="L31" s="394">
        <f>IFERROR($H$30/($O$7+$O$13/K31),"")</f>
        <v>10.478040914571027</v>
      </c>
      <c r="M31" s="394">
        <f t="shared" ref="M31:Q33" si="3">IFERROR($H$30/(($O$7/M$17)+$O$13/$K31),"")</f>
        <v>12.04430091690775</v>
      </c>
      <c r="N31" s="394">
        <f t="shared" si="3"/>
        <v>12.16553471488144</v>
      </c>
      <c r="O31" s="394">
        <f t="shared" si="3"/>
        <v>12.206490161289688</v>
      </c>
      <c r="P31" s="394">
        <f t="shared" si="3"/>
        <v>12.245654072190401</v>
      </c>
      <c r="Q31" s="395">
        <f t="shared" si="3"/>
        <v>12.247515439801063</v>
      </c>
    </row>
    <row r="32" spans="2:17" s="28" customFormat="1" x14ac:dyDescent="0.25">
      <c r="B32" s="381"/>
      <c r="C32" s="279"/>
      <c r="D32" s="388"/>
      <c r="E32" s="388"/>
      <c r="F32" s="389"/>
      <c r="G32" s="274"/>
      <c r="H32" s="390"/>
      <c r="I32" s="391"/>
      <c r="J32" s="397"/>
      <c r="K32" s="393">
        <f>'List Values'!$D$23</f>
        <v>10</v>
      </c>
      <c r="L32" s="394">
        <f>IFERROR($H$30/($O$7+$O$13/K32),"")</f>
        <v>18.310400171345712</v>
      </c>
      <c r="M32" s="394">
        <f t="shared" si="3"/>
        <v>23.695052721246203</v>
      </c>
      <c r="N32" s="394">
        <f t="shared" si="3"/>
        <v>24.168885626402556</v>
      </c>
      <c r="O32" s="394">
        <f t="shared" si="3"/>
        <v>24.331069429762881</v>
      </c>
      <c r="P32" s="394">
        <f t="shared" si="3"/>
        <v>24.487173098822936</v>
      </c>
      <c r="Q32" s="395">
        <f t="shared" si="3"/>
        <v>24.494617186468417</v>
      </c>
    </row>
    <row r="33" spans="2:17" s="28" customFormat="1" ht="13.5" thickBot="1" x14ac:dyDescent="0.3">
      <c r="B33" s="381"/>
      <c r="C33" s="279"/>
      <c r="D33" s="388"/>
      <c r="E33" s="388"/>
      <c r="F33" s="389"/>
      <c r="G33" s="274"/>
      <c r="H33" s="407"/>
      <c r="I33" s="408"/>
      <c r="J33" s="409"/>
      <c r="K33" s="393">
        <f>'List Values'!$D$24</f>
        <v>20</v>
      </c>
      <c r="L33" s="410">
        <f>IFERROR($H$30/($O$7+$O$13/K33),"")</f>
        <v>29.238216687312963</v>
      </c>
      <c r="M33" s="410">
        <f t="shared" si="3"/>
        <v>45.890623305526773</v>
      </c>
      <c r="N33" s="410">
        <f t="shared" si="3"/>
        <v>47.701838206788459</v>
      </c>
      <c r="O33" s="410">
        <f t="shared" si="3"/>
        <v>48.337771252805112</v>
      </c>
      <c r="P33" s="410">
        <f t="shared" si="3"/>
        <v>48.957814390383938</v>
      </c>
      <c r="Q33" s="411">
        <f t="shared" si="3"/>
        <v>48.987579684240849</v>
      </c>
    </row>
    <row r="34" spans="2:17" s="28" customFormat="1" x14ac:dyDescent="0.25">
      <c r="B34" s="381" t="s">
        <v>117</v>
      </c>
      <c r="C34" s="271" t="s">
        <v>162</v>
      </c>
      <c r="D34" s="382" t="str">
        <f>_xlfn.XLOOKUP($B34,Tox_Table[Code],Tox_Table[Health Effect])</f>
        <v>↓ Fetal testicular testosterone</v>
      </c>
      <c r="E34" s="382">
        <f>_xlfn.XLOOKUP($B34,Tox_Table[Code],Tox_Table[Endpoint])</f>
        <v>0</v>
      </c>
      <c r="F34" s="383">
        <f>_xlfn.XLOOKUP($B34,Tox_Table[Code],Tox_Table[Study])</f>
        <v>0</v>
      </c>
      <c r="G34" s="286"/>
      <c r="H34" s="384">
        <f>_xlfn.XLOOKUP($B34, Tox_Table[Code],Tox_Table[HED / POD (mg/kg/day)], FALSE)</f>
        <v>2.1</v>
      </c>
      <c r="I34" s="385" t="s">
        <v>90</v>
      </c>
      <c r="J34" s="412">
        <f>_xlfn.XLOOKUP($B34,Tox_Table[Code],Tox_Table[Benchmark MOE])</f>
        <v>30</v>
      </c>
      <c r="K34" s="387" t="s">
        <v>157</v>
      </c>
      <c r="L34" s="141">
        <f>IFERROR($H$34/($P$6+$P$12),"")</f>
        <v>1.1923271476406343</v>
      </c>
      <c r="M34" s="141">
        <f>IFERROR($H$34/(($P$6/M$17)+$P$12),"")</f>
        <v>1.2983649650545117</v>
      </c>
      <c r="N34" s="141">
        <f>IFERROR($H$34/(($P$6/N$17)+$P$12),"")</f>
        <v>1.3061087525825725</v>
      </c>
      <c r="O34" s="141">
        <f>IFERROR($H$34/(($P$6/O$17)+$P$12),"")</f>
        <v>1.3087105830806396</v>
      </c>
      <c r="P34" s="141">
        <f>IFERROR($H$34/(($P$6/P$17)+$P$12),"")</f>
        <v>1.3111919417096307</v>
      </c>
      <c r="Q34" s="146">
        <f>IFERROR($H$34/(($P$6/Q$17)+$P$12),"")</f>
        <v>1.3113097131832732</v>
      </c>
    </row>
    <row r="35" spans="2:17" s="28" customFormat="1" x14ac:dyDescent="0.25">
      <c r="B35" s="381" t="s">
        <v>117</v>
      </c>
      <c r="C35" s="279"/>
      <c r="D35" s="388"/>
      <c r="E35" s="388"/>
      <c r="F35" s="389"/>
      <c r="G35" s="286"/>
      <c r="H35" s="390"/>
      <c r="I35" s="391"/>
      <c r="J35" s="397"/>
      <c r="K35" s="393">
        <f>'List Values'!$D$22</f>
        <v>5</v>
      </c>
      <c r="L35" s="394">
        <f>IFERROR($H$34/($P$6+$P$12/K35),"")</f>
        <v>4.3739748250097419</v>
      </c>
      <c r="M35" s="394">
        <f>IFERROR($H$34/(($P$6/M$17)+$P$12/$K35),"")</f>
        <v>6.2449855474083495</v>
      </c>
      <c r="N35" s="394">
        <f t="shared" ref="M35:Q37" si="4">IFERROR($H$34/(($P$6/N$17)+$P$12/$K35),"")</f>
        <v>6.4283035491257854</v>
      </c>
      <c r="O35" s="394">
        <f t="shared" si="4"/>
        <v>6.4918248252725581</v>
      </c>
      <c r="P35" s="394">
        <f t="shared" si="4"/>
        <v>6.5533438439018781</v>
      </c>
      <c r="Q35" s="395">
        <f t="shared" si="4"/>
        <v>6.5562868384714434</v>
      </c>
    </row>
    <row r="36" spans="2:17" s="28" customFormat="1" x14ac:dyDescent="0.25">
      <c r="B36" s="381"/>
      <c r="C36" s="279"/>
      <c r="D36" s="388"/>
      <c r="E36" s="388"/>
      <c r="F36" s="389"/>
      <c r="G36" s="286"/>
      <c r="H36" s="390"/>
      <c r="I36" s="391"/>
      <c r="J36" s="397"/>
      <c r="K36" s="393">
        <f>'List Values'!$D$23</f>
        <v>10</v>
      </c>
      <c r="L36" s="394">
        <f>IFERROR($H$34/($P$6+$P$12/K36),"")</f>
        <v>6.5631385192261096</v>
      </c>
      <c r="M36" s="394">
        <f t="shared" si="4"/>
        <v>11.923271476406342</v>
      </c>
      <c r="N36" s="394">
        <f t="shared" si="4"/>
        <v>12.609837358592907</v>
      </c>
      <c r="O36" s="394">
        <f t="shared" si="4"/>
        <v>12.856607098251571</v>
      </c>
      <c r="P36" s="394">
        <f t="shared" si="4"/>
        <v>13.100153894324929</v>
      </c>
      <c r="Q36" s="395">
        <f t="shared" si="4"/>
        <v>13.111919417096306</v>
      </c>
    </row>
    <row r="37" spans="2:17" s="28" customFormat="1" x14ac:dyDescent="0.25">
      <c r="B37" s="381"/>
      <c r="C37" s="279"/>
      <c r="D37" s="388"/>
      <c r="E37" s="388"/>
      <c r="F37" s="389"/>
      <c r="G37" s="286"/>
      <c r="H37" s="390"/>
      <c r="I37" s="391"/>
      <c r="J37" s="397"/>
      <c r="K37" s="393">
        <f>'List Values'!$D$24</f>
        <v>20</v>
      </c>
      <c r="L37" s="394">
        <f>IFERROR($H$34/($P$6+$P$12/K37),"")</f>
        <v>8.7537549935585819</v>
      </c>
      <c r="M37" s="394">
        <f t="shared" si="4"/>
        <v>21.862624661994133</v>
      </c>
      <c r="N37" s="394">
        <f t="shared" si="4"/>
        <v>24.287332509843626</v>
      </c>
      <c r="O37" s="394">
        <f t="shared" si="4"/>
        <v>25.219674717185814</v>
      </c>
      <c r="P37" s="394">
        <f t="shared" si="4"/>
        <v>26.174211661612787</v>
      </c>
      <c r="Q37" s="395">
        <f t="shared" si="4"/>
        <v>26.221222186503525</v>
      </c>
    </row>
    <row r="38" spans="2:17" s="28" customFormat="1" x14ac:dyDescent="0.25">
      <c r="B38" s="381" t="s">
        <v>117</v>
      </c>
      <c r="C38" s="279"/>
      <c r="D38" s="388"/>
      <c r="E38" s="388"/>
      <c r="F38" s="389"/>
      <c r="G38" s="286"/>
      <c r="H38" s="390">
        <f>_xlfn.XLOOKUP(B38, Tox_Table[Code],Tox_Table[HED / POD (mg/kg/day)], FALSE)</f>
        <v>2.1</v>
      </c>
      <c r="I38" s="391" t="s">
        <v>91</v>
      </c>
      <c r="J38" s="397">
        <f>_xlfn.XLOOKUP($B38,Tox_Table[Code],Tox_Table[Benchmark MOE])</f>
        <v>30</v>
      </c>
      <c r="K38" s="393" t="s">
        <v>157</v>
      </c>
      <c r="L38" s="394">
        <f>IFERROR($H$38/($P$7+$P$13),"")</f>
        <v>2.5369503113547602</v>
      </c>
      <c r="M38" s="394">
        <f>IFERROR($H$38/(($P$7/M$17)+$P$13),"")</f>
        <v>2.6138164265374986</v>
      </c>
      <c r="N38" s="394">
        <f>IFERROR($H$38/(($P$7/N$17)+$P$13),"")</f>
        <v>2.6191067827771608</v>
      </c>
      <c r="O38" s="394">
        <f>IFERROR($H$38/(($P$7/O$17)+$P$13),"")</f>
        <v>2.620874997031887</v>
      </c>
      <c r="P38" s="394">
        <f>IFERROR($H$38/(($P$7/P$17)+$P$13),"")</f>
        <v>2.6225570134312188</v>
      </c>
      <c r="Q38" s="395">
        <f>IFERROR($H$38/(($P$7/Q$17)+$P$13),"")</f>
        <v>2.6226367414491767</v>
      </c>
    </row>
    <row r="39" spans="2:17" s="28" customFormat="1" x14ac:dyDescent="0.25">
      <c r="B39" s="381" t="s">
        <v>117</v>
      </c>
      <c r="C39" s="279"/>
      <c r="D39" s="388"/>
      <c r="E39" s="388"/>
      <c r="F39" s="389"/>
      <c r="G39" s="286"/>
      <c r="H39" s="390"/>
      <c r="I39" s="391"/>
      <c r="J39" s="397"/>
      <c r="K39" s="393">
        <f>'List Values'!$D$22</f>
        <v>5</v>
      </c>
      <c r="L39" s="394">
        <f>IFERROR($H$38/($P$7+$P$13/K39),"")</f>
        <v>11.218489139200713</v>
      </c>
      <c r="M39" s="394">
        <f t="shared" ref="M39:Q41" si="5">IFERROR($H$38/(($P$7/M$17)+$P$13/$K39),"")</f>
        <v>12.895431515035895</v>
      </c>
      <c r="N39" s="394">
        <f t="shared" si="5"/>
        <v>13.02523250139973</v>
      </c>
      <c r="O39" s="394">
        <f t="shared" si="5"/>
        <v>13.069082132687493</v>
      </c>
      <c r="P39" s="394">
        <f t="shared" si="5"/>
        <v>13.111013626625187</v>
      </c>
      <c r="Q39" s="395">
        <f t="shared" si="5"/>
        <v>13.113006530880337</v>
      </c>
    </row>
    <row r="40" spans="2:17" s="28" customFormat="1" x14ac:dyDescent="0.25">
      <c r="B40" s="381"/>
      <c r="C40" s="279"/>
      <c r="D40" s="388"/>
      <c r="E40" s="388"/>
      <c r="F40" s="389"/>
      <c r="G40" s="286"/>
      <c r="H40" s="390"/>
      <c r="I40" s="391"/>
      <c r="J40" s="397"/>
      <c r="K40" s="393">
        <f>'List Values'!$D$23</f>
        <v>10</v>
      </c>
      <c r="L40" s="394">
        <f>IFERROR($H$38/($P$7+$P$13/K40),"")</f>
        <v>19.604335116787475</v>
      </c>
      <c r="M40" s="394">
        <f t="shared" si="5"/>
        <v>25.369503113547601</v>
      </c>
      <c r="N40" s="394">
        <f t="shared" si="5"/>
        <v>25.876820210668338</v>
      </c>
      <c r="O40" s="394">
        <f t="shared" si="5"/>
        <v>26.050465002799459</v>
      </c>
      <c r="P40" s="394">
        <f t="shared" si="5"/>
        <v>26.217599997806424</v>
      </c>
      <c r="Q40" s="395">
        <f t="shared" si="5"/>
        <v>26.225570134312186</v>
      </c>
    </row>
    <row r="41" spans="2:17" s="28" customFormat="1" ht="13.5" thickBot="1" x14ac:dyDescent="0.3">
      <c r="B41" s="381"/>
      <c r="C41" s="279"/>
      <c r="D41" s="388"/>
      <c r="E41" s="388"/>
      <c r="F41" s="389"/>
      <c r="G41" s="286"/>
      <c r="H41" s="407"/>
      <c r="I41" s="408"/>
      <c r="J41" s="409"/>
      <c r="K41" s="269">
        <f>'List Values'!$D$24</f>
        <v>20</v>
      </c>
      <c r="L41" s="410">
        <f>IFERROR($H$38/($P$7+$P$13/K41),"")</f>
        <v>31.304383999883079</v>
      </c>
      <c r="M41" s="410">
        <f t="shared" si="5"/>
        <v>49.133560685784005</v>
      </c>
      <c r="N41" s="410">
        <f t="shared" si="5"/>
        <v>51.072768106734841</v>
      </c>
      <c r="O41" s="410">
        <f t="shared" si="5"/>
        <v>51.753640421336677</v>
      </c>
      <c r="P41" s="410">
        <f t="shared" si="5"/>
        <v>52.417499940637747</v>
      </c>
      <c r="Q41" s="411">
        <f t="shared" si="5"/>
        <v>52.449368648593875</v>
      </c>
    </row>
    <row r="42" spans="2:17" s="29" customFormat="1" x14ac:dyDescent="0.25">
      <c r="B42" s="381" t="s">
        <v>129</v>
      </c>
      <c r="C42" s="271" t="s">
        <v>163</v>
      </c>
      <c r="D42" s="382">
        <f>_xlfn.XLOOKUP($B42,Tox_Table[Code],Tox_Table[Health Effect])</f>
        <v>0</v>
      </c>
      <c r="E42" s="382">
        <f>_xlfn.XLOOKUP($B42,Tox_Table[Code],Tox_Table[Endpoint])</f>
        <v>0</v>
      </c>
      <c r="F42" s="383">
        <f>_xlfn.XLOOKUP($B42,Tox_Table[Code],Tox_Table[Study])</f>
        <v>0</v>
      </c>
      <c r="G42" s="413"/>
      <c r="H42" s="384">
        <f>_xlfn.XLOOKUP($B42, Tox_Table[Code],Tox_Table[CSF (mg/kg-day-1)], FALSE)</f>
        <v>0</v>
      </c>
      <c r="I42" s="414" t="s">
        <v>90</v>
      </c>
      <c r="J42" s="415">
        <v>1E-4</v>
      </c>
      <c r="K42" s="387" t="s">
        <v>157</v>
      </c>
      <c r="L42" s="141">
        <f>IFERROR($H$42*($Q$6+$Q$12),"")</f>
        <v>0</v>
      </c>
      <c r="M42" s="141">
        <f>IFERROR($H$42*(($Q$6/M$17)+$Q$12),"")</f>
        <v>0</v>
      </c>
      <c r="N42" s="141">
        <f>IFERROR($H$42*(($Q$6/N$17)+$Q$12),"")</f>
        <v>0</v>
      </c>
      <c r="O42" s="141">
        <f>IFERROR($H$42*(($Q$6/O$17)+$Q$12),"")</f>
        <v>0</v>
      </c>
      <c r="P42" s="141">
        <f>IFERROR($H$42*(($Q$6/P$17)+$Q$12),"")</f>
        <v>0</v>
      </c>
      <c r="Q42" s="146">
        <f>IFERROR($H$42*(($Q$6/Q$17)+$Q$12),"")</f>
        <v>0</v>
      </c>
    </row>
    <row r="43" spans="2:17" s="29" customFormat="1" x14ac:dyDescent="0.25">
      <c r="B43" s="381" t="s">
        <v>129</v>
      </c>
      <c r="C43" s="279"/>
      <c r="D43" s="388"/>
      <c r="E43" s="388"/>
      <c r="F43" s="389"/>
      <c r="G43" s="274"/>
      <c r="H43" s="390"/>
      <c r="I43" s="416"/>
      <c r="J43" s="417"/>
      <c r="K43" s="393">
        <f>'List Values'!$D$22</f>
        <v>5</v>
      </c>
      <c r="L43" s="394">
        <f>IFERROR($H$42*($Q$6+$Q$12/K43),"")</f>
        <v>0</v>
      </c>
      <c r="M43" s="394">
        <f>IFERROR($H$42*(($Q$6/M$17)+$Q$12/$K43),"")</f>
        <v>0</v>
      </c>
      <c r="N43" s="394">
        <f t="shared" ref="M43:Q45" si="6">IFERROR($H$42*(($Q$6/N$17)+$Q$12/$K43),"")</f>
        <v>0</v>
      </c>
      <c r="O43" s="394">
        <f t="shared" si="6"/>
        <v>0</v>
      </c>
      <c r="P43" s="394">
        <f t="shared" si="6"/>
        <v>0</v>
      </c>
      <c r="Q43" s="395">
        <f t="shared" si="6"/>
        <v>0</v>
      </c>
    </row>
    <row r="44" spans="2:17" s="29" customFormat="1" x14ac:dyDescent="0.25">
      <c r="B44" s="381"/>
      <c r="C44" s="279"/>
      <c r="D44" s="388"/>
      <c r="E44" s="388"/>
      <c r="F44" s="389"/>
      <c r="G44" s="274"/>
      <c r="H44" s="390"/>
      <c r="I44" s="416"/>
      <c r="J44" s="417"/>
      <c r="K44" s="393">
        <f>'List Values'!$D$23</f>
        <v>10</v>
      </c>
      <c r="L44" s="394">
        <f>IFERROR($H$42*($Q$6+$Q$12/K44),"")</f>
        <v>0</v>
      </c>
      <c r="M44" s="394">
        <f t="shared" si="6"/>
        <v>0</v>
      </c>
      <c r="N44" s="394">
        <f t="shared" si="6"/>
        <v>0</v>
      </c>
      <c r="O44" s="394">
        <f t="shared" si="6"/>
        <v>0</v>
      </c>
      <c r="P44" s="394">
        <f t="shared" si="6"/>
        <v>0</v>
      </c>
      <c r="Q44" s="395">
        <f t="shared" si="6"/>
        <v>0</v>
      </c>
    </row>
    <row r="45" spans="2:17" s="29" customFormat="1" ht="13.5" thickBot="1" x14ac:dyDescent="0.3">
      <c r="B45" s="381"/>
      <c r="C45" s="279"/>
      <c r="D45" s="388"/>
      <c r="E45" s="388"/>
      <c r="F45" s="389"/>
      <c r="G45" s="274"/>
      <c r="H45" s="390"/>
      <c r="I45" s="416"/>
      <c r="J45" s="417"/>
      <c r="K45" s="393">
        <f>'List Values'!$D$24</f>
        <v>20</v>
      </c>
      <c r="L45" s="394">
        <f>IFERROR($H$42*($Q$6+$Q$12/K45),"")</f>
        <v>0</v>
      </c>
      <c r="M45" s="394">
        <f t="shared" si="6"/>
        <v>0</v>
      </c>
      <c r="N45" s="394">
        <f t="shared" si="6"/>
        <v>0</v>
      </c>
      <c r="O45" s="394">
        <f t="shared" si="6"/>
        <v>0</v>
      </c>
      <c r="P45" s="394">
        <f t="shared" si="6"/>
        <v>0</v>
      </c>
      <c r="Q45" s="395">
        <f t="shared" si="6"/>
        <v>0</v>
      </c>
    </row>
    <row r="46" spans="2:17" s="29" customFormat="1" x14ac:dyDescent="0.25">
      <c r="B46" s="381" t="s">
        <v>129</v>
      </c>
      <c r="C46" s="279"/>
      <c r="D46" s="388"/>
      <c r="E46" s="388"/>
      <c r="F46" s="389"/>
      <c r="G46" s="274"/>
      <c r="H46" s="384">
        <f>_xlfn.XLOOKUP($B46, Tox_Table[Code],Tox_Table[CSF (mg/kg-day-1)], FALSE)</f>
        <v>0</v>
      </c>
      <c r="I46" s="416" t="s">
        <v>91</v>
      </c>
      <c r="J46" s="417">
        <v>1E-4</v>
      </c>
      <c r="K46" s="393" t="s">
        <v>157</v>
      </c>
      <c r="L46" s="394">
        <f>IFERROR($H$46*($Q$7+$Q$13),"")</f>
        <v>0</v>
      </c>
      <c r="M46" s="394">
        <f>IFERROR($H$46*(($Q$7/M$17)+$Q$13),"")</f>
        <v>0</v>
      </c>
      <c r="N46" s="394">
        <f>IFERROR($H$46*(($Q$7/N$17)+$Q$13),"")</f>
        <v>0</v>
      </c>
      <c r="O46" s="394">
        <f>IFERROR($H$46*(($Q$7/O$17)+$Q$13),"")</f>
        <v>0</v>
      </c>
      <c r="P46" s="394">
        <f>IFERROR($H$46*(($Q$7/P$17)+$Q$13),"")</f>
        <v>0</v>
      </c>
      <c r="Q46" s="395">
        <f>IFERROR($H$46*(($Q$7/Q$17)+$Q$13),"")</f>
        <v>0</v>
      </c>
    </row>
    <row r="47" spans="2:17" s="29" customFormat="1" x14ac:dyDescent="0.25">
      <c r="B47" s="381" t="s">
        <v>129</v>
      </c>
      <c r="C47" s="279"/>
      <c r="D47" s="388"/>
      <c r="E47" s="388"/>
      <c r="F47" s="389"/>
      <c r="G47" s="274"/>
      <c r="H47" s="390"/>
      <c r="I47" s="416"/>
      <c r="J47" s="417"/>
      <c r="K47" s="393">
        <f>'List Values'!$D$22</f>
        <v>5</v>
      </c>
      <c r="L47" s="394">
        <f>IFERROR($H$46*($Q$7+$Q$13/K47),"")</f>
        <v>0</v>
      </c>
      <c r="M47" s="394">
        <f t="shared" ref="M47:Q49" si="7">IFERROR($H$46*(($Q$7/M$17)+$Q$13/$K47),"")</f>
        <v>0</v>
      </c>
      <c r="N47" s="394">
        <f t="shared" si="7"/>
        <v>0</v>
      </c>
      <c r="O47" s="394">
        <f t="shared" si="7"/>
        <v>0</v>
      </c>
      <c r="P47" s="394">
        <f t="shared" si="7"/>
        <v>0</v>
      </c>
      <c r="Q47" s="395">
        <f t="shared" si="7"/>
        <v>0</v>
      </c>
    </row>
    <row r="48" spans="2:17" s="29" customFormat="1" x14ac:dyDescent="0.25">
      <c r="B48" s="381"/>
      <c r="C48" s="279"/>
      <c r="D48" s="388"/>
      <c r="E48" s="388"/>
      <c r="F48" s="389"/>
      <c r="G48" s="274"/>
      <c r="H48" s="390"/>
      <c r="I48" s="416"/>
      <c r="J48" s="417"/>
      <c r="K48" s="393">
        <f>'List Values'!$D$23</f>
        <v>10</v>
      </c>
      <c r="L48" s="394">
        <f>IFERROR($H$46*($Q$7+$Q$13/K48),"")</f>
        <v>0</v>
      </c>
      <c r="M48" s="394">
        <f t="shared" si="7"/>
        <v>0</v>
      </c>
      <c r="N48" s="394">
        <f t="shared" si="7"/>
        <v>0</v>
      </c>
      <c r="O48" s="394">
        <f t="shared" si="7"/>
        <v>0</v>
      </c>
      <c r="P48" s="394">
        <f t="shared" si="7"/>
        <v>0</v>
      </c>
      <c r="Q48" s="395">
        <f t="shared" si="7"/>
        <v>0</v>
      </c>
    </row>
    <row r="49" spans="1:17" s="29" customFormat="1" ht="13.5" thickBot="1" x14ac:dyDescent="0.3">
      <c r="B49" s="381"/>
      <c r="C49" s="292"/>
      <c r="D49" s="398"/>
      <c r="E49" s="398"/>
      <c r="F49" s="399"/>
      <c r="G49" s="295"/>
      <c r="H49" s="390"/>
      <c r="I49" s="418"/>
      <c r="J49" s="419"/>
      <c r="K49" s="420">
        <f>'List Values'!$D$24</f>
        <v>20</v>
      </c>
      <c r="L49" s="158">
        <f>IFERROR($H$46*($Q$7+$Q$13/K49),"")</f>
        <v>0</v>
      </c>
      <c r="M49" s="158">
        <f t="shared" si="7"/>
        <v>0</v>
      </c>
      <c r="N49" s="158">
        <f t="shared" si="7"/>
        <v>0</v>
      </c>
      <c r="O49" s="158">
        <f t="shared" si="7"/>
        <v>0</v>
      </c>
      <c r="P49" s="158">
        <f t="shared" si="7"/>
        <v>0</v>
      </c>
      <c r="Q49" s="159">
        <f t="shared" si="7"/>
        <v>0</v>
      </c>
    </row>
    <row r="50" spans="1:17" s="28" customFormat="1" x14ac:dyDescent="0.25">
      <c r="B50" s="27"/>
      <c r="C50" s="56"/>
      <c r="D50" s="232"/>
      <c r="E50" s="56"/>
      <c r="F50" s="56"/>
      <c r="G50" s="26"/>
      <c r="H50" s="26"/>
      <c r="I50" s="56"/>
      <c r="J50" s="26"/>
      <c r="K50" s="26"/>
      <c r="L50" s="26"/>
      <c r="M50" s="26"/>
      <c r="N50" s="26"/>
      <c r="P50" s="26"/>
      <c r="Q50" s="26"/>
    </row>
    <row r="51" spans="1:17" s="28" customFormat="1" x14ac:dyDescent="0.25">
      <c r="B51" s="27"/>
      <c r="C51" s="56"/>
      <c r="D51" s="232"/>
      <c r="E51" s="56"/>
      <c r="F51" s="56"/>
      <c r="G51" s="26"/>
      <c r="H51" s="26"/>
      <c r="I51" s="56"/>
      <c r="J51" s="26"/>
      <c r="K51" s="26"/>
      <c r="L51" s="26"/>
      <c r="M51" s="26"/>
      <c r="N51" s="26"/>
      <c r="O51" s="26"/>
      <c r="P51" s="26"/>
      <c r="Q51" s="26"/>
    </row>
    <row r="52" spans="1:17" s="28" customFormat="1" x14ac:dyDescent="0.25">
      <c r="B52" s="27"/>
      <c r="C52" s="56"/>
      <c r="D52" s="232"/>
      <c r="E52" s="56"/>
      <c r="F52" s="56"/>
      <c r="G52" s="26"/>
      <c r="H52" s="26"/>
      <c r="I52" s="56"/>
      <c r="J52" s="26"/>
      <c r="K52" s="26"/>
      <c r="L52" s="26"/>
      <c r="M52" s="26"/>
      <c r="N52" s="26"/>
      <c r="O52" s="26"/>
      <c r="P52" s="26"/>
      <c r="Q52" s="26"/>
    </row>
    <row r="53" spans="1:17" s="28" customFormat="1" x14ac:dyDescent="0.25">
      <c r="A53" s="26"/>
      <c r="B53" s="27"/>
      <c r="C53" s="56"/>
      <c r="D53" s="232"/>
      <c r="E53" s="56"/>
      <c r="F53" s="56"/>
      <c r="G53" s="26"/>
      <c r="H53" s="26"/>
      <c r="I53" s="56"/>
      <c r="J53" s="26"/>
      <c r="K53" s="26"/>
      <c r="L53" s="26"/>
      <c r="M53" s="26"/>
      <c r="N53" s="26"/>
      <c r="O53" s="26"/>
      <c r="P53" s="26"/>
      <c r="Q53" s="26"/>
    </row>
    <row r="58" spans="1:17" x14ac:dyDescent="0.25">
      <c r="I58" s="50"/>
      <c r="J58" s="28"/>
      <c r="K58" s="28"/>
      <c r="L58" s="28"/>
      <c r="M58" s="28"/>
      <c r="N58" s="28"/>
    </row>
    <row r="63" spans="1:17" x14ac:dyDescent="0.25">
      <c r="P63" s="28"/>
      <c r="Q63" s="28"/>
    </row>
    <row r="64" spans="1:17" x14ac:dyDescent="0.25">
      <c r="C64" s="50"/>
      <c r="D64" s="49"/>
      <c r="E64" s="50"/>
      <c r="F64" s="50"/>
      <c r="G64" s="28"/>
      <c r="H64" s="28"/>
    </row>
    <row r="66" spans="1:17" x14ac:dyDescent="0.25">
      <c r="B66" s="29"/>
    </row>
    <row r="67" spans="1:17" x14ac:dyDescent="0.25">
      <c r="B67" s="213"/>
    </row>
    <row r="68" spans="1:17" x14ac:dyDescent="0.25">
      <c r="B68" s="213"/>
      <c r="I68" s="211"/>
      <c r="J68" s="211"/>
      <c r="K68" s="211"/>
      <c r="L68" s="211"/>
      <c r="M68" s="211"/>
      <c r="N68" s="211"/>
      <c r="O68" s="28"/>
    </row>
    <row r="69" spans="1:17" x14ac:dyDescent="0.25">
      <c r="B69" s="213"/>
      <c r="I69" s="211"/>
      <c r="J69" s="211"/>
      <c r="K69" s="211"/>
      <c r="L69" s="211"/>
      <c r="M69" s="211"/>
      <c r="N69" s="211"/>
    </row>
    <row r="70" spans="1:17" x14ac:dyDescent="0.25">
      <c r="B70" s="213"/>
      <c r="C70" s="215"/>
      <c r="D70" s="298"/>
      <c r="E70" s="215"/>
      <c r="I70" s="211"/>
      <c r="J70" s="211"/>
      <c r="K70" s="211"/>
      <c r="L70" s="211"/>
      <c r="M70" s="211"/>
      <c r="N70" s="211"/>
    </row>
    <row r="71" spans="1:17" s="28" customFormat="1" x14ac:dyDescent="0.25">
      <c r="A71" s="26"/>
      <c r="B71" s="213"/>
      <c r="C71" s="56"/>
      <c r="D71" s="232"/>
      <c r="E71" s="215"/>
      <c r="F71" s="56"/>
      <c r="G71" s="26"/>
      <c r="H71" s="26"/>
      <c r="I71" s="211"/>
      <c r="J71" s="211"/>
      <c r="K71" s="211"/>
      <c r="L71" s="211"/>
      <c r="M71" s="211"/>
      <c r="N71" s="211"/>
      <c r="O71" s="26"/>
      <c r="P71" s="26"/>
      <c r="Q71" s="26"/>
    </row>
    <row r="73" spans="1:17" x14ac:dyDescent="0.25">
      <c r="F73" s="211"/>
      <c r="G73" s="212"/>
      <c r="H73" s="299"/>
      <c r="I73" s="421"/>
      <c r="J73" s="300"/>
      <c r="K73" s="300"/>
    </row>
    <row r="74" spans="1:17" x14ac:dyDescent="0.25">
      <c r="H74" s="61"/>
      <c r="I74" s="422"/>
      <c r="J74" s="219"/>
      <c r="K74" s="219"/>
    </row>
    <row r="75" spans="1:17" x14ac:dyDescent="0.25">
      <c r="A75" s="26" t="s">
        <v>164</v>
      </c>
      <c r="H75" s="61"/>
      <c r="I75" s="422"/>
      <c r="J75" s="219"/>
      <c r="K75" s="219"/>
    </row>
    <row r="76" spans="1:17" x14ac:dyDescent="0.25">
      <c r="H76" s="61"/>
      <c r="I76" s="422"/>
      <c r="J76" s="219"/>
      <c r="K76" s="219"/>
    </row>
    <row r="77" spans="1:17" x14ac:dyDescent="0.25">
      <c r="H77" s="61"/>
      <c r="I77" s="422"/>
      <c r="J77" s="219"/>
      <c r="K77" s="219"/>
    </row>
    <row r="78" spans="1:17" x14ac:dyDescent="0.25">
      <c r="H78" s="61"/>
      <c r="I78" s="422"/>
      <c r="J78" s="219"/>
      <c r="K78" s="219"/>
    </row>
    <row r="79" spans="1:17" x14ac:dyDescent="0.25">
      <c r="H79" s="61"/>
      <c r="I79" s="422"/>
      <c r="J79" s="219"/>
      <c r="K79" s="219"/>
    </row>
  </sheetData>
  <sheetProtection sheet="1" objects="1" scenarios="1" formatCells="0" formatColumns="0" formatRows="0" sort="0" autoFilter="0"/>
  <autoFilter ref="A17:Y49" xr:uid="{0343F8EF-0238-48DF-B0F9-9BD2EA206E1A}">
    <filterColumn colId="3" showButton="0"/>
  </autoFilter>
  <dataConsolidate/>
  <mergeCells count="68">
    <mergeCell ref="F42:F49"/>
    <mergeCell ref="B46:B49"/>
    <mergeCell ref="C18:C25"/>
    <mergeCell ref="B18:B21"/>
    <mergeCell ref="B22:B25"/>
    <mergeCell ref="B26:B29"/>
    <mergeCell ref="C26:C33"/>
    <mergeCell ref="B30:B33"/>
    <mergeCell ref="F18:F25"/>
    <mergeCell ref="E18:E25"/>
    <mergeCell ref="D18:D25"/>
    <mergeCell ref="B42:B45"/>
    <mergeCell ref="C42:C49"/>
    <mergeCell ref="D42:D49"/>
    <mergeCell ref="E42:E49"/>
    <mergeCell ref="H46:H49"/>
    <mergeCell ref="I46:I49"/>
    <mergeCell ref="J46:J49"/>
    <mergeCell ref="H38:H41"/>
    <mergeCell ref="I38:I41"/>
    <mergeCell ref="J38:J41"/>
    <mergeCell ref="H42:H45"/>
    <mergeCell ref="I42:I45"/>
    <mergeCell ref="J42:J45"/>
    <mergeCell ref="H30:H33"/>
    <mergeCell ref="I30:I33"/>
    <mergeCell ref="J30:J33"/>
    <mergeCell ref="H34:H37"/>
    <mergeCell ref="B34:B37"/>
    <mergeCell ref="C34:C41"/>
    <mergeCell ref="I34:I37"/>
    <mergeCell ref="J34:J37"/>
    <mergeCell ref="D34:D41"/>
    <mergeCell ref="E34:E41"/>
    <mergeCell ref="F34:F41"/>
    <mergeCell ref="B38:B41"/>
    <mergeCell ref="E26:E33"/>
    <mergeCell ref="F26:F33"/>
    <mergeCell ref="D26:D33"/>
    <mergeCell ref="H18:H21"/>
    <mergeCell ref="H22:H25"/>
    <mergeCell ref="H26:H29"/>
    <mergeCell ref="I26:I29"/>
    <mergeCell ref="M14:N14"/>
    <mergeCell ref="J15:J17"/>
    <mergeCell ref="L16:L17"/>
    <mergeCell ref="J18:J21"/>
    <mergeCell ref="I18:I21"/>
    <mergeCell ref="I22:I25"/>
    <mergeCell ref="J22:J25"/>
    <mergeCell ref="J26:J29"/>
    <mergeCell ref="M16:Q16"/>
    <mergeCell ref="K16:K17"/>
    <mergeCell ref="K15:Q15"/>
    <mergeCell ref="D2:E2"/>
    <mergeCell ref="L4:L5"/>
    <mergeCell ref="M4:M5"/>
    <mergeCell ref="C15:C17"/>
    <mergeCell ref="D15:E17"/>
    <mergeCell ref="F15:F17"/>
    <mergeCell ref="H15:H17"/>
    <mergeCell ref="I15:I17"/>
    <mergeCell ref="L10:L11"/>
    <mergeCell ref="M10:M11"/>
    <mergeCell ref="D4:E4"/>
    <mergeCell ref="L6:L7"/>
    <mergeCell ref="L12:L13"/>
    <mergeCell ref="D3:E3"/>
  </mergeCells>
  <phoneticPr fontId="2" type="noConversion"/>
  <conditionalFormatting sqref="F4">
    <cfRule type="cellIs" dxfId="238" priority="47" stopIfTrue="1" operator="equal">
      <formula>0</formula>
    </cfRule>
    <cfRule type="containsBlanks" dxfId="237" priority="48" stopIfTrue="1">
      <formula>LEN(TRIM(F4))=0</formula>
    </cfRule>
    <cfRule type="cellIs" dxfId="236" priority="49" operator="lessThan">
      <formula>0.1</formula>
    </cfRule>
  </conditionalFormatting>
  <conditionalFormatting sqref="H18 H34 H42 H46">
    <cfRule type="cellIs" dxfId="235" priority="165" operator="lessThan">
      <formula>10</formula>
    </cfRule>
    <cfRule type="cellIs" dxfId="234" priority="164" operator="lessThan">
      <formula>0.1</formula>
    </cfRule>
    <cfRule type="containsBlanks" dxfId="233" priority="163" stopIfTrue="1">
      <formula>LEN(TRIM(H18))=0</formula>
    </cfRule>
    <cfRule type="cellIs" dxfId="232" priority="162" stopIfTrue="1" operator="equal">
      <formula>0</formula>
    </cfRule>
    <cfRule type="cellIs" dxfId="231" priority="166" operator="greaterThanOrEqual">
      <formula>10</formula>
    </cfRule>
  </conditionalFormatting>
  <conditionalFormatting sqref="H22">
    <cfRule type="cellIs" dxfId="230" priority="133" operator="greaterThanOrEqual">
      <formula>10</formula>
    </cfRule>
    <cfRule type="cellIs" dxfId="229" priority="129" stopIfTrue="1" operator="equal">
      <formula>0</formula>
    </cfRule>
    <cfRule type="cellIs" dxfId="228" priority="132" operator="lessThan">
      <formula>10</formula>
    </cfRule>
    <cfRule type="cellIs" dxfId="227" priority="131" operator="lessThan">
      <formula>0.1</formula>
    </cfRule>
    <cfRule type="containsBlanks" dxfId="226" priority="130" stopIfTrue="1">
      <formula>LEN(TRIM(H22))=0</formula>
    </cfRule>
  </conditionalFormatting>
  <conditionalFormatting sqref="H26">
    <cfRule type="cellIs" dxfId="225" priority="111" operator="greaterThanOrEqual">
      <formula>10</formula>
    </cfRule>
    <cfRule type="cellIs" dxfId="224" priority="110" operator="lessThan">
      <formula>10</formula>
    </cfRule>
    <cfRule type="cellIs" dxfId="223" priority="109" operator="lessThan">
      <formula>0.1</formula>
    </cfRule>
    <cfRule type="containsBlanks" dxfId="222" priority="108" stopIfTrue="1">
      <formula>LEN(TRIM(H26))=0</formula>
    </cfRule>
    <cfRule type="cellIs" dxfId="221" priority="107" stopIfTrue="1" operator="equal">
      <formula>0</formula>
    </cfRule>
  </conditionalFormatting>
  <conditionalFormatting sqref="H30">
    <cfRule type="cellIs" dxfId="220" priority="102" stopIfTrue="1" operator="equal">
      <formula>0</formula>
    </cfRule>
    <cfRule type="cellIs" dxfId="219" priority="105" operator="lessThan">
      <formula>10</formula>
    </cfRule>
    <cfRule type="cellIs" dxfId="218" priority="104" operator="lessThan">
      <formula>0.1</formula>
    </cfRule>
    <cfRule type="cellIs" dxfId="217" priority="106" operator="greaterThanOrEqual">
      <formula>10</formula>
    </cfRule>
    <cfRule type="containsBlanks" dxfId="216" priority="103" stopIfTrue="1">
      <formula>LEN(TRIM(H30))=0</formula>
    </cfRule>
  </conditionalFormatting>
  <conditionalFormatting sqref="H38">
    <cfRule type="cellIs" dxfId="215" priority="87" operator="greaterThanOrEqual">
      <formula>10</formula>
    </cfRule>
    <cfRule type="cellIs" dxfId="214" priority="83" stopIfTrue="1" operator="equal">
      <formula>0</formula>
    </cfRule>
    <cfRule type="containsBlanks" dxfId="213" priority="84" stopIfTrue="1">
      <formula>LEN(TRIM(H38))=0</formula>
    </cfRule>
    <cfRule type="cellIs" dxfId="212" priority="85" operator="lessThan">
      <formula>0.1</formula>
    </cfRule>
    <cfRule type="cellIs" dxfId="211" priority="86" operator="lessThan">
      <formula>10</formula>
    </cfRule>
  </conditionalFormatting>
  <conditionalFormatting sqref="L18:Q41">
    <cfRule type="cellIs" dxfId="210" priority="56" operator="greaterThanOrEqual">
      <formula>$J$18</formula>
    </cfRule>
    <cfRule type="cellIs" dxfId="209" priority="55" operator="lessThan">
      <formula>$J$18</formula>
    </cfRule>
  </conditionalFormatting>
  <conditionalFormatting sqref="L18:Q49">
    <cfRule type="containsBlanks" dxfId="208" priority="10">
      <formula>LEN(TRIM(L18))=0</formula>
    </cfRule>
    <cfRule type="cellIs" dxfId="207" priority="53" operator="lessThan">
      <formula>10</formula>
    </cfRule>
    <cfRule type="cellIs" dxfId="206" priority="52" operator="lessThan">
      <formula>0.1</formula>
    </cfRule>
    <cfRule type="cellIs" dxfId="205" priority="54" operator="greaterThanOrEqual">
      <formula>10</formula>
    </cfRule>
    <cfRule type="cellIs" dxfId="204" priority="11" stopIfTrue="1" operator="equal">
      <formula>0</formula>
    </cfRule>
  </conditionalFormatting>
  <conditionalFormatting sqref="L42:Q49">
    <cfRule type="cellIs" dxfId="203" priority="51" operator="greaterThanOrEqual">
      <formula>$J$42</formula>
    </cfRule>
    <cfRule type="cellIs" dxfId="202" priority="50" operator="lessThan">
      <formula>$J$42</formula>
    </cfRule>
  </conditionalFormatting>
  <conditionalFormatting sqref="N6:Q7">
    <cfRule type="cellIs" dxfId="201" priority="46" operator="lessThan">
      <formula>0.1</formula>
    </cfRule>
    <cfRule type="cellIs" dxfId="200" priority="44" operator="between">
      <formula>1</formula>
      <formula>9.999</formula>
    </cfRule>
    <cfRule type="cellIs" dxfId="199" priority="43" operator="between">
      <formula>10</formula>
      <formula>9999.999</formula>
    </cfRule>
    <cfRule type="cellIs" dxfId="198" priority="42" operator="greaterThan">
      <formula>10000</formula>
    </cfRule>
    <cfRule type="cellIs" dxfId="197" priority="41" operator="equal">
      <formula>0</formula>
    </cfRule>
    <cfRule type="cellIs" dxfId="196" priority="45" operator="between">
      <formula>0.1</formula>
      <formula>0.999</formula>
    </cfRule>
  </conditionalFormatting>
  <conditionalFormatting sqref="N12:Q13">
    <cfRule type="cellIs" dxfId="195" priority="1" operator="equal">
      <formula>0</formula>
    </cfRule>
    <cfRule type="cellIs" dxfId="194" priority="6" operator="lessThan">
      <formula>0.1</formula>
    </cfRule>
    <cfRule type="cellIs" dxfId="193" priority="5" operator="between">
      <formula>0.1</formula>
      <formula>0.999</formula>
    </cfRule>
    <cfRule type="cellIs" dxfId="192" priority="4" operator="between">
      <formula>1</formula>
      <formula>9.999</formula>
    </cfRule>
    <cfRule type="cellIs" dxfId="191" priority="3" operator="between">
      <formula>10</formula>
      <formula>9999.999</formula>
    </cfRule>
    <cfRule type="cellIs" dxfId="190" priority="2" operator="greaterThan">
      <formula>10000</formula>
    </cfRule>
  </conditionalFormatting>
  <conditionalFormatting sqref="O4:O5">
    <cfRule type="cellIs" dxfId="189" priority="152" stopIfTrue="1" operator="equal">
      <formula>0</formula>
    </cfRule>
    <cfRule type="cellIs" dxfId="188" priority="154" operator="lessThan">
      <formula>0.1</formula>
    </cfRule>
    <cfRule type="containsBlanks" dxfId="187" priority="153" stopIfTrue="1">
      <formula>LEN(TRIM(O4))=0</formula>
    </cfRule>
  </conditionalFormatting>
  <conditionalFormatting sqref="O10:O11">
    <cfRule type="cellIs" dxfId="186" priority="126" stopIfTrue="1" operator="equal">
      <formula>0</formula>
    </cfRule>
    <cfRule type="containsBlanks" dxfId="185" priority="127" stopIfTrue="1">
      <formula>LEN(TRIM(O10))=0</formula>
    </cfRule>
    <cfRule type="cellIs" dxfId="184" priority="128" operator="lessThan">
      <formula>0.1</formula>
    </cfRule>
  </conditionalFormatting>
  <dataValidations count="1">
    <dataValidation allowBlank="1" showErrorMessage="1" sqref="L4 L10" xr:uid="{0E2F5D05-59E6-4CA8-950E-8C0FEEEF3EDD}"/>
  </dataValidations>
  <pageMargins left="0.7" right="0.7" top="0.75" bottom="0.75" header="0.3" footer="0.3"/>
  <pageSetup orientation="portrait" r:id="rId1"/>
  <ignoredErrors>
    <ignoredError sqref="H22 H26 H34 H30"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AA2E77-9C7B-4A85-BD17-BFF4F592D56F}">
          <x14:formula1>
            <xm:f>'List Values'!$D$6:$D$8</xm:f>
          </x14:formula1>
          <xm:sqref>F4</xm:sqref>
        </x14:dataValidation>
        <x14:dataValidation type="list" allowBlank="1" showInputMessage="1" showErrorMessage="1" xr:uid="{D5F6A2A8-3149-4118-9B46-756968515682}">
          <x14:formula1>
            <xm:f>'List Values'!$B$2:$B$17</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110-8E01-4638-9919-60D7B952F7F3}">
  <sheetPr codeName="Sheet5">
    <tabColor theme="1"/>
  </sheetPr>
  <dimension ref="A1:Q56"/>
  <sheetViews>
    <sheetView zoomScaleNormal="100" workbookViewId="0">
      <selection activeCell="F52" sqref="F52"/>
    </sheetView>
  </sheetViews>
  <sheetFormatPr defaultColWidth="14.85546875" defaultRowHeight="12.75" x14ac:dyDescent="0.2"/>
  <cols>
    <col min="1" max="1" width="7.42578125" style="7" customWidth="1"/>
    <col min="2" max="2" width="40.85546875" style="7" customWidth="1"/>
    <col min="3" max="3" width="29" style="7" customWidth="1"/>
    <col min="4" max="4" width="9.85546875" style="365" customWidth="1"/>
    <col min="5" max="5" width="12.42578125" style="365" customWidth="1"/>
    <col min="6" max="6" width="14.42578125" style="7" customWidth="1"/>
    <col min="7" max="7" width="20" style="7" bestFit="1" customWidth="1"/>
    <col min="8" max="8" width="13.140625" style="7" customWidth="1"/>
    <col min="9" max="9" width="17" style="7" customWidth="1"/>
    <col min="10" max="10" width="14" style="7" customWidth="1"/>
    <col min="11" max="11" width="16.42578125" style="7" customWidth="1"/>
    <col min="12" max="12" width="14.42578125" style="7" customWidth="1"/>
    <col min="13" max="13" width="16.5703125" style="7" customWidth="1"/>
    <col min="14" max="14" width="13.42578125" style="7" customWidth="1"/>
    <col min="15" max="15" width="15.42578125" style="7" customWidth="1"/>
    <col min="16" max="16" width="14.140625" style="7" customWidth="1"/>
    <col min="17" max="16384" width="14.85546875" style="7"/>
  </cols>
  <sheetData>
    <row r="1" spans="1:17" ht="12.75" customHeight="1" x14ac:dyDescent="0.2">
      <c r="D1" s="423" t="s">
        <v>165</v>
      </c>
      <c r="E1" s="423"/>
      <c r="F1" s="424" t="s">
        <v>235</v>
      </c>
      <c r="G1" s="425"/>
      <c r="H1" s="424" t="s">
        <v>236</v>
      </c>
      <c r="I1" s="425"/>
      <c r="J1" s="426" t="s">
        <v>237</v>
      </c>
      <c r="K1" s="426"/>
      <c r="L1" s="426" t="s">
        <v>238</v>
      </c>
      <c r="M1" s="426"/>
      <c r="N1" s="426" t="s">
        <v>239</v>
      </c>
      <c r="O1" s="426"/>
      <c r="P1" s="426" t="s">
        <v>240</v>
      </c>
      <c r="Q1" s="426"/>
    </row>
    <row r="2" spans="1:17" x14ac:dyDescent="0.2">
      <c r="B2" s="427"/>
      <c r="D2" s="423"/>
      <c r="E2" s="423"/>
      <c r="F2" s="428" t="s">
        <v>241</v>
      </c>
      <c r="G2" s="429"/>
      <c r="H2" s="428" t="s">
        <v>241</v>
      </c>
      <c r="I2" s="429"/>
      <c r="J2" s="426"/>
      <c r="K2" s="426"/>
      <c r="L2" s="426"/>
      <c r="M2" s="426"/>
      <c r="N2" s="426"/>
      <c r="O2" s="426"/>
      <c r="P2" s="426"/>
      <c r="Q2" s="426"/>
    </row>
    <row r="3" spans="1:17" ht="38.25" x14ac:dyDescent="0.2">
      <c r="A3" s="7" t="s">
        <v>242</v>
      </c>
      <c r="B3" s="430" t="s">
        <v>174</v>
      </c>
      <c r="C3" s="430" t="s">
        <v>175</v>
      </c>
      <c r="D3" s="431" t="s">
        <v>177</v>
      </c>
      <c r="E3" s="431" t="s">
        <v>178</v>
      </c>
      <c r="F3" s="432" t="s">
        <v>243</v>
      </c>
      <c r="G3" s="432" t="s">
        <v>244</v>
      </c>
      <c r="H3" s="432" t="s">
        <v>245</v>
      </c>
      <c r="I3" s="433" t="s">
        <v>246</v>
      </c>
      <c r="J3" s="434" t="s">
        <v>247</v>
      </c>
      <c r="K3" s="434" t="s">
        <v>248</v>
      </c>
      <c r="L3" s="434" t="s">
        <v>249</v>
      </c>
      <c r="M3" s="434" t="s">
        <v>250</v>
      </c>
      <c r="N3" s="434" t="s">
        <v>251</v>
      </c>
      <c r="O3" s="434" t="s">
        <v>252</v>
      </c>
      <c r="P3" s="434" t="s">
        <v>253</v>
      </c>
      <c r="Q3" s="434" t="s">
        <v>254</v>
      </c>
    </row>
    <row r="4" spans="1:17" ht="15" x14ac:dyDescent="0.2">
      <c r="A4" s="435">
        <v>1</v>
      </c>
      <c r="B4" s="328" t="s">
        <v>139</v>
      </c>
      <c r="C4" s="436" t="s">
        <v>197</v>
      </c>
      <c r="D4" s="330">
        <v>250</v>
      </c>
      <c r="E4" s="330">
        <v>250</v>
      </c>
      <c r="F4" s="331">
        <v>2.5100416666666665</v>
      </c>
      <c r="G4" s="331">
        <v>1.2550208333333333</v>
      </c>
      <c r="H4" s="351"/>
      <c r="I4" s="351"/>
      <c r="J4" s="437">
        <f>IF(Dermal_Exp[[#This Row],[Worker Type]]&lt;&gt;"",(Dermal_Exp[[#This Row],[High-End Exposure to Liquid]]+Dermal_Exp[[#This Row],[High-End Exposure to Solids]]),"Not Assessed")</f>
        <v>2.5100416666666665</v>
      </c>
      <c r="K4" s="437">
        <f>IF(Dermal_Exp[[#This Row],[Worker Type]]&lt;&gt;"",(Dermal_Exp[[#This Row],[ Central Tendency Exposure to Liquids]]+Dermal_Exp[[#This Row],[Central Tendency  Exposure to Solids]]),"Not Assessed")</f>
        <v>1.2550208333333333</v>
      </c>
      <c r="L4" s="438">
        <f>IFERROR(Dermal_Exp[[#This Row],[High-End AD (mg/kg-day)]]*IF(Dermal_Exp[[#This Row],[ED_High-End]]&gt;EFID,EFID,Dermal_Exp[[#This Row],[ED_High-End]])/ID,"Not Assessed")</f>
        <v>1.840697222222222</v>
      </c>
      <c r="M4" s="438">
        <f>IFERROR(Dermal_Exp[[#This Row],[Central Tendency AD (mg/kg-day)]]*IF(Dermal_Exp[[#This Row],[ED_Central Tendency]]&gt;EFID,EFID,Dermal_Exp[[#This Row],[ED_Central Tendency]])/ID,"Not Assessed")</f>
        <v>0.92034861111111099</v>
      </c>
      <c r="N4" s="439">
        <f>IFERROR(Dermal_Exp[[#This Row],[High-End AD (mg/kg-day)]]*Dermal_Exp[[#This Row],[ED_High-End]]*WY_high/(365*WY_high),"Not Assessed")</f>
        <v>1.719206621004566</v>
      </c>
      <c r="O4" s="439">
        <f>IFERROR(Dermal_Exp[[#This Row],[Central Tendency AD (mg/kg-day)]]*Dermal_Exp[[#This Row],[ED_Central Tendency]]*WY_mid/(365*WY_mid),"Not Assessed")</f>
        <v>0.859603310502283</v>
      </c>
      <c r="P4" s="439">
        <f>IFERROR(Dermal_Exp[[#This Row],[High-End AD (mg/kg-day)]]*Dermal_Exp[[#This Row],[ED_High-End]]*WY_high/(365*LT),"Not Assessed")</f>
        <v>0.88164442102798257</v>
      </c>
      <c r="Q4" s="439">
        <f>IFERROR(Dermal_Exp[[#This Row],[Central Tendency AD (mg/kg-day)]]*Dermal_Exp[[#This Row],[ED_Central Tendency]]*WY_mid/(365*LT),"Not Assessed")</f>
        <v>0.34163721314834322</v>
      </c>
    </row>
    <row r="5" spans="1:17" ht="15" x14ac:dyDescent="0.2">
      <c r="A5" s="435">
        <v>1</v>
      </c>
      <c r="B5" s="328" t="s">
        <v>139</v>
      </c>
      <c r="C5" s="436" t="s">
        <v>72</v>
      </c>
      <c r="D5" s="330">
        <v>250</v>
      </c>
      <c r="E5" s="330">
        <v>250</v>
      </c>
      <c r="F5" s="331">
        <v>2.3069521178637196</v>
      </c>
      <c r="G5" s="331">
        <v>1.1534760589318598</v>
      </c>
      <c r="H5" s="331"/>
      <c r="I5" s="331"/>
      <c r="J5" s="437">
        <f>IF(Dermal_Exp[[#This Row],[Worker Type]]&lt;&gt;"",(Dermal_Exp[[#This Row],[High-End Exposure to Liquid]]+Dermal_Exp[[#This Row],[High-End Exposure to Solids]]),"Not Assessed")</f>
        <v>2.3069521178637196</v>
      </c>
      <c r="K5" s="437">
        <f>IF(Dermal_Exp[[#This Row],[Worker Type]]&lt;&gt;"",(Dermal_Exp[[#This Row],[ Central Tendency Exposure to Liquids]]+Dermal_Exp[[#This Row],[Central Tendency  Exposure to Solids]]),"Not Assessed")</f>
        <v>1.1534760589318598</v>
      </c>
      <c r="L5" s="438">
        <f>IFERROR(Dermal_Exp[[#This Row],[High-End AD (mg/kg-day)]]*IF(Dermal_Exp[[#This Row],[ED_High-End]]&gt;EFID,EFID,Dermal_Exp[[#This Row],[ED_High-End]])/ID,"Not Assessed")</f>
        <v>1.6917648864333943</v>
      </c>
      <c r="M5" s="438">
        <f>IFERROR(Dermal_Exp[[#This Row],[Central Tendency AD (mg/kg-day)]]*IF(Dermal_Exp[[#This Row],[ED_Central Tendency]]&gt;EFID,EFID,Dermal_Exp[[#This Row],[ED_Central Tendency]])/ID,"Not Assessed")</f>
        <v>0.84588244321669714</v>
      </c>
      <c r="N5" s="439">
        <f>IFERROR(Dermal_Exp[[#This Row],[High-End AD (mg/kg-day)]]*Dermal_Exp[[#This Row],[ED_High-End]]*WY_high/(365*WY_high),"Not Assessed")</f>
        <v>1.5801041903176161</v>
      </c>
      <c r="O5" s="439">
        <f>IFERROR(Dermal_Exp[[#This Row],[Central Tendency AD (mg/kg-day)]]*Dermal_Exp[[#This Row],[ED_Central Tendency]]*WY_mid/(365*WY_mid),"Not Assessed")</f>
        <v>0.79005209515880803</v>
      </c>
      <c r="P5" s="439">
        <f>IFERROR(Dermal_Exp[[#This Row],[High-End AD (mg/kg-day)]]*Dermal_Exp[[#This Row],[ED_High-End]]*WY_high/(365*LT),"Not Assessed")</f>
        <v>0.81030984118852112</v>
      </c>
      <c r="Q5" s="439">
        <f>IFERROR(Dermal_Exp[[#This Row],[Central Tendency AD (mg/kg-day)]]*Dermal_Exp[[#This Row],[ED_Central Tendency]]*WY_mid/(365*LT),"Not Assessed")</f>
        <v>0.31399506346055195</v>
      </c>
    </row>
    <row r="6" spans="1:17" ht="15" x14ac:dyDescent="0.2">
      <c r="A6" s="435">
        <v>1</v>
      </c>
      <c r="B6" s="341" t="s">
        <v>71</v>
      </c>
      <c r="C6" s="436" t="s">
        <v>197</v>
      </c>
      <c r="D6" s="330">
        <v>250</v>
      </c>
      <c r="E6" s="330">
        <v>250</v>
      </c>
      <c r="F6" s="331">
        <v>2.5100416666666665</v>
      </c>
      <c r="G6" s="331">
        <v>1.2550208333333333</v>
      </c>
      <c r="H6" s="331"/>
      <c r="I6" s="331"/>
      <c r="J6" s="437">
        <f>IF(Dermal_Exp[[#This Row],[Worker Type]]&lt;&gt;"",(Dermal_Exp[[#This Row],[High-End Exposure to Liquid]]+Dermal_Exp[[#This Row],[High-End Exposure to Solids]]),"Not Assessed")</f>
        <v>2.5100416666666665</v>
      </c>
      <c r="K6" s="437">
        <f>IF(Dermal_Exp[[#This Row],[Worker Type]]&lt;&gt;"",(Dermal_Exp[[#This Row],[ Central Tendency Exposure to Liquids]]+Dermal_Exp[[#This Row],[Central Tendency  Exposure to Solids]]),"Not Assessed")</f>
        <v>1.2550208333333333</v>
      </c>
      <c r="L6" s="438">
        <f>IFERROR(Dermal_Exp[[#This Row],[High-End AD (mg/kg-day)]]*IF(Dermal_Exp[[#This Row],[ED_High-End]]&gt;EFID,EFID,Dermal_Exp[[#This Row],[ED_High-End]])/ID,"Not Assessed")</f>
        <v>1.840697222222222</v>
      </c>
      <c r="M6" s="438">
        <f>IFERROR(Dermal_Exp[[#This Row],[Central Tendency AD (mg/kg-day)]]*IF(Dermal_Exp[[#This Row],[ED_Central Tendency]]&gt;EFID,EFID,Dermal_Exp[[#This Row],[ED_Central Tendency]])/ID,"Not Assessed")</f>
        <v>0.92034861111111099</v>
      </c>
      <c r="N6" s="439">
        <f>IFERROR(Dermal_Exp[[#This Row],[High-End AD (mg/kg-day)]]*Dermal_Exp[[#This Row],[ED_High-End]]*WY_high/(365*WY_high),"Not Assessed")</f>
        <v>1.719206621004566</v>
      </c>
      <c r="O6" s="439">
        <f>IFERROR(Dermal_Exp[[#This Row],[Central Tendency AD (mg/kg-day)]]*Dermal_Exp[[#This Row],[ED_Central Tendency]]*WY_mid/(365*WY_mid),"Not Assessed")</f>
        <v>0.859603310502283</v>
      </c>
      <c r="P6" s="439">
        <f>IFERROR(Dermal_Exp[[#This Row],[High-End AD (mg/kg-day)]]*Dermal_Exp[[#This Row],[ED_High-End]]*WY_high/(365*LT),"Not Assessed")</f>
        <v>0.88164442102798257</v>
      </c>
      <c r="Q6" s="439">
        <f>IFERROR(Dermal_Exp[[#This Row],[Central Tendency AD (mg/kg-day)]]*Dermal_Exp[[#This Row],[ED_Central Tendency]]*WY_mid/(365*LT),"Not Assessed")</f>
        <v>0.34163721314834322</v>
      </c>
    </row>
    <row r="7" spans="1:17" ht="15" x14ac:dyDescent="0.2">
      <c r="A7" s="435">
        <v>1</v>
      </c>
      <c r="B7" s="341" t="s">
        <v>71</v>
      </c>
      <c r="C7" s="436" t="s">
        <v>72</v>
      </c>
      <c r="D7" s="330">
        <v>250</v>
      </c>
      <c r="E7" s="330">
        <v>250</v>
      </c>
      <c r="F7" s="331">
        <v>2.3069521178637196</v>
      </c>
      <c r="G7" s="331">
        <v>1.1534760589318598</v>
      </c>
      <c r="H7" s="331"/>
      <c r="I7" s="331"/>
      <c r="J7" s="437">
        <f>IF(Dermal_Exp[[#This Row],[Worker Type]]&lt;&gt;"",(Dermal_Exp[[#This Row],[High-End Exposure to Liquid]]+Dermal_Exp[[#This Row],[High-End Exposure to Solids]]),"Not Assessed")</f>
        <v>2.3069521178637196</v>
      </c>
      <c r="K7" s="351">
        <f>IF(Dermal_Exp[[#This Row],[Worker Type]]&lt;&gt;"",(Dermal_Exp[[#This Row],[ Central Tendency Exposure to Liquids]]+Dermal_Exp[[#This Row],[Central Tendency  Exposure to Solids]]),"Not Assessed")</f>
        <v>1.1534760589318598</v>
      </c>
      <c r="L7" s="438">
        <f>IFERROR(Dermal_Exp[[#This Row],[High-End AD (mg/kg-day)]]*IF(Dermal_Exp[[#This Row],[ED_High-End]]&gt;EFID,EFID,Dermal_Exp[[#This Row],[ED_High-End]])/ID,"Not Assessed")</f>
        <v>1.6917648864333943</v>
      </c>
      <c r="M7" s="438">
        <f>IFERROR(Dermal_Exp[[#This Row],[Central Tendency AD (mg/kg-day)]]*IF(Dermal_Exp[[#This Row],[ED_Central Tendency]]&gt;EFID,EFID,Dermal_Exp[[#This Row],[ED_Central Tendency]])/ID,"Not Assessed")</f>
        <v>0.84588244321669714</v>
      </c>
      <c r="N7" s="440">
        <f>IFERROR(Dermal_Exp[[#This Row],[High-End AD (mg/kg-day)]]*Dermal_Exp[[#This Row],[ED_High-End]]*WY_high/(365*WY_high),"Not Assessed")</f>
        <v>1.5801041903176161</v>
      </c>
      <c r="O7" s="440">
        <f>IFERROR(Dermal_Exp[[#This Row],[Central Tendency AD (mg/kg-day)]]*Dermal_Exp[[#This Row],[ED_Central Tendency]]*WY_mid/(365*WY_mid),"Not Assessed")</f>
        <v>0.79005209515880803</v>
      </c>
      <c r="P7" s="440">
        <f>IFERROR(Dermal_Exp[[#This Row],[High-End AD (mg/kg-day)]]*Dermal_Exp[[#This Row],[ED_High-End]]*WY_high/(365*LT),"Not Assessed")</f>
        <v>0.81030984118852112</v>
      </c>
      <c r="Q7" s="439">
        <f>IFERROR(Dermal_Exp[[#This Row],[Central Tendency AD (mg/kg-day)]]*Dermal_Exp[[#This Row],[ED_Central Tendency]]*WY_mid/(365*LT),"Not Assessed")</f>
        <v>0.31399506346055195</v>
      </c>
    </row>
    <row r="8" spans="1:17" ht="15" x14ac:dyDescent="0.2">
      <c r="A8" s="441">
        <v>2</v>
      </c>
      <c r="B8" s="341" t="s">
        <v>202</v>
      </c>
      <c r="C8" s="436" t="s">
        <v>197</v>
      </c>
      <c r="D8" s="330">
        <v>250</v>
      </c>
      <c r="E8" s="330">
        <v>250</v>
      </c>
      <c r="F8" s="331">
        <v>2.5100416666666665</v>
      </c>
      <c r="G8" s="331">
        <v>1.2550208333333333</v>
      </c>
      <c r="H8" s="331"/>
      <c r="I8" s="331"/>
      <c r="J8" s="437">
        <f>IF(Dermal_Exp[[#This Row],[Worker Type]]&lt;&gt;"",(Dermal_Exp[[#This Row],[High-End Exposure to Liquid]]+Dermal_Exp[[#This Row],[High-End Exposure to Solids]]),"Not Assessed")</f>
        <v>2.5100416666666665</v>
      </c>
      <c r="K8" s="351">
        <f>IF(Dermal_Exp[[#This Row],[Worker Type]]&lt;&gt;"",(Dermal_Exp[[#This Row],[ Central Tendency Exposure to Liquids]]+Dermal_Exp[[#This Row],[Central Tendency  Exposure to Solids]]),"Not Assessed")</f>
        <v>1.2550208333333333</v>
      </c>
      <c r="L8" s="438">
        <f>IFERROR(Dermal_Exp[[#This Row],[High-End AD (mg/kg-day)]]*IF(Dermal_Exp[[#This Row],[ED_High-End]]&gt;EFID,EFID,Dermal_Exp[[#This Row],[ED_High-End]])/ID,"Not Assessed")</f>
        <v>1.840697222222222</v>
      </c>
      <c r="M8" s="438">
        <f>IFERROR(Dermal_Exp[[#This Row],[Central Tendency AD (mg/kg-day)]]*IF(Dermal_Exp[[#This Row],[ED_Central Tendency]]&gt;EFID,EFID,Dermal_Exp[[#This Row],[ED_Central Tendency]])/ID,"Not Assessed")</f>
        <v>0.92034861111111099</v>
      </c>
      <c r="N8" s="440">
        <f>IFERROR(Dermal_Exp[[#This Row],[High-End AD (mg/kg-day)]]*Dermal_Exp[[#This Row],[ED_High-End]]*WY_high/(365*WY_high),"Not Assessed")</f>
        <v>1.719206621004566</v>
      </c>
      <c r="O8" s="440">
        <f>IFERROR(Dermal_Exp[[#This Row],[Central Tendency AD (mg/kg-day)]]*Dermal_Exp[[#This Row],[ED_Central Tendency]]*WY_mid/(365*WY_mid),"Not Assessed")</f>
        <v>0.859603310502283</v>
      </c>
      <c r="P8" s="440">
        <f>IFERROR(Dermal_Exp[[#This Row],[High-End AD (mg/kg-day)]]*Dermal_Exp[[#This Row],[ED_High-End]]*WY_high/(365*LT),"Not Assessed")</f>
        <v>0.88164442102798257</v>
      </c>
      <c r="Q8" s="439">
        <f>IFERROR(Dermal_Exp[[#This Row],[Central Tendency AD (mg/kg-day)]]*Dermal_Exp[[#This Row],[ED_Central Tendency]]*WY_mid/(365*LT),"Not Assessed")</f>
        <v>0.34163721314834322</v>
      </c>
    </row>
    <row r="9" spans="1:17" ht="15" x14ac:dyDescent="0.2">
      <c r="A9" s="441">
        <v>2</v>
      </c>
      <c r="B9" s="341" t="s">
        <v>202</v>
      </c>
      <c r="C9" s="436" t="s">
        <v>72</v>
      </c>
      <c r="D9" s="330">
        <v>250</v>
      </c>
      <c r="E9" s="330">
        <v>250</v>
      </c>
      <c r="F9" s="331">
        <v>2.3069521178637196</v>
      </c>
      <c r="G9" s="331">
        <v>1.1534760589318598</v>
      </c>
      <c r="H9" s="331"/>
      <c r="I9" s="331"/>
      <c r="J9" s="437">
        <f>IF(Dermal_Exp[[#This Row],[Worker Type]]&lt;&gt;"",(Dermal_Exp[[#This Row],[High-End Exposure to Liquid]]+Dermal_Exp[[#This Row],[High-End Exposure to Solids]]),"Not Assessed")</f>
        <v>2.3069521178637196</v>
      </c>
      <c r="K9" s="351">
        <f>IF(Dermal_Exp[[#This Row],[Worker Type]]&lt;&gt;"",(Dermal_Exp[[#This Row],[ Central Tendency Exposure to Liquids]]+Dermal_Exp[[#This Row],[Central Tendency  Exposure to Solids]]),"Not Assessed")</f>
        <v>1.1534760589318598</v>
      </c>
      <c r="L9" s="438">
        <f>IFERROR(Dermal_Exp[[#This Row],[High-End AD (mg/kg-day)]]*IF(Dermal_Exp[[#This Row],[ED_High-End]]&gt;EFID,EFID,Dermal_Exp[[#This Row],[ED_High-End]])/ID,"Not Assessed")</f>
        <v>1.6917648864333943</v>
      </c>
      <c r="M9" s="438">
        <f>IFERROR(Dermal_Exp[[#This Row],[Central Tendency AD (mg/kg-day)]]*IF(Dermal_Exp[[#This Row],[ED_Central Tendency]]&gt;EFID,EFID,Dermal_Exp[[#This Row],[ED_Central Tendency]])/ID,"Not Assessed")</f>
        <v>0.84588244321669714</v>
      </c>
      <c r="N9" s="351">
        <f>IFERROR(Dermal_Exp[[#This Row],[High-End AD (mg/kg-day)]]*Dermal_Exp[[#This Row],[ED_High-End]]*WY_high/(365*WY_high),"Not Assessed")</f>
        <v>1.5801041903176161</v>
      </c>
      <c r="O9" s="351">
        <f>IFERROR(Dermal_Exp[[#This Row],[Central Tendency AD (mg/kg-day)]]*Dermal_Exp[[#This Row],[ED_Central Tendency]]*WY_mid/(365*WY_mid),"Not Assessed")</f>
        <v>0.79005209515880803</v>
      </c>
      <c r="P9" s="351">
        <f>IFERROR(Dermal_Exp[[#This Row],[High-End AD (mg/kg-day)]]*Dermal_Exp[[#This Row],[ED_High-End]]*WY_high/(365*LT),"Not Assessed")</f>
        <v>0.81030984118852112</v>
      </c>
      <c r="Q9" s="439">
        <f>IFERROR(Dermal_Exp[[#This Row],[Central Tendency AD (mg/kg-day)]]*Dermal_Exp[[#This Row],[ED_Central Tendency]]*WY_mid/(365*LT),"Not Assessed")</f>
        <v>0.31399506346055195</v>
      </c>
    </row>
    <row r="10" spans="1:17" ht="15" x14ac:dyDescent="0.2">
      <c r="A10" s="441">
        <v>2</v>
      </c>
      <c r="B10" s="341" t="s">
        <v>203</v>
      </c>
      <c r="C10" s="436" t="s">
        <v>197</v>
      </c>
      <c r="D10" s="330">
        <v>250</v>
      </c>
      <c r="E10" s="330">
        <v>250</v>
      </c>
      <c r="F10" s="331">
        <v>2.5100416666666665</v>
      </c>
      <c r="G10" s="331">
        <v>1.2550208333333333</v>
      </c>
      <c r="H10" s="331">
        <v>3.3886760250110698E-2</v>
      </c>
      <c r="I10" s="331">
        <v>1.6943380125055349E-2</v>
      </c>
      <c r="J10" s="437">
        <f>IF(Dermal_Exp[[#This Row],[Worker Type]]&lt;&gt;"",(Dermal_Exp[[#This Row],[High-End Exposure to Liquid]]+Dermal_Exp[[#This Row],[High-End Exposure to Solids]]),"Not Assessed")</f>
        <v>2.5439284269167772</v>
      </c>
      <c r="K10" s="351">
        <f>IF(Dermal_Exp[[#This Row],[Worker Type]]&lt;&gt;"",(Dermal_Exp[[#This Row],[ Central Tendency Exposure to Liquids]]+Dermal_Exp[[#This Row],[Central Tendency  Exposure to Solids]]),"Not Assessed")</f>
        <v>1.2719642134583886</v>
      </c>
      <c r="L10" s="438">
        <f>IFERROR(Dermal_Exp[[#This Row],[High-End AD (mg/kg-day)]]*IF(Dermal_Exp[[#This Row],[ED_High-End]]&gt;EFID,EFID,Dermal_Exp[[#This Row],[ED_High-End]])/ID,"Not Assessed")</f>
        <v>1.8655475130723034</v>
      </c>
      <c r="M10" s="438">
        <f>IFERROR(Dermal_Exp[[#This Row],[Central Tendency AD (mg/kg-day)]]*IF(Dermal_Exp[[#This Row],[ED_Central Tendency]]&gt;EFID,EFID,Dermal_Exp[[#This Row],[ED_Central Tendency]])/ID,"Not Assessed")</f>
        <v>0.93277375653615169</v>
      </c>
      <c r="N10" s="351">
        <f>IFERROR(Dermal_Exp[[#This Row],[High-End AD (mg/kg-day)]]*Dermal_Exp[[#This Row],[ED_High-End]]*WY_high/(365*WY_high),"Not Assessed")</f>
        <v>1.7424167307649159</v>
      </c>
      <c r="O10" s="351">
        <f>IFERROR(Dermal_Exp[[#This Row],[Central Tendency AD (mg/kg-day)]]*Dermal_Exp[[#This Row],[ED_Central Tendency]]*WY_mid/(365*WY_mid),"Not Assessed")</f>
        <v>0.87120836538245794</v>
      </c>
      <c r="P10" s="351">
        <f>IFERROR(Dermal_Exp[[#This Row],[High-End AD (mg/kg-day)]]*Dermal_Exp[[#This Row],[ED_High-End]]*WY_high/(365*LT),"Not Assessed")</f>
        <v>0.89354704141790564</v>
      </c>
      <c r="Q10" s="439">
        <f>IFERROR(Dermal_Exp[[#This Row],[Central Tendency AD (mg/kg-day)]]*Dermal_Exp[[#This Row],[ED_Central Tendency]]*WY_mid/(365*LT),"Not Assessed")</f>
        <v>0.34624947854943844</v>
      </c>
    </row>
    <row r="11" spans="1:17" ht="15" x14ac:dyDescent="0.2">
      <c r="A11" s="441">
        <v>2</v>
      </c>
      <c r="B11" s="341" t="s">
        <v>203</v>
      </c>
      <c r="C11" s="436" t="s">
        <v>72</v>
      </c>
      <c r="D11" s="330">
        <v>250</v>
      </c>
      <c r="E11" s="330">
        <v>250</v>
      </c>
      <c r="F11" s="331">
        <v>2.3069521178637196</v>
      </c>
      <c r="G11" s="331">
        <v>1.1534760589318598</v>
      </c>
      <c r="H11" s="331">
        <v>3.1144954430318089E-2</v>
      </c>
      <c r="I11" s="331">
        <v>1.5572477215159045E-2</v>
      </c>
      <c r="J11" s="437">
        <f>IF(Dermal_Exp[[#This Row],[Worker Type]]&lt;&gt;"",(Dermal_Exp[[#This Row],[High-End Exposure to Liquid]]+Dermal_Exp[[#This Row],[High-End Exposure to Solids]]),"Not Assessed")</f>
        <v>2.3380970722940377</v>
      </c>
      <c r="K11" s="351">
        <f>IF(Dermal_Exp[[#This Row],[Worker Type]]&lt;&gt;"",(Dermal_Exp[[#This Row],[ Central Tendency Exposure to Liquids]]+Dermal_Exp[[#This Row],[Central Tendency  Exposure to Solids]]),"Not Assessed")</f>
        <v>1.1690485361470189</v>
      </c>
      <c r="L11" s="438">
        <f>IFERROR(Dermal_Exp[[#This Row],[High-End AD (mg/kg-day)]]*IF(Dermal_Exp[[#This Row],[ED_High-End]]&gt;EFID,EFID,Dermal_Exp[[#This Row],[ED_High-End]])/ID,"Not Assessed")</f>
        <v>1.7146045196822943</v>
      </c>
      <c r="M11" s="438">
        <f>IFERROR(Dermal_Exp[[#This Row],[Central Tendency AD (mg/kg-day)]]*IF(Dermal_Exp[[#This Row],[ED_Central Tendency]]&gt;EFID,EFID,Dermal_Exp[[#This Row],[ED_Central Tendency]])/ID,"Not Assessed")</f>
        <v>0.85730225984114716</v>
      </c>
      <c r="N11" s="440">
        <f>IFERROR(Dermal_Exp[[#This Row],[High-End AD (mg/kg-day)]]*Dermal_Exp[[#This Row],[ED_High-End]]*WY_high/(365*WY_high),"Not Assessed")</f>
        <v>1.6014363508863274</v>
      </c>
      <c r="O11" s="440">
        <f>IFERROR(Dermal_Exp[[#This Row],[Central Tendency AD (mg/kg-day)]]*Dermal_Exp[[#This Row],[ED_Central Tendency]]*WY_mid/(365*WY_mid),"Not Assessed")</f>
        <v>0.80071817544316359</v>
      </c>
      <c r="P11" s="440">
        <f>IFERROR(Dermal_Exp[[#This Row],[High-End AD (mg/kg-day)]]*Dermal_Exp[[#This Row],[ED_High-End]]*WY_high/(365*LT),"Not Assessed")</f>
        <v>0.82124941071093716</v>
      </c>
      <c r="Q11" s="439">
        <f>IFERROR(Dermal_Exp[[#This Row],[Central Tendency AD (mg/kg-day)]]*Dermal_Exp[[#This Row],[ED_Central Tendency]]*WY_mid/(365*LT),"Not Assessed")</f>
        <v>0.3182341466504881</v>
      </c>
    </row>
    <row r="12" spans="1:17" ht="15" x14ac:dyDescent="0.2">
      <c r="A12" s="441">
        <v>2</v>
      </c>
      <c r="B12" s="341" t="s">
        <v>203</v>
      </c>
      <c r="C12" s="436" t="s">
        <v>92</v>
      </c>
      <c r="D12" s="330">
        <v>250</v>
      </c>
      <c r="E12" s="330">
        <v>250</v>
      </c>
      <c r="F12" s="331"/>
      <c r="G12" s="331"/>
      <c r="H12" s="331">
        <v>1.6943380125055349E-2</v>
      </c>
      <c r="I12" s="331">
        <v>1.6943380125055349E-2</v>
      </c>
      <c r="J12" s="437">
        <f>IF(Dermal_Exp[[#This Row],[Worker Type]]&lt;&gt;"",(Dermal_Exp[[#This Row],[High-End Exposure to Liquid]]+Dermal_Exp[[#This Row],[High-End Exposure to Solids]]),"Not Assessed")</f>
        <v>1.6943380125055349E-2</v>
      </c>
      <c r="K12" s="442">
        <f>IF(Dermal_Exp[[#This Row],[Worker Type]]&lt;&gt;"",(Dermal_Exp[[#This Row],[ Central Tendency Exposure to Liquids]]+Dermal_Exp[[#This Row],[Central Tendency  Exposure to Solids]]),"Not Assessed")</f>
        <v>1.6943380125055349E-2</v>
      </c>
      <c r="L12" s="438">
        <f>IFERROR(Dermal_Exp[[#This Row],[High-End AD (mg/kg-day)]]*IF(Dermal_Exp[[#This Row],[ED_High-End]]&gt;EFID,EFID,Dermal_Exp[[#This Row],[ED_High-End]])/ID,"Not Assessed")</f>
        <v>1.2425145425040588E-2</v>
      </c>
      <c r="M12" s="438">
        <f>IFERROR(Dermal_Exp[[#This Row],[Central Tendency AD (mg/kg-day)]]*IF(Dermal_Exp[[#This Row],[ED_Central Tendency]]&gt;EFID,EFID,Dermal_Exp[[#This Row],[ED_Central Tendency]])/ID,"Not Assessed")</f>
        <v>1.2425145425040588E-2</v>
      </c>
      <c r="N12" s="351">
        <f>IFERROR(Dermal_Exp[[#This Row],[High-End AD (mg/kg-day)]]*Dermal_Exp[[#This Row],[ED_High-End]]*WY_high/(365*WY_high),"Not Assessed")</f>
        <v>1.1605054880174895E-2</v>
      </c>
      <c r="O12" s="351">
        <f>IFERROR(Dermal_Exp[[#This Row],[Central Tendency AD (mg/kg-day)]]*Dermal_Exp[[#This Row],[ED_Central Tendency]]*WY_mid/(365*WY_mid),"Not Assessed")</f>
        <v>1.1605054880174897E-2</v>
      </c>
      <c r="P12" s="351">
        <f>IFERROR(Dermal_Exp[[#This Row],[High-End AD (mg/kg-day)]]*Dermal_Exp[[#This Row],[ED_High-End]]*WY_high/(365*LT),"Not Assessed")</f>
        <v>5.9513101949614849E-3</v>
      </c>
      <c r="Q12" s="439">
        <f>IFERROR(Dermal_Exp[[#This Row],[Central Tendency AD (mg/kg-day)]]*Dermal_Exp[[#This Row],[ED_Central Tendency]]*WY_mid/(365*LT),"Not Assessed")</f>
        <v>4.612265401095151E-3</v>
      </c>
    </row>
    <row r="13" spans="1:17" ht="15" x14ac:dyDescent="0.2">
      <c r="A13" s="441">
        <v>2</v>
      </c>
      <c r="B13" s="341" t="s">
        <v>206</v>
      </c>
      <c r="C13" s="436" t="s">
        <v>197</v>
      </c>
      <c r="D13" s="330">
        <v>250</v>
      </c>
      <c r="E13" s="330">
        <v>250</v>
      </c>
      <c r="F13" s="331"/>
      <c r="G13" s="331"/>
      <c r="H13" s="331">
        <v>3.3886760250110698E-2</v>
      </c>
      <c r="I13" s="331">
        <v>1.6943380125055349E-2</v>
      </c>
      <c r="J13" s="437">
        <f>IF(Dermal_Exp[[#This Row],[Worker Type]]&lt;&gt;"",(Dermal_Exp[[#This Row],[High-End Exposure to Liquid]]+Dermal_Exp[[#This Row],[High-End Exposure to Solids]]),"Not Assessed")</f>
        <v>3.3886760250110698E-2</v>
      </c>
      <c r="K13" s="351">
        <f>IF(Dermal_Exp[[#This Row],[Worker Type]]&lt;&gt;"",(Dermal_Exp[[#This Row],[ Central Tendency Exposure to Liquids]]+Dermal_Exp[[#This Row],[Central Tendency  Exposure to Solids]]),"Not Assessed")</f>
        <v>1.6943380125055349E-2</v>
      </c>
      <c r="L13" s="438">
        <f>IFERROR(Dermal_Exp[[#This Row],[High-End AD (mg/kg-day)]]*IF(Dermal_Exp[[#This Row],[ED_High-End]]&gt;EFID,EFID,Dermal_Exp[[#This Row],[ED_High-End]])/ID,"Not Assessed")</f>
        <v>2.4850290850081176E-2</v>
      </c>
      <c r="M13" s="438">
        <f>IFERROR(Dermal_Exp[[#This Row],[Central Tendency AD (mg/kg-day)]]*IF(Dermal_Exp[[#This Row],[ED_Central Tendency]]&gt;EFID,EFID,Dermal_Exp[[#This Row],[ED_Central Tendency]])/ID,"Not Assessed")</f>
        <v>1.2425145425040588E-2</v>
      </c>
      <c r="N13" s="351">
        <f>IFERROR(Dermal_Exp[[#This Row],[High-End AD (mg/kg-day)]]*Dermal_Exp[[#This Row],[ED_High-End]]*WY_high/(365*WY_high),"Not Assessed")</f>
        <v>2.321010976034979E-2</v>
      </c>
      <c r="O13" s="351">
        <f>IFERROR(Dermal_Exp[[#This Row],[Central Tendency AD (mg/kg-day)]]*Dermal_Exp[[#This Row],[ED_Central Tendency]]*WY_mid/(365*WY_mid),"Not Assessed")</f>
        <v>1.1605054880174897E-2</v>
      </c>
      <c r="P13" s="351">
        <f>IFERROR(Dermal_Exp[[#This Row],[High-End AD (mg/kg-day)]]*Dermal_Exp[[#This Row],[ED_High-End]]*WY_high/(365*LT),"Not Assessed")</f>
        <v>1.190262038992297E-2</v>
      </c>
      <c r="Q13" s="439">
        <f>IFERROR(Dermal_Exp[[#This Row],[Central Tendency AD (mg/kg-day)]]*Dermal_Exp[[#This Row],[ED_Central Tendency]]*WY_mid/(365*LT),"Not Assessed")</f>
        <v>4.612265401095151E-3</v>
      </c>
    </row>
    <row r="14" spans="1:17" ht="15" x14ac:dyDescent="0.2">
      <c r="A14" s="441">
        <v>2</v>
      </c>
      <c r="B14" s="341" t="s">
        <v>206</v>
      </c>
      <c r="C14" s="436" t="s">
        <v>72</v>
      </c>
      <c r="D14" s="330">
        <v>250</v>
      </c>
      <c r="E14" s="330">
        <v>250</v>
      </c>
      <c r="F14" s="331"/>
      <c r="G14" s="331"/>
      <c r="H14" s="331">
        <v>3.1144954430318089E-2</v>
      </c>
      <c r="I14" s="331">
        <v>1.5572477215159045E-2</v>
      </c>
      <c r="J14" s="437">
        <f>IF(Dermal_Exp[[#This Row],[Worker Type]]&lt;&gt;"",(Dermal_Exp[[#This Row],[High-End Exposure to Liquid]]+Dermal_Exp[[#This Row],[High-End Exposure to Solids]]),"Not Assessed")</f>
        <v>3.1144954430318089E-2</v>
      </c>
      <c r="K14" s="351">
        <f>IF(Dermal_Exp[[#This Row],[Worker Type]]&lt;&gt;"",(Dermal_Exp[[#This Row],[ Central Tendency Exposure to Liquids]]+Dermal_Exp[[#This Row],[Central Tendency  Exposure to Solids]]),"Not Assessed")</f>
        <v>1.5572477215159045E-2</v>
      </c>
      <c r="L14" s="438">
        <f>IFERROR(Dermal_Exp[[#This Row],[High-End AD (mg/kg-day)]]*IF(Dermal_Exp[[#This Row],[ED_High-End]]&gt;EFID,EFID,Dermal_Exp[[#This Row],[ED_High-End]])/ID,"Not Assessed")</f>
        <v>2.2839633248899933E-2</v>
      </c>
      <c r="M14" s="438">
        <f>IFERROR(Dermal_Exp[[#This Row],[Central Tendency AD (mg/kg-day)]]*IF(Dermal_Exp[[#This Row],[ED_Central Tendency]]&gt;EFID,EFID,Dermal_Exp[[#This Row],[ED_Central Tendency]])/ID,"Not Assessed")</f>
        <v>1.1419816624449967E-2</v>
      </c>
      <c r="N14" s="351">
        <f>IFERROR(Dermal_Exp[[#This Row],[High-End AD (mg/kg-day)]]*Dermal_Exp[[#This Row],[ED_High-End]]*WY_high/(365*WY_high),"Not Assessed")</f>
        <v>2.1332160568711022E-2</v>
      </c>
      <c r="O14" s="351">
        <f>IFERROR(Dermal_Exp[[#This Row],[Central Tendency AD (mg/kg-day)]]*Dermal_Exp[[#This Row],[ED_Central Tendency]]*WY_mid/(365*WY_mid),"Not Assessed")</f>
        <v>1.0666080284355511E-2</v>
      </c>
      <c r="P14" s="351">
        <f>IFERROR(Dermal_Exp[[#This Row],[High-End AD (mg/kg-day)]]*Dermal_Exp[[#This Row],[ED_High-End]]*WY_high/(365*LT),"Not Assessed")</f>
        <v>1.0939569522415909E-2</v>
      </c>
      <c r="Q14" s="439">
        <f>IFERROR(Dermal_Exp[[#This Row],[Central Tendency AD (mg/kg-day)]]*Dermal_Exp[[#This Row],[ED_Central Tendency]]*WY_mid/(365*LT),"Not Assessed")</f>
        <v>4.2390831899361643E-3</v>
      </c>
    </row>
    <row r="15" spans="1:17" ht="15" x14ac:dyDescent="0.2">
      <c r="A15" s="441">
        <v>2</v>
      </c>
      <c r="B15" s="341" t="s">
        <v>206</v>
      </c>
      <c r="C15" s="436" t="s">
        <v>92</v>
      </c>
      <c r="D15" s="330">
        <v>250</v>
      </c>
      <c r="E15" s="330">
        <v>250</v>
      </c>
      <c r="F15" s="331"/>
      <c r="G15" s="331"/>
      <c r="H15" s="331">
        <v>1.6943380125055349E-2</v>
      </c>
      <c r="I15" s="331">
        <v>1.6943380125055349E-2</v>
      </c>
      <c r="J15" s="437">
        <f>IF(Dermal_Exp[[#This Row],[Worker Type]]&lt;&gt;"",(Dermal_Exp[[#This Row],[High-End Exposure to Liquid]]+Dermal_Exp[[#This Row],[High-End Exposure to Solids]]),"Not Assessed")</f>
        <v>1.6943380125055349E-2</v>
      </c>
      <c r="K15" s="442">
        <f>IF(Dermal_Exp[[#This Row],[Worker Type]]&lt;&gt;"",(Dermal_Exp[[#This Row],[ Central Tendency Exposure to Liquids]]+Dermal_Exp[[#This Row],[Central Tendency  Exposure to Solids]]),"Not Assessed")</f>
        <v>1.6943380125055349E-2</v>
      </c>
      <c r="L15" s="438">
        <f>IFERROR(Dermal_Exp[[#This Row],[High-End AD (mg/kg-day)]]*IF(Dermal_Exp[[#This Row],[ED_High-End]]&gt;EFID,EFID,Dermal_Exp[[#This Row],[ED_High-End]])/ID,"Not Assessed")</f>
        <v>1.2425145425040588E-2</v>
      </c>
      <c r="M15" s="438">
        <f>IFERROR(Dermal_Exp[[#This Row],[Central Tendency AD (mg/kg-day)]]*IF(Dermal_Exp[[#This Row],[ED_Central Tendency]]&gt;EFID,EFID,Dermal_Exp[[#This Row],[ED_Central Tendency]])/ID,"Not Assessed")</f>
        <v>1.2425145425040588E-2</v>
      </c>
      <c r="N15" s="351">
        <f>IFERROR(Dermal_Exp[[#This Row],[High-End AD (mg/kg-day)]]*Dermal_Exp[[#This Row],[ED_High-End]]*WY_high/(365*WY_high),"Not Assessed")</f>
        <v>1.1605054880174895E-2</v>
      </c>
      <c r="O15" s="351">
        <f>IFERROR(Dermal_Exp[[#This Row],[Central Tendency AD (mg/kg-day)]]*Dermal_Exp[[#This Row],[ED_Central Tendency]]*WY_mid/(365*WY_mid),"Not Assessed")</f>
        <v>1.1605054880174897E-2</v>
      </c>
      <c r="P15" s="351">
        <f>IFERROR(Dermal_Exp[[#This Row],[High-End AD (mg/kg-day)]]*Dermal_Exp[[#This Row],[ED_High-End]]*WY_high/(365*LT),"Not Assessed")</f>
        <v>5.9513101949614849E-3</v>
      </c>
      <c r="Q15" s="439">
        <f>IFERROR(Dermal_Exp[[#This Row],[Central Tendency AD (mg/kg-day)]]*Dermal_Exp[[#This Row],[ED_Central Tendency]]*WY_mid/(365*LT),"Not Assessed")</f>
        <v>4.612265401095151E-3</v>
      </c>
    </row>
    <row r="16" spans="1:17" ht="15" x14ac:dyDescent="0.2">
      <c r="A16" s="441">
        <v>3</v>
      </c>
      <c r="B16" s="341" t="s">
        <v>207</v>
      </c>
      <c r="C16" s="436" t="s">
        <v>197</v>
      </c>
      <c r="D16" s="330">
        <v>250</v>
      </c>
      <c r="E16" s="330">
        <v>250</v>
      </c>
      <c r="F16" s="331">
        <v>2.5100416666666665</v>
      </c>
      <c r="G16" s="331">
        <v>1.2550208333333333</v>
      </c>
      <c r="H16" s="331">
        <v>3.3886760250110698E-2</v>
      </c>
      <c r="I16" s="331">
        <v>1.6943380125055349E-2</v>
      </c>
      <c r="J16" s="437">
        <f>IF(Dermal_Exp[[#This Row],[Worker Type]]&lt;&gt;"",(Dermal_Exp[[#This Row],[High-End Exposure to Liquid]]+Dermal_Exp[[#This Row],[High-End Exposure to Solids]]),"Not Assessed")</f>
        <v>2.5439284269167772</v>
      </c>
      <c r="K16" s="351">
        <f>IF(Dermal_Exp[[#This Row],[Worker Type]]&lt;&gt;"",(Dermal_Exp[[#This Row],[ Central Tendency Exposure to Liquids]]+Dermal_Exp[[#This Row],[Central Tendency  Exposure to Solids]]),"Not Assessed")</f>
        <v>1.2719642134583886</v>
      </c>
      <c r="L16" s="438">
        <f>IFERROR(Dermal_Exp[[#This Row],[High-End AD (mg/kg-day)]]*IF(Dermal_Exp[[#This Row],[ED_High-End]]&gt;EFID,EFID,Dermal_Exp[[#This Row],[ED_High-End]])/ID,"Not Assessed")</f>
        <v>1.8655475130723034</v>
      </c>
      <c r="M16" s="438">
        <f>IFERROR(Dermal_Exp[[#This Row],[Central Tendency AD (mg/kg-day)]]*IF(Dermal_Exp[[#This Row],[ED_Central Tendency]]&gt;EFID,EFID,Dermal_Exp[[#This Row],[ED_Central Tendency]])/ID,"Not Assessed")</f>
        <v>0.93277375653615169</v>
      </c>
      <c r="N16" s="440">
        <f>IFERROR(Dermal_Exp[[#This Row],[High-End AD (mg/kg-day)]]*Dermal_Exp[[#This Row],[ED_High-End]]*WY_high/(365*WY_high),"Not Assessed")</f>
        <v>1.7424167307649159</v>
      </c>
      <c r="O16" s="440">
        <f>IFERROR(Dermal_Exp[[#This Row],[Central Tendency AD (mg/kg-day)]]*Dermal_Exp[[#This Row],[ED_Central Tendency]]*WY_mid/(365*WY_mid),"Not Assessed")</f>
        <v>0.87120836538245794</v>
      </c>
      <c r="P16" s="440">
        <f>IFERROR(Dermal_Exp[[#This Row],[High-End AD (mg/kg-day)]]*Dermal_Exp[[#This Row],[ED_High-End]]*WY_high/(365*LT),"Not Assessed")</f>
        <v>0.89354704141790564</v>
      </c>
      <c r="Q16" s="439">
        <f>IFERROR(Dermal_Exp[[#This Row],[Central Tendency AD (mg/kg-day)]]*Dermal_Exp[[#This Row],[ED_Central Tendency]]*WY_mid/(365*LT),"Not Assessed")</f>
        <v>0.34624947854943844</v>
      </c>
    </row>
    <row r="17" spans="1:17" ht="15" x14ac:dyDescent="0.2">
      <c r="A17" s="441">
        <v>3</v>
      </c>
      <c r="B17" s="341" t="s">
        <v>207</v>
      </c>
      <c r="C17" s="436" t="s">
        <v>72</v>
      </c>
      <c r="D17" s="330">
        <v>250</v>
      </c>
      <c r="E17" s="330">
        <v>250</v>
      </c>
      <c r="F17" s="331">
        <v>2.3069521178637196</v>
      </c>
      <c r="G17" s="331">
        <v>1.1534760589318598</v>
      </c>
      <c r="H17" s="331">
        <v>3.1144954430318089E-2</v>
      </c>
      <c r="I17" s="331">
        <v>1.5572477215159045E-2</v>
      </c>
      <c r="J17" s="437">
        <f>IF(Dermal_Exp[[#This Row],[Worker Type]]&lt;&gt;"",(Dermal_Exp[[#This Row],[High-End Exposure to Liquid]]+Dermal_Exp[[#This Row],[High-End Exposure to Solids]]),"Not Assessed")</f>
        <v>2.3380970722940377</v>
      </c>
      <c r="K17" s="351">
        <f>IF(Dermal_Exp[[#This Row],[Worker Type]]&lt;&gt;"",(Dermal_Exp[[#This Row],[ Central Tendency Exposure to Liquids]]+Dermal_Exp[[#This Row],[Central Tendency  Exposure to Solids]]),"Not Assessed")</f>
        <v>1.1690485361470189</v>
      </c>
      <c r="L17" s="438">
        <f>IFERROR(Dermal_Exp[[#This Row],[High-End AD (mg/kg-day)]]*IF(Dermal_Exp[[#This Row],[ED_High-End]]&gt;EFID,EFID,Dermal_Exp[[#This Row],[ED_High-End]])/ID,"Not Assessed")</f>
        <v>1.7146045196822943</v>
      </c>
      <c r="M17" s="438">
        <f>IFERROR(Dermal_Exp[[#This Row],[Central Tendency AD (mg/kg-day)]]*IF(Dermal_Exp[[#This Row],[ED_Central Tendency]]&gt;EFID,EFID,Dermal_Exp[[#This Row],[ED_Central Tendency]])/ID,"Not Assessed")</f>
        <v>0.85730225984114716</v>
      </c>
      <c r="N17" s="351">
        <f>IFERROR(Dermal_Exp[[#This Row],[High-End AD (mg/kg-day)]]*Dermal_Exp[[#This Row],[ED_High-End]]*WY_high/(365*WY_high),"Not Assessed")</f>
        <v>1.6014363508863274</v>
      </c>
      <c r="O17" s="351">
        <f>IFERROR(Dermal_Exp[[#This Row],[Central Tendency AD (mg/kg-day)]]*Dermal_Exp[[#This Row],[ED_Central Tendency]]*WY_mid/(365*WY_mid),"Not Assessed")</f>
        <v>0.80071817544316359</v>
      </c>
      <c r="P17" s="351">
        <f>IFERROR(Dermal_Exp[[#This Row],[High-End AD (mg/kg-day)]]*Dermal_Exp[[#This Row],[ED_High-End]]*WY_high/(365*LT),"Not Assessed")</f>
        <v>0.82124941071093716</v>
      </c>
      <c r="Q17" s="439">
        <f>IFERROR(Dermal_Exp[[#This Row],[Central Tendency AD (mg/kg-day)]]*Dermal_Exp[[#This Row],[ED_Central Tendency]]*WY_mid/(365*LT),"Not Assessed")</f>
        <v>0.3182341466504881</v>
      </c>
    </row>
    <row r="18" spans="1:17" ht="15" x14ac:dyDescent="0.2">
      <c r="A18" s="441">
        <v>3</v>
      </c>
      <c r="B18" s="341" t="s">
        <v>207</v>
      </c>
      <c r="C18" s="436" t="s">
        <v>92</v>
      </c>
      <c r="D18" s="330">
        <v>250</v>
      </c>
      <c r="E18" s="330">
        <v>250</v>
      </c>
      <c r="F18" s="331"/>
      <c r="G18" s="331"/>
      <c r="H18" s="331">
        <v>1.6943380125055349E-2</v>
      </c>
      <c r="I18" s="331">
        <v>1.6943380125055349E-2</v>
      </c>
      <c r="J18" s="437">
        <f>IF(Dermal_Exp[[#This Row],[Worker Type]]&lt;&gt;"",(Dermal_Exp[[#This Row],[High-End Exposure to Liquid]]+Dermal_Exp[[#This Row],[High-End Exposure to Solids]]),"Not Assessed")</f>
        <v>1.6943380125055349E-2</v>
      </c>
      <c r="K18" s="351">
        <f>IF(Dermal_Exp[[#This Row],[Worker Type]]&lt;&gt;"",(Dermal_Exp[[#This Row],[ Central Tendency Exposure to Liquids]]+Dermal_Exp[[#This Row],[Central Tendency  Exposure to Solids]]),"Not Assessed")</f>
        <v>1.6943380125055349E-2</v>
      </c>
      <c r="L18" s="438">
        <f>IFERROR(Dermal_Exp[[#This Row],[High-End AD (mg/kg-day)]]*IF(Dermal_Exp[[#This Row],[ED_High-End]]&gt;EFID,EFID,Dermal_Exp[[#This Row],[ED_High-End]])/ID,"Not Assessed")</f>
        <v>1.2425145425040588E-2</v>
      </c>
      <c r="M18" s="438">
        <f>IFERROR(Dermal_Exp[[#This Row],[Central Tendency AD (mg/kg-day)]]*IF(Dermal_Exp[[#This Row],[ED_Central Tendency]]&gt;EFID,EFID,Dermal_Exp[[#This Row],[ED_Central Tendency]])/ID,"Not Assessed")</f>
        <v>1.2425145425040588E-2</v>
      </c>
      <c r="N18" s="440">
        <f>IFERROR(Dermal_Exp[[#This Row],[High-End AD (mg/kg-day)]]*Dermal_Exp[[#This Row],[ED_High-End]]*WY_high/(365*WY_high),"Not Assessed")</f>
        <v>1.1605054880174895E-2</v>
      </c>
      <c r="O18" s="440">
        <f>IFERROR(Dermal_Exp[[#This Row],[Central Tendency AD (mg/kg-day)]]*Dermal_Exp[[#This Row],[ED_Central Tendency]]*WY_mid/(365*WY_mid),"Not Assessed")</f>
        <v>1.1605054880174897E-2</v>
      </c>
      <c r="P18" s="440">
        <f>IFERROR(Dermal_Exp[[#This Row],[High-End AD (mg/kg-day)]]*Dermal_Exp[[#This Row],[ED_High-End]]*WY_high/(365*LT),"Not Assessed")</f>
        <v>5.9513101949614849E-3</v>
      </c>
      <c r="Q18" s="439">
        <f>IFERROR(Dermal_Exp[[#This Row],[Central Tendency AD (mg/kg-day)]]*Dermal_Exp[[#This Row],[ED_Central Tendency]]*WY_mid/(365*LT),"Not Assessed")</f>
        <v>4.612265401095151E-3</v>
      </c>
    </row>
    <row r="19" spans="1:17" ht="15" x14ac:dyDescent="0.2">
      <c r="A19" s="441">
        <v>3</v>
      </c>
      <c r="B19" s="341" t="s">
        <v>211</v>
      </c>
      <c r="C19" s="436" t="s">
        <v>197</v>
      </c>
      <c r="D19" s="330">
        <v>250</v>
      </c>
      <c r="E19" s="330">
        <v>232</v>
      </c>
      <c r="F19" s="331">
        <v>2.5100416666666665</v>
      </c>
      <c r="G19" s="331">
        <v>1.2550208333333333</v>
      </c>
      <c r="H19" s="331"/>
      <c r="I19" s="331"/>
      <c r="J19" s="437">
        <f>IF(Dermal_Exp[[#This Row],[Worker Type]]&lt;&gt;"",(Dermal_Exp[[#This Row],[High-End Exposure to Liquid]]+Dermal_Exp[[#This Row],[High-End Exposure to Solids]]),"Not Assessed")</f>
        <v>2.5100416666666665</v>
      </c>
      <c r="K19" s="351">
        <f>IF(Dermal_Exp[[#This Row],[Worker Type]]&lt;&gt;"",(Dermal_Exp[[#This Row],[ Central Tendency Exposure to Liquids]]+Dermal_Exp[[#This Row],[Central Tendency  Exposure to Solids]]),"Not Assessed")</f>
        <v>1.2550208333333333</v>
      </c>
      <c r="L19" s="438">
        <f>IFERROR(Dermal_Exp[[#This Row],[High-End AD (mg/kg-day)]]*IF(Dermal_Exp[[#This Row],[ED_High-End]]&gt;EFID,EFID,Dermal_Exp[[#This Row],[ED_High-End]])/ID,"Not Assessed")</f>
        <v>1.840697222222222</v>
      </c>
      <c r="M19" s="438">
        <f>IFERROR(Dermal_Exp[[#This Row],[Central Tendency AD (mg/kg-day)]]*IF(Dermal_Exp[[#This Row],[ED_Central Tendency]]&gt;EFID,EFID,Dermal_Exp[[#This Row],[ED_Central Tendency]])/ID,"Not Assessed")</f>
        <v>0.92034861111111099</v>
      </c>
      <c r="N19" s="351">
        <f>IFERROR(Dermal_Exp[[#This Row],[High-End AD (mg/kg-day)]]*Dermal_Exp[[#This Row],[ED_High-End]]*WY_high/(365*WY_high),"Not Assessed")</f>
        <v>1.719206621004566</v>
      </c>
      <c r="O19" s="351">
        <f>IFERROR(Dermal_Exp[[#This Row],[Central Tendency AD (mg/kg-day)]]*Dermal_Exp[[#This Row],[ED_Central Tendency]]*WY_mid/(365*WY_mid),"Not Assessed")</f>
        <v>0.79771187214611861</v>
      </c>
      <c r="P19" s="351">
        <f>IFERROR(Dermal_Exp[[#This Row],[High-End AD (mg/kg-day)]]*Dermal_Exp[[#This Row],[ED_High-End]]*WY_high/(365*LT),"Not Assessed")</f>
        <v>0.88164442102798257</v>
      </c>
      <c r="Q19" s="439">
        <f>IFERROR(Dermal_Exp[[#This Row],[Central Tendency AD (mg/kg-day)]]*Dermal_Exp[[#This Row],[ED_Central Tendency]]*WY_mid/(365*LT),"Not Assessed")</f>
        <v>0.31703933380166255</v>
      </c>
    </row>
    <row r="20" spans="1:17" ht="15" x14ac:dyDescent="0.2">
      <c r="A20" s="441">
        <v>3</v>
      </c>
      <c r="B20" s="341" t="s">
        <v>211</v>
      </c>
      <c r="C20" s="436" t="s">
        <v>72</v>
      </c>
      <c r="D20" s="330">
        <v>250</v>
      </c>
      <c r="E20" s="330">
        <v>232</v>
      </c>
      <c r="F20" s="331">
        <v>2.3069521178637196</v>
      </c>
      <c r="G20" s="331">
        <v>1.1534760589318598</v>
      </c>
      <c r="H20" s="331"/>
      <c r="I20" s="331"/>
      <c r="J20" s="437">
        <f>IF(Dermal_Exp[[#This Row],[Worker Type]]&lt;&gt;"",(Dermal_Exp[[#This Row],[High-End Exposure to Liquid]]+Dermal_Exp[[#This Row],[High-End Exposure to Solids]]),"Not Assessed")</f>
        <v>2.3069521178637196</v>
      </c>
      <c r="K20" s="351">
        <f>IF(Dermal_Exp[[#This Row],[Worker Type]]&lt;&gt;"",(Dermal_Exp[[#This Row],[ Central Tendency Exposure to Liquids]]+Dermal_Exp[[#This Row],[Central Tendency  Exposure to Solids]]),"Not Assessed")</f>
        <v>1.1534760589318598</v>
      </c>
      <c r="L20" s="438">
        <f>IFERROR(Dermal_Exp[[#This Row],[High-End AD (mg/kg-day)]]*IF(Dermal_Exp[[#This Row],[ED_High-End]]&gt;EFID,EFID,Dermal_Exp[[#This Row],[ED_High-End]])/ID,"Not Assessed")</f>
        <v>1.6917648864333943</v>
      </c>
      <c r="M20" s="438">
        <f>IFERROR(Dermal_Exp[[#This Row],[Central Tendency AD (mg/kg-day)]]*IF(Dermal_Exp[[#This Row],[ED_Central Tendency]]&gt;EFID,EFID,Dermal_Exp[[#This Row],[ED_Central Tendency]])/ID,"Not Assessed")</f>
        <v>0.84588244321669714</v>
      </c>
      <c r="N20" s="440">
        <f>IFERROR(Dermal_Exp[[#This Row],[High-End AD (mg/kg-day)]]*Dermal_Exp[[#This Row],[ED_High-End]]*WY_high/(365*WY_high),"Not Assessed")</f>
        <v>1.5801041903176161</v>
      </c>
      <c r="O20" s="440">
        <f>IFERROR(Dermal_Exp[[#This Row],[Central Tendency AD (mg/kg-day)]]*Dermal_Exp[[#This Row],[ED_Central Tendency]]*WY_mid/(365*WY_mid),"Not Assessed")</f>
        <v>0.73316834430737388</v>
      </c>
      <c r="P20" s="440">
        <f>IFERROR(Dermal_Exp[[#This Row],[High-End AD (mg/kg-day)]]*Dermal_Exp[[#This Row],[ED_High-End]]*WY_high/(365*LT),"Not Assessed")</f>
        <v>0.81030984118852112</v>
      </c>
      <c r="Q20" s="439">
        <f>IFERROR(Dermal_Exp[[#This Row],[Central Tendency AD (mg/kg-day)]]*Dermal_Exp[[#This Row],[ED_Central Tendency]]*WY_mid/(365*LT),"Not Assessed")</f>
        <v>0.29138741889139219</v>
      </c>
    </row>
    <row r="21" spans="1:17" ht="15" x14ac:dyDescent="0.2">
      <c r="A21" s="441">
        <v>3</v>
      </c>
      <c r="B21" s="341" t="s">
        <v>211</v>
      </c>
      <c r="C21" s="436" t="s">
        <v>92</v>
      </c>
      <c r="D21" s="330">
        <v>250</v>
      </c>
      <c r="E21" s="330">
        <v>232</v>
      </c>
      <c r="F21" s="331">
        <v>1.2550208333333333</v>
      </c>
      <c r="G21" s="331">
        <v>1.2550208333333333</v>
      </c>
      <c r="H21" s="331"/>
      <c r="I21" s="331"/>
      <c r="J21" s="437">
        <f>IF(Dermal_Exp[[#This Row],[Worker Type]]&lt;&gt;"",(Dermal_Exp[[#This Row],[High-End Exposure to Liquid]]+Dermal_Exp[[#This Row],[High-End Exposure to Solids]]),"Not Assessed")</f>
        <v>1.2550208333333333</v>
      </c>
      <c r="K21" s="351">
        <f>IF(Dermal_Exp[[#This Row],[Worker Type]]&lt;&gt;"",(Dermal_Exp[[#This Row],[ Central Tendency Exposure to Liquids]]+Dermal_Exp[[#This Row],[Central Tendency  Exposure to Solids]]),"Not Assessed")</f>
        <v>1.2550208333333333</v>
      </c>
      <c r="L21" s="438">
        <f>IFERROR(Dermal_Exp[[#This Row],[High-End AD (mg/kg-day)]]*IF(Dermal_Exp[[#This Row],[ED_High-End]]&gt;EFID,EFID,Dermal_Exp[[#This Row],[ED_High-End]])/ID,"Not Assessed")</f>
        <v>0.92034861111111099</v>
      </c>
      <c r="M21" s="438">
        <f>IFERROR(Dermal_Exp[[#This Row],[Central Tendency AD (mg/kg-day)]]*IF(Dermal_Exp[[#This Row],[ED_Central Tendency]]&gt;EFID,EFID,Dermal_Exp[[#This Row],[ED_Central Tendency]])/ID,"Not Assessed")</f>
        <v>0.92034861111111099</v>
      </c>
      <c r="N21" s="351">
        <f>IFERROR(Dermal_Exp[[#This Row],[High-End AD (mg/kg-day)]]*Dermal_Exp[[#This Row],[ED_High-End]]*WY_high/(365*WY_high),"Not Assessed")</f>
        <v>0.859603310502283</v>
      </c>
      <c r="O21" s="351">
        <f>IFERROR(Dermal_Exp[[#This Row],[Central Tendency AD (mg/kg-day)]]*Dermal_Exp[[#This Row],[ED_Central Tendency]]*WY_mid/(365*WY_mid),"Not Assessed")</f>
        <v>0.79771187214611861</v>
      </c>
      <c r="P21" s="351">
        <f>IFERROR(Dermal_Exp[[#This Row],[High-End AD (mg/kg-day)]]*Dermal_Exp[[#This Row],[ED_High-End]]*WY_high/(365*LT),"Not Assessed")</f>
        <v>0.44082221051399129</v>
      </c>
      <c r="Q21" s="439">
        <f>IFERROR(Dermal_Exp[[#This Row],[Central Tendency AD (mg/kg-day)]]*Dermal_Exp[[#This Row],[ED_Central Tendency]]*WY_mid/(365*LT),"Not Assessed")</f>
        <v>0.31703933380166255</v>
      </c>
    </row>
    <row r="22" spans="1:17" ht="15" x14ac:dyDescent="0.2">
      <c r="A22" s="441">
        <v>3</v>
      </c>
      <c r="B22" s="341" t="s">
        <v>255</v>
      </c>
      <c r="C22" s="436" t="s">
        <v>197</v>
      </c>
      <c r="D22" s="330">
        <v>250</v>
      </c>
      <c r="E22" s="330">
        <v>250</v>
      </c>
      <c r="F22" s="331">
        <v>2.5100416666666665</v>
      </c>
      <c r="G22" s="331">
        <v>1.2550208333333333</v>
      </c>
      <c r="H22" s="331"/>
      <c r="I22" s="331"/>
      <c r="J22" s="437">
        <f>IF(Dermal_Exp[[#This Row],[Worker Type]]&lt;&gt;"",(Dermal_Exp[[#This Row],[High-End Exposure to Liquid]]+Dermal_Exp[[#This Row],[High-End Exposure to Solids]]),"Not Assessed")</f>
        <v>2.5100416666666665</v>
      </c>
      <c r="K22" s="351">
        <f>IF(Dermal_Exp[[#This Row],[Worker Type]]&lt;&gt;"",(Dermal_Exp[[#This Row],[ Central Tendency Exposure to Liquids]]+Dermal_Exp[[#This Row],[Central Tendency  Exposure to Solids]]),"Not Assessed")</f>
        <v>1.2550208333333333</v>
      </c>
      <c r="L22" s="438">
        <f>IFERROR(Dermal_Exp[[#This Row],[High-End AD (mg/kg-day)]]*IF(Dermal_Exp[[#This Row],[ED_High-End]]&gt;EFID,EFID,Dermal_Exp[[#This Row],[ED_High-End]])/ID,"Not Assessed")</f>
        <v>1.840697222222222</v>
      </c>
      <c r="M22" s="438">
        <f>IFERROR(Dermal_Exp[[#This Row],[Central Tendency AD (mg/kg-day)]]*IF(Dermal_Exp[[#This Row],[ED_Central Tendency]]&gt;EFID,EFID,Dermal_Exp[[#This Row],[ED_Central Tendency]])/ID,"Not Assessed")</f>
        <v>0.92034861111111099</v>
      </c>
      <c r="N22" s="440">
        <f>IFERROR(Dermal_Exp[[#This Row],[High-End AD (mg/kg-day)]]*Dermal_Exp[[#This Row],[ED_High-End]]*WY_high/(365*WY_high),"Not Assessed")</f>
        <v>1.719206621004566</v>
      </c>
      <c r="O22" s="440">
        <f>IFERROR(Dermal_Exp[[#This Row],[Central Tendency AD (mg/kg-day)]]*Dermal_Exp[[#This Row],[ED_Central Tendency]]*WY_mid/(365*WY_mid),"Not Assessed")</f>
        <v>0.859603310502283</v>
      </c>
      <c r="P22" s="440">
        <f>IFERROR(Dermal_Exp[[#This Row],[High-End AD (mg/kg-day)]]*Dermal_Exp[[#This Row],[ED_High-End]]*WY_high/(365*LT),"Not Assessed")</f>
        <v>0.88164442102798257</v>
      </c>
      <c r="Q22" s="439">
        <f>IFERROR(Dermal_Exp[[#This Row],[Central Tendency AD (mg/kg-day)]]*Dermal_Exp[[#This Row],[ED_Central Tendency]]*WY_mid/(365*LT),"Not Assessed")</f>
        <v>0.34163721314834322</v>
      </c>
    </row>
    <row r="23" spans="1:17" ht="15" x14ac:dyDescent="0.2">
      <c r="A23" s="441">
        <v>3</v>
      </c>
      <c r="B23" s="341" t="s">
        <v>255</v>
      </c>
      <c r="C23" s="436" t="s">
        <v>72</v>
      </c>
      <c r="D23" s="330">
        <v>250</v>
      </c>
      <c r="E23" s="330">
        <v>250</v>
      </c>
      <c r="F23" s="331">
        <v>2.3069521178637196</v>
      </c>
      <c r="G23" s="331">
        <v>1.1534760589318598</v>
      </c>
      <c r="H23" s="331"/>
      <c r="I23" s="331"/>
      <c r="J23" s="437">
        <f>IF(Dermal_Exp[[#This Row],[Worker Type]]&lt;&gt;"",(Dermal_Exp[[#This Row],[High-End Exposure to Liquid]]+Dermal_Exp[[#This Row],[High-End Exposure to Solids]]),"Not Assessed")</f>
        <v>2.3069521178637196</v>
      </c>
      <c r="K23" s="351">
        <f>IF(Dermal_Exp[[#This Row],[Worker Type]]&lt;&gt;"",(Dermal_Exp[[#This Row],[ Central Tendency Exposure to Liquids]]+Dermal_Exp[[#This Row],[Central Tendency  Exposure to Solids]]),"Not Assessed")</f>
        <v>1.1534760589318598</v>
      </c>
      <c r="L23" s="438">
        <f>IFERROR(Dermal_Exp[[#This Row],[High-End AD (mg/kg-day)]]*IF(Dermal_Exp[[#This Row],[ED_High-End]]&gt;EFID,EFID,Dermal_Exp[[#This Row],[ED_High-End]])/ID,"Not Assessed")</f>
        <v>1.6917648864333943</v>
      </c>
      <c r="M23" s="438">
        <f>IFERROR(Dermal_Exp[[#This Row],[Central Tendency AD (mg/kg-day)]]*IF(Dermal_Exp[[#This Row],[ED_Central Tendency]]&gt;EFID,EFID,Dermal_Exp[[#This Row],[ED_Central Tendency]])/ID,"Not Assessed")</f>
        <v>0.84588244321669714</v>
      </c>
      <c r="N23" s="351">
        <f>IFERROR(Dermal_Exp[[#This Row],[High-End AD (mg/kg-day)]]*Dermal_Exp[[#This Row],[ED_High-End]]*WY_high/(365*WY_high),"Not Assessed")</f>
        <v>1.5801041903176161</v>
      </c>
      <c r="O23" s="351">
        <f>IFERROR(Dermal_Exp[[#This Row],[Central Tendency AD (mg/kg-day)]]*Dermal_Exp[[#This Row],[ED_Central Tendency]]*WY_mid/(365*WY_mid),"Not Assessed")</f>
        <v>0.79005209515880803</v>
      </c>
      <c r="P23" s="351">
        <f>IFERROR(Dermal_Exp[[#This Row],[High-End AD (mg/kg-day)]]*Dermal_Exp[[#This Row],[ED_High-End]]*WY_high/(365*LT),"Not Assessed")</f>
        <v>0.81030984118852112</v>
      </c>
      <c r="Q23" s="439">
        <f>IFERROR(Dermal_Exp[[#This Row],[Central Tendency AD (mg/kg-day)]]*Dermal_Exp[[#This Row],[ED_Central Tendency]]*WY_mid/(365*LT),"Not Assessed")</f>
        <v>0.31399506346055195</v>
      </c>
    </row>
    <row r="24" spans="1:17" ht="15" x14ac:dyDescent="0.2">
      <c r="A24" s="441">
        <v>3</v>
      </c>
      <c r="B24" s="341" t="s">
        <v>255</v>
      </c>
      <c r="C24" s="436" t="s">
        <v>92</v>
      </c>
      <c r="D24" s="330">
        <v>250</v>
      </c>
      <c r="E24" s="330">
        <v>250</v>
      </c>
      <c r="F24" s="331">
        <v>0.93625000000000003</v>
      </c>
      <c r="G24" s="331">
        <v>0.93625000000000003</v>
      </c>
      <c r="H24" s="331"/>
      <c r="I24" s="331"/>
      <c r="J24" s="437">
        <f>IF(Dermal_Exp[[#This Row],[Worker Type]]&lt;&gt;"",(Dermal_Exp[[#This Row],[High-End Exposure to Liquid]]+Dermal_Exp[[#This Row],[High-End Exposure to Solids]]),"Not Assessed")</f>
        <v>0.93625000000000003</v>
      </c>
      <c r="K24" s="351">
        <f>IF(Dermal_Exp[[#This Row],[Worker Type]]&lt;&gt;"",(Dermal_Exp[[#This Row],[ Central Tendency Exposure to Liquids]]+Dermal_Exp[[#This Row],[Central Tendency  Exposure to Solids]]),"Not Assessed")</f>
        <v>0.93625000000000003</v>
      </c>
      <c r="L24" s="438">
        <f>IFERROR(Dermal_Exp[[#This Row],[High-End AD (mg/kg-day)]]*IF(Dermal_Exp[[#This Row],[ED_High-End]]&gt;EFID,EFID,Dermal_Exp[[#This Row],[ED_High-End]])/ID,"Not Assessed")</f>
        <v>0.68658333333333332</v>
      </c>
      <c r="M24" s="438">
        <f>IFERROR(Dermal_Exp[[#This Row],[Central Tendency AD (mg/kg-day)]]*IF(Dermal_Exp[[#This Row],[ED_Central Tendency]]&gt;EFID,EFID,Dermal_Exp[[#This Row],[ED_Central Tendency]])/ID,"Not Assessed")</f>
        <v>0.68658333333333332</v>
      </c>
      <c r="N24" s="440">
        <f>IFERROR(Dermal_Exp[[#This Row],[High-End AD (mg/kg-day)]]*Dermal_Exp[[#This Row],[ED_High-End]]*WY_high/(365*WY_high),"Not Assessed")</f>
        <v>0.64126712328767121</v>
      </c>
      <c r="O24" s="440">
        <f>IFERROR(Dermal_Exp[[#This Row],[Central Tendency AD (mg/kg-day)]]*Dermal_Exp[[#This Row],[ED_Central Tendency]]*WY_mid/(365*WY_mid),"Not Assessed")</f>
        <v>0.64126712328767121</v>
      </c>
      <c r="P24" s="440">
        <f>IFERROR(Dermal_Exp[[#This Row],[High-End AD (mg/kg-day)]]*Dermal_Exp[[#This Row],[ED_High-End]]*WY_high/(365*LT),"Not Assessed")</f>
        <v>0.32885493501931856</v>
      </c>
      <c r="Q24" s="439">
        <f>IFERROR(Dermal_Exp[[#This Row],[Central Tendency AD (mg/kg-day)]]*Dermal_Exp[[#This Row],[ED_Central Tendency]]*WY_mid/(365*LT),"Not Assessed")</f>
        <v>0.25486257463997192</v>
      </c>
    </row>
    <row r="25" spans="1:17" ht="15" x14ac:dyDescent="0.2">
      <c r="A25" s="441">
        <v>4</v>
      </c>
      <c r="B25" s="341" t="s">
        <v>216</v>
      </c>
      <c r="C25" s="436" t="s">
        <v>197</v>
      </c>
      <c r="D25" s="330">
        <v>250</v>
      </c>
      <c r="E25" s="330">
        <v>250</v>
      </c>
      <c r="F25" s="331">
        <v>2.5100416666666665</v>
      </c>
      <c r="G25" s="331">
        <v>0.93625000000000003</v>
      </c>
      <c r="H25" s="331"/>
      <c r="I25" s="331"/>
      <c r="J25" s="437">
        <f>IF(Dermal_Exp[[#This Row],[Worker Type]]&lt;&gt;"",(Dermal_Exp[[#This Row],[High-End Exposure to Liquid]]+Dermal_Exp[[#This Row],[High-End Exposure to Solids]]),"Not Assessed")</f>
        <v>2.5100416666666665</v>
      </c>
      <c r="K25" s="351">
        <f>IF(Dermal_Exp[[#This Row],[Worker Type]]&lt;&gt;"",(Dermal_Exp[[#This Row],[ Central Tendency Exposure to Liquids]]+Dermal_Exp[[#This Row],[Central Tendency  Exposure to Solids]]),"Not Assessed")</f>
        <v>0.93625000000000003</v>
      </c>
      <c r="L25" s="438">
        <f>IFERROR(Dermal_Exp[[#This Row],[High-End AD (mg/kg-day)]]*IF(Dermal_Exp[[#This Row],[ED_High-End]]&gt;EFID,EFID,Dermal_Exp[[#This Row],[ED_High-End]])/ID,"Not Assessed")</f>
        <v>1.840697222222222</v>
      </c>
      <c r="M25" s="438">
        <f>IFERROR(Dermal_Exp[[#This Row],[Central Tendency AD (mg/kg-day)]]*IF(Dermal_Exp[[#This Row],[ED_Central Tendency]]&gt;EFID,EFID,Dermal_Exp[[#This Row],[ED_Central Tendency]])/ID,"Not Assessed")</f>
        <v>0.68658333333333332</v>
      </c>
      <c r="N25" s="351">
        <f>IFERROR(Dermal_Exp[[#This Row],[High-End AD (mg/kg-day)]]*Dermal_Exp[[#This Row],[ED_High-End]]*WY_high/(365*WY_high),"Not Assessed")</f>
        <v>1.719206621004566</v>
      </c>
      <c r="O25" s="351">
        <f>IFERROR(Dermal_Exp[[#This Row],[Central Tendency AD (mg/kg-day)]]*Dermal_Exp[[#This Row],[ED_Central Tendency]]*WY_mid/(365*WY_mid),"Not Assessed")</f>
        <v>0.64126712328767121</v>
      </c>
      <c r="P25" s="351">
        <f>IFERROR(Dermal_Exp[[#This Row],[High-End AD (mg/kg-day)]]*Dermal_Exp[[#This Row],[ED_High-End]]*WY_high/(365*LT),"Not Assessed")</f>
        <v>0.88164442102798257</v>
      </c>
      <c r="Q25" s="439">
        <f>IFERROR(Dermal_Exp[[#This Row],[Central Tendency AD (mg/kg-day)]]*Dermal_Exp[[#This Row],[ED_Central Tendency]]*WY_mid/(365*LT),"Not Assessed")</f>
        <v>0.25486257463997192</v>
      </c>
    </row>
    <row r="26" spans="1:17" ht="15" x14ac:dyDescent="0.2">
      <c r="A26" s="441">
        <v>4</v>
      </c>
      <c r="B26" s="341" t="s">
        <v>216</v>
      </c>
      <c r="C26" s="436" t="s">
        <v>72</v>
      </c>
      <c r="D26" s="330">
        <v>250</v>
      </c>
      <c r="E26" s="330">
        <v>250</v>
      </c>
      <c r="F26" s="331">
        <v>2.3069521178637196</v>
      </c>
      <c r="G26" s="331">
        <v>0.86049723756906071</v>
      </c>
      <c r="H26" s="331"/>
      <c r="I26" s="331"/>
      <c r="J26" s="437">
        <f>IF(Dermal_Exp[[#This Row],[Worker Type]]&lt;&gt;"",(Dermal_Exp[[#This Row],[High-End Exposure to Liquid]]+Dermal_Exp[[#This Row],[High-End Exposure to Solids]]),"Not Assessed")</f>
        <v>2.3069521178637196</v>
      </c>
      <c r="K26" s="351">
        <f>IF(Dermal_Exp[[#This Row],[Worker Type]]&lt;&gt;"",(Dermal_Exp[[#This Row],[ Central Tendency Exposure to Liquids]]+Dermal_Exp[[#This Row],[Central Tendency  Exposure to Solids]]),"Not Assessed")</f>
        <v>0.86049723756906071</v>
      </c>
      <c r="L26" s="438">
        <f>IFERROR(Dermal_Exp[[#This Row],[High-End AD (mg/kg-day)]]*IF(Dermal_Exp[[#This Row],[ED_High-End]]&gt;EFID,EFID,Dermal_Exp[[#This Row],[ED_High-End]])/ID,"Not Assessed")</f>
        <v>1.6917648864333943</v>
      </c>
      <c r="M26" s="438">
        <f>IFERROR(Dermal_Exp[[#This Row],[Central Tendency AD (mg/kg-day)]]*IF(Dermal_Exp[[#This Row],[ED_Central Tendency]]&gt;EFID,EFID,Dermal_Exp[[#This Row],[ED_Central Tendency]])/ID,"Not Assessed")</f>
        <v>0.63103130755064452</v>
      </c>
      <c r="N26" s="440">
        <f>IFERROR(Dermal_Exp[[#This Row],[High-End AD (mg/kg-day)]]*Dermal_Exp[[#This Row],[ED_High-End]]*WY_high/(365*WY_high),"Not Assessed")</f>
        <v>1.5801041903176161</v>
      </c>
      <c r="O26" s="440">
        <f>IFERROR(Dermal_Exp[[#This Row],[Central Tendency AD (mg/kg-day)]]*Dermal_Exp[[#This Row],[ED_Central Tendency]]*WY_mid/(365*WY_mid),"Not Assessed")</f>
        <v>0.58938166956784988</v>
      </c>
      <c r="P26" s="440">
        <f>IFERROR(Dermal_Exp[[#This Row],[High-End AD (mg/kg-day)]]*Dermal_Exp[[#This Row],[ED_High-End]]*WY_high/(365*LT),"Not Assessed")</f>
        <v>0.81030984118852112</v>
      </c>
      <c r="Q26" s="439">
        <f>IFERROR(Dermal_Exp[[#This Row],[Central Tendency AD (mg/kg-day)]]*Dermal_Exp[[#This Row],[ED_Central Tendency]]*WY_mid/(365*LT),"Not Assessed")</f>
        <v>0.23424143277696596</v>
      </c>
    </row>
    <row r="27" spans="1:17" ht="15" x14ac:dyDescent="0.2">
      <c r="A27" s="441">
        <v>4</v>
      </c>
      <c r="B27" s="341" t="s">
        <v>213</v>
      </c>
      <c r="C27" s="436" t="s">
        <v>197</v>
      </c>
      <c r="D27" s="330">
        <v>250</v>
      </c>
      <c r="E27" s="330">
        <v>250</v>
      </c>
      <c r="F27" s="331"/>
      <c r="G27" s="331"/>
      <c r="H27" s="331">
        <v>3.3886760250110698E-2</v>
      </c>
      <c r="I27" s="331">
        <v>1.6943380125055349E-2</v>
      </c>
      <c r="J27" s="437">
        <f>IF(Dermal_Exp[[#This Row],[Worker Type]]&lt;&gt;"",(Dermal_Exp[[#This Row],[High-End Exposure to Liquid]]+Dermal_Exp[[#This Row],[High-End Exposure to Solids]]),"Not Assessed")</f>
        <v>3.3886760250110698E-2</v>
      </c>
      <c r="K27" s="351">
        <f>IF(Dermal_Exp[[#This Row],[Worker Type]]&lt;&gt;"",(Dermal_Exp[[#This Row],[ Central Tendency Exposure to Liquids]]+Dermal_Exp[[#This Row],[Central Tendency  Exposure to Solids]]),"Not Assessed")</f>
        <v>1.6943380125055349E-2</v>
      </c>
      <c r="L27" s="438">
        <f>IFERROR(Dermal_Exp[[#This Row],[High-End AD (mg/kg-day)]]*IF(Dermal_Exp[[#This Row],[ED_High-End]]&gt;EFID,EFID,Dermal_Exp[[#This Row],[ED_High-End]])/ID,"Not Assessed")</f>
        <v>2.4850290850081176E-2</v>
      </c>
      <c r="M27" s="438">
        <f>IFERROR(Dermal_Exp[[#This Row],[Central Tendency AD (mg/kg-day)]]*IF(Dermal_Exp[[#This Row],[ED_Central Tendency]]&gt;EFID,EFID,Dermal_Exp[[#This Row],[ED_Central Tendency]])/ID,"Not Assessed")</f>
        <v>1.2425145425040588E-2</v>
      </c>
      <c r="N27" s="440">
        <f>IFERROR(Dermal_Exp[[#This Row],[High-End AD (mg/kg-day)]]*Dermal_Exp[[#This Row],[ED_High-End]]*WY_high/(365*WY_high),"Not Assessed")</f>
        <v>2.321010976034979E-2</v>
      </c>
      <c r="O27" s="440">
        <f>IFERROR(Dermal_Exp[[#This Row],[Central Tendency AD (mg/kg-day)]]*Dermal_Exp[[#This Row],[ED_Central Tendency]]*WY_mid/(365*WY_mid),"Not Assessed")</f>
        <v>1.1605054880174897E-2</v>
      </c>
      <c r="P27" s="440">
        <f>IFERROR(Dermal_Exp[[#This Row],[High-End AD (mg/kg-day)]]*Dermal_Exp[[#This Row],[ED_High-End]]*WY_high/(365*LT),"Not Assessed")</f>
        <v>1.190262038992297E-2</v>
      </c>
      <c r="Q27" s="439">
        <f>IFERROR(Dermal_Exp[[#This Row],[Central Tendency AD (mg/kg-day)]]*Dermal_Exp[[#This Row],[ED_Central Tendency]]*WY_mid/(365*LT),"Not Assessed")</f>
        <v>4.612265401095151E-3</v>
      </c>
    </row>
    <row r="28" spans="1:17" ht="15" x14ac:dyDescent="0.2">
      <c r="A28" s="441">
        <v>4</v>
      </c>
      <c r="B28" s="341" t="s">
        <v>213</v>
      </c>
      <c r="C28" s="436" t="s">
        <v>72</v>
      </c>
      <c r="D28" s="330">
        <v>250</v>
      </c>
      <c r="E28" s="330">
        <v>250</v>
      </c>
      <c r="F28" s="331"/>
      <c r="G28" s="331"/>
      <c r="H28" s="331">
        <v>3.1144954430318089E-2</v>
      </c>
      <c r="I28" s="331">
        <v>1.5572477215159045E-2</v>
      </c>
      <c r="J28" s="437">
        <f>IF(Dermal_Exp[[#This Row],[Worker Type]]&lt;&gt;"",(Dermal_Exp[[#This Row],[High-End Exposure to Liquid]]+Dermal_Exp[[#This Row],[High-End Exposure to Solids]]),"Not Assessed")</f>
        <v>3.1144954430318089E-2</v>
      </c>
      <c r="K28" s="351">
        <f>IF(Dermal_Exp[[#This Row],[Worker Type]]&lt;&gt;"",(Dermal_Exp[[#This Row],[ Central Tendency Exposure to Liquids]]+Dermal_Exp[[#This Row],[Central Tendency  Exposure to Solids]]),"Not Assessed")</f>
        <v>1.5572477215159045E-2</v>
      </c>
      <c r="L28" s="438">
        <f>IFERROR(Dermal_Exp[[#This Row],[High-End AD (mg/kg-day)]]*IF(Dermal_Exp[[#This Row],[ED_High-End]]&gt;EFID,EFID,Dermal_Exp[[#This Row],[ED_High-End]])/ID,"Not Assessed")</f>
        <v>2.2839633248899933E-2</v>
      </c>
      <c r="M28" s="438">
        <f>IFERROR(Dermal_Exp[[#This Row],[Central Tendency AD (mg/kg-day)]]*IF(Dermal_Exp[[#This Row],[ED_Central Tendency]]&gt;EFID,EFID,Dermal_Exp[[#This Row],[ED_Central Tendency]])/ID,"Not Assessed")</f>
        <v>1.1419816624449967E-2</v>
      </c>
      <c r="N28" s="351">
        <f>IFERROR(Dermal_Exp[[#This Row],[High-End AD (mg/kg-day)]]*Dermal_Exp[[#This Row],[ED_High-End]]*WY_high/(365*WY_high),"Not Assessed")</f>
        <v>2.1332160568711022E-2</v>
      </c>
      <c r="O28" s="351">
        <f>IFERROR(Dermal_Exp[[#This Row],[Central Tendency AD (mg/kg-day)]]*Dermal_Exp[[#This Row],[ED_Central Tendency]]*WY_mid/(365*WY_mid),"Not Assessed")</f>
        <v>1.0666080284355511E-2</v>
      </c>
      <c r="P28" s="351">
        <f>IFERROR(Dermal_Exp[[#This Row],[High-End AD (mg/kg-day)]]*Dermal_Exp[[#This Row],[ED_High-End]]*WY_high/(365*LT),"Not Assessed")</f>
        <v>1.0939569522415909E-2</v>
      </c>
      <c r="Q28" s="439">
        <f>IFERROR(Dermal_Exp[[#This Row],[Central Tendency AD (mg/kg-day)]]*Dermal_Exp[[#This Row],[ED_Central Tendency]]*WY_mid/(365*LT),"Not Assessed")</f>
        <v>4.2390831899361643E-3</v>
      </c>
    </row>
    <row r="29" spans="1:17" ht="15" x14ac:dyDescent="0.2">
      <c r="A29" s="441">
        <v>4</v>
      </c>
      <c r="B29" s="341" t="s">
        <v>213</v>
      </c>
      <c r="C29" s="436" t="s">
        <v>92</v>
      </c>
      <c r="D29" s="330">
        <v>250</v>
      </c>
      <c r="E29" s="330">
        <v>250</v>
      </c>
      <c r="F29" s="331"/>
      <c r="G29" s="331"/>
      <c r="H29" s="331">
        <v>1.6943380125055349E-2</v>
      </c>
      <c r="I29" s="331">
        <v>1.6943380125055349E-2</v>
      </c>
      <c r="J29" s="437">
        <f>IF(Dermal_Exp[[#This Row],[Worker Type]]&lt;&gt;"",(Dermal_Exp[[#This Row],[High-End Exposure to Liquid]]+Dermal_Exp[[#This Row],[High-End Exposure to Solids]]),"Not Assessed")</f>
        <v>1.6943380125055349E-2</v>
      </c>
      <c r="K29" s="351">
        <f>IF(Dermal_Exp[[#This Row],[Worker Type]]&lt;&gt;"",(Dermal_Exp[[#This Row],[ Central Tendency Exposure to Liquids]]+Dermal_Exp[[#This Row],[Central Tendency  Exposure to Solids]]),"Not Assessed")</f>
        <v>1.6943380125055349E-2</v>
      </c>
      <c r="L29" s="438">
        <f>IFERROR(Dermal_Exp[[#This Row],[High-End AD (mg/kg-day)]]*IF(Dermal_Exp[[#This Row],[ED_High-End]]&gt;EFID,EFID,Dermal_Exp[[#This Row],[ED_High-End]])/ID,"Not Assessed")</f>
        <v>1.2425145425040588E-2</v>
      </c>
      <c r="M29" s="438">
        <f>IFERROR(Dermal_Exp[[#This Row],[Central Tendency AD (mg/kg-day)]]*IF(Dermal_Exp[[#This Row],[ED_Central Tendency]]&gt;EFID,EFID,Dermal_Exp[[#This Row],[ED_Central Tendency]])/ID,"Not Assessed")</f>
        <v>1.2425145425040588E-2</v>
      </c>
      <c r="N29" s="440">
        <f>IFERROR(Dermal_Exp[[#This Row],[High-End AD (mg/kg-day)]]*Dermal_Exp[[#This Row],[ED_High-End]]*WY_high/(365*WY_high),"Not Assessed")</f>
        <v>1.1605054880174895E-2</v>
      </c>
      <c r="O29" s="440">
        <f>IFERROR(Dermal_Exp[[#This Row],[Central Tendency AD (mg/kg-day)]]*Dermal_Exp[[#This Row],[ED_Central Tendency]]*WY_mid/(365*WY_mid),"Not Assessed")</f>
        <v>1.1605054880174897E-2</v>
      </c>
      <c r="P29" s="440">
        <f>IFERROR(Dermal_Exp[[#This Row],[High-End AD (mg/kg-day)]]*Dermal_Exp[[#This Row],[ED_High-End]]*WY_high/(365*LT),"Not Assessed")</f>
        <v>5.9513101949614849E-3</v>
      </c>
      <c r="Q29" s="439">
        <f>IFERROR(Dermal_Exp[[#This Row],[Central Tendency AD (mg/kg-day)]]*Dermal_Exp[[#This Row],[ED_Central Tendency]]*WY_mid/(365*LT),"Not Assessed")</f>
        <v>4.612265401095151E-3</v>
      </c>
    </row>
    <row r="30" spans="1:17" ht="15" x14ac:dyDescent="0.2">
      <c r="A30" s="441">
        <v>4</v>
      </c>
      <c r="B30" s="341" t="s">
        <v>218</v>
      </c>
      <c r="C30" s="436" t="s">
        <v>197</v>
      </c>
      <c r="D30" s="330">
        <v>250</v>
      </c>
      <c r="E30" s="330">
        <v>250</v>
      </c>
      <c r="F30" s="331">
        <v>2.5100416666666665</v>
      </c>
      <c r="G30" s="331">
        <v>1.2550208333333333</v>
      </c>
      <c r="H30" s="331"/>
      <c r="I30" s="331"/>
      <c r="J30" s="437">
        <f>IF(Dermal_Exp[[#This Row],[Worker Type]]&lt;&gt;"",(Dermal_Exp[[#This Row],[High-End Exposure to Liquid]]+Dermal_Exp[[#This Row],[High-End Exposure to Solids]]),"Not Assessed")</f>
        <v>2.5100416666666665</v>
      </c>
      <c r="K30" s="351">
        <f>IF(Dermal_Exp[[#This Row],[Worker Type]]&lt;&gt;"",(Dermal_Exp[[#This Row],[ Central Tendency Exposure to Liquids]]+Dermal_Exp[[#This Row],[Central Tendency  Exposure to Solids]]),"Not Assessed")</f>
        <v>1.2550208333333333</v>
      </c>
      <c r="L30" s="438">
        <f>IFERROR(Dermal_Exp[[#This Row],[High-End AD (mg/kg-day)]]*IF(Dermal_Exp[[#This Row],[ED_High-End]]&gt;EFID,EFID,Dermal_Exp[[#This Row],[ED_High-End]])/ID,"Not Assessed")</f>
        <v>1.840697222222222</v>
      </c>
      <c r="M30" s="438">
        <f>IFERROR(Dermal_Exp[[#This Row],[Central Tendency AD (mg/kg-day)]]*IF(Dermal_Exp[[#This Row],[ED_Central Tendency]]&gt;EFID,EFID,Dermal_Exp[[#This Row],[ED_Central Tendency]])/ID,"Not Assessed")</f>
        <v>0.92034861111111099</v>
      </c>
      <c r="N30" s="440">
        <f>IFERROR(Dermal_Exp[[#This Row],[High-End AD (mg/kg-day)]]*Dermal_Exp[[#This Row],[ED_High-End]]*WY_high/(365*WY_high),"Not Assessed")</f>
        <v>1.719206621004566</v>
      </c>
      <c r="O30" s="440">
        <f>IFERROR(Dermal_Exp[[#This Row],[Central Tendency AD (mg/kg-day)]]*Dermal_Exp[[#This Row],[ED_Central Tendency]]*WY_mid/(365*WY_mid),"Not Assessed")</f>
        <v>0.859603310502283</v>
      </c>
      <c r="P30" s="440">
        <f>IFERROR(Dermal_Exp[[#This Row],[High-End AD (mg/kg-day)]]*Dermal_Exp[[#This Row],[ED_High-End]]*WY_high/(365*LT),"Not Assessed")</f>
        <v>0.88164442102798257</v>
      </c>
      <c r="Q30" s="439">
        <f>IFERROR(Dermal_Exp[[#This Row],[Central Tendency AD (mg/kg-day)]]*Dermal_Exp[[#This Row],[ED_Central Tendency]]*WY_mid/(365*LT),"Not Assessed")</f>
        <v>0.34163721314834322</v>
      </c>
    </row>
    <row r="31" spans="1:17" ht="15" x14ac:dyDescent="0.2">
      <c r="A31" s="441">
        <v>4</v>
      </c>
      <c r="B31" s="341" t="s">
        <v>218</v>
      </c>
      <c r="C31" s="436" t="s">
        <v>72</v>
      </c>
      <c r="D31" s="330">
        <v>250</v>
      </c>
      <c r="E31" s="330">
        <v>250</v>
      </c>
      <c r="F31" s="331">
        <v>2.3069521178637196</v>
      </c>
      <c r="G31" s="331">
        <v>1.1534760589318598</v>
      </c>
      <c r="H31" s="331"/>
      <c r="I31" s="331"/>
      <c r="J31" s="437">
        <f>IF(Dermal_Exp[[#This Row],[Worker Type]]&lt;&gt;"",(Dermal_Exp[[#This Row],[High-End Exposure to Liquid]]+Dermal_Exp[[#This Row],[High-End Exposure to Solids]]),"Not Assessed")</f>
        <v>2.3069521178637196</v>
      </c>
      <c r="K31" s="351">
        <f>IF(Dermal_Exp[[#This Row],[Worker Type]]&lt;&gt;"",(Dermal_Exp[[#This Row],[ Central Tendency Exposure to Liquids]]+Dermal_Exp[[#This Row],[Central Tendency  Exposure to Solids]]),"Not Assessed")</f>
        <v>1.1534760589318598</v>
      </c>
      <c r="L31" s="438">
        <f>IFERROR(Dermal_Exp[[#This Row],[High-End AD (mg/kg-day)]]*IF(Dermal_Exp[[#This Row],[ED_High-End]]&gt;EFID,EFID,Dermal_Exp[[#This Row],[ED_High-End]])/ID,"Not Assessed")</f>
        <v>1.6917648864333943</v>
      </c>
      <c r="M31" s="438">
        <f>IFERROR(Dermal_Exp[[#This Row],[Central Tendency AD (mg/kg-day)]]*IF(Dermal_Exp[[#This Row],[ED_Central Tendency]]&gt;EFID,EFID,Dermal_Exp[[#This Row],[ED_Central Tendency]])/ID,"Not Assessed")</f>
        <v>0.84588244321669714</v>
      </c>
      <c r="N31" s="351">
        <f>IFERROR(Dermal_Exp[[#This Row],[High-End AD (mg/kg-day)]]*Dermal_Exp[[#This Row],[ED_High-End]]*WY_high/(365*WY_high),"Not Assessed")</f>
        <v>1.5801041903176161</v>
      </c>
      <c r="O31" s="351">
        <f>IFERROR(Dermal_Exp[[#This Row],[Central Tendency AD (mg/kg-day)]]*Dermal_Exp[[#This Row],[ED_Central Tendency]]*WY_mid/(365*WY_mid),"Not Assessed")</f>
        <v>0.79005209515880803</v>
      </c>
      <c r="P31" s="351">
        <f>IFERROR(Dermal_Exp[[#This Row],[High-End AD (mg/kg-day)]]*Dermal_Exp[[#This Row],[ED_High-End]]*WY_high/(365*LT),"Not Assessed")</f>
        <v>0.81030984118852112</v>
      </c>
      <c r="Q31" s="439">
        <f>IFERROR(Dermal_Exp[[#This Row],[Central Tendency AD (mg/kg-day)]]*Dermal_Exp[[#This Row],[ED_Central Tendency]]*WY_mid/(365*LT),"Not Assessed")</f>
        <v>0.31399506346055195</v>
      </c>
    </row>
    <row r="32" spans="1:17" ht="15" x14ac:dyDescent="0.2">
      <c r="A32" s="441">
        <v>4</v>
      </c>
      <c r="B32" s="341" t="s">
        <v>219</v>
      </c>
      <c r="C32" s="436" t="s">
        <v>197</v>
      </c>
      <c r="D32" s="353">
        <v>4</v>
      </c>
      <c r="E32" s="353">
        <v>2</v>
      </c>
      <c r="F32" s="331">
        <v>2.1065624999999999</v>
      </c>
      <c r="G32" s="331">
        <v>0.70218749999999996</v>
      </c>
      <c r="H32" s="331"/>
      <c r="I32" s="331"/>
      <c r="J32" s="437">
        <f>IF(Dermal_Exp[[#This Row],[Worker Type]]&lt;&gt;"",(Dermal_Exp[[#This Row],[High-End Exposure to Liquid]]+Dermal_Exp[[#This Row],[High-End Exposure to Solids]]),"Not Assessed")</f>
        <v>2.1065624999999999</v>
      </c>
      <c r="K32" s="351">
        <f>IF(Dermal_Exp[[#This Row],[Worker Type]]&lt;&gt;"",(Dermal_Exp[[#This Row],[ Central Tendency Exposure to Liquids]]+Dermal_Exp[[#This Row],[Central Tendency  Exposure to Solids]]),"Not Assessed")</f>
        <v>0.70218749999999996</v>
      </c>
      <c r="L32" s="438">
        <f>IFERROR(Dermal_Exp[[#This Row],[High-End AD (mg/kg-day)]]*IF(Dermal_Exp[[#This Row],[ED_High-End]]&gt;EFID,EFID,Dermal_Exp[[#This Row],[ED_High-End]])/ID,"Not Assessed")</f>
        <v>0.28087499999999999</v>
      </c>
      <c r="M32" s="438">
        <f>IFERROR(Dermal_Exp[[#This Row],[Central Tendency AD (mg/kg-day)]]*IF(Dermal_Exp[[#This Row],[ED_Central Tendency]]&gt;EFID,EFID,Dermal_Exp[[#This Row],[ED_Central Tendency]])/ID,"Not Assessed")</f>
        <v>4.68125E-2</v>
      </c>
      <c r="N32" s="351">
        <f>IFERROR(Dermal_Exp[[#This Row],[High-End AD (mg/kg-day)]]*Dermal_Exp[[#This Row],[ED_High-End]]*WY_high/(365*WY_high),"Not Assessed")</f>
        <v>2.308561643835616E-2</v>
      </c>
      <c r="O32" s="351">
        <f>IFERROR(Dermal_Exp[[#This Row],[Central Tendency AD (mg/kg-day)]]*Dermal_Exp[[#This Row],[ED_Central Tendency]]*WY_mid/(365*WY_mid),"Not Assessed")</f>
        <v>3.8476027397260268E-3</v>
      </c>
      <c r="P32" s="351">
        <f>IFERROR(Dermal_Exp[[#This Row],[High-End AD (mg/kg-day)]]*Dermal_Exp[[#This Row],[ED_High-End]]*WY_high/(365*LT),"Not Assessed")</f>
        <v>1.1838777660695467E-2</v>
      </c>
      <c r="Q32" s="439">
        <f>IFERROR(Dermal_Exp[[#This Row],[Central Tendency AD (mg/kg-day)]]*Dermal_Exp[[#This Row],[ED_Central Tendency]]*WY_mid/(365*LT),"Not Assessed")</f>
        <v>1.5291754478398312E-3</v>
      </c>
    </row>
    <row r="33" spans="1:17" ht="15" x14ac:dyDescent="0.2">
      <c r="A33" s="441">
        <v>4</v>
      </c>
      <c r="B33" s="341" t="s">
        <v>219</v>
      </c>
      <c r="C33" s="436" t="s">
        <v>72</v>
      </c>
      <c r="D33" s="353">
        <v>4</v>
      </c>
      <c r="E33" s="353">
        <v>2</v>
      </c>
      <c r="F33" s="331">
        <v>1.9361187845303864</v>
      </c>
      <c r="G33" s="331">
        <v>0.64537292817679559</v>
      </c>
      <c r="H33" s="331"/>
      <c r="I33" s="331"/>
      <c r="J33" s="437">
        <f>IF(Dermal_Exp[[#This Row],[Worker Type]]&lt;&gt;"",(Dermal_Exp[[#This Row],[High-End Exposure to Liquid]]+Dermal_Exp[[#This Row],[High-End Exposure to Solids]]),"Not Assessed")</f>
        <v>1.9361187845303864</v>
      </c>
      <c r="K33" s="351">
        <f>IF(Dermal_Exp[[#This Row],[Worker Type]]&lt;&gt;"",(Dermal_Exp[[#This Row],[ Central Tendency Exposure to Liquids]]+Dermal_Exp[[#This Row],[Central Tendency  Exposure to Solids]]),"Not Assessed")</f>
        <v>0.64537292817679559</v>
      </c>
      <c r="L33" s="438">
        <f>IFERROR(Dermal_Exp[[#This Row],[High-End AD (mg/kg-day)]]*IF(Dermal_Exp[[#This Row],[ED_High-End]]&gt;EFID,EFID,Dermal_Exp[[#This Row],[ED_High-End]])/ID,"Not Assessed")</f>
        <v>0.25814917127071818</v>
      </c>
      <c r="M33" s="438">
        <f>IFERROR(Dermal_Exp[[#This Row],[Central Tendency AD (mg/kg-day)]]*IF(Dermal_Exp[[#This Row],[ED_Central Tendency]]&gt;EFID,EFID,Dermal_Exp[[#This Row],[ED_Central Tendency]])/ID,"Not Assessed")</f>
        <v>4.3024861878453037E-2</v>
      </c>
      <c r="N33" s="440">
        <f>IFERROR(Dermal_Exp[[#This Row],[High-End AD (mg/kg-day)]]*Dermal_Exp[[#This Row],[ED_High-End]]*WY_high/(365*WY_high),"Not Assessed")</f>
        <v>2.1217740104442589E-2</v>
      </c>
      <c r="O33" s="440">
        <f>IFERROR(Dermal_Exp[[#This Row],[Central Tendency AD (mg/kg-day)]]*Dermal_Exp[[#This Row],[ED_Central Tendency]]*WY_mid/(365*WY_mid),"Not Assessed")</f>
        <v>3.5362900174070993E-3</v>
      </c>
      <c r="P33" s="440">
        <f>IFERROR(Dermal_Exp[[#This Row],[High-End AD (mg/kg-day)]]*Dermal_Exp[[#This Row],[ED_High-End]]*WY_high/(365*LT),"Not Assessed")</f>
        <v>1.0880892361252611E-2</v>
      </c>
      <c r="Q33" s="439">
        <f>IFERROR(Dermal_Exp[[#This Row],[Central Tendency AD (mg/kg-day)]]*Dermal_Exp[[#This Row],[ED_Central Tendency]]*WY_mid/(365*LT),"Not Assessed")</f>
        <v>1.4054485966617958E-3</v>
      </c>
    </row>
    <row r="34" spans="1:17" ht="15" x14ac:dyDescent="0.2">
      <c r="A34" s="441">
        <v>5</v>
      </c>
      <c r="B34" s="341" t="s">
        <v>221</v>
      </c>
      <c r="C34" s="436" t="s">
        <v>197</v>
      </c>
      <c r="D34" s="355">
        <v>249</v>
      </c>
      <c r="E34" s="356">
        <v>247</v>
      </c>
      <c r="F34" s="331">
        <v>2.5100416666666665</v>
      </c>
      <c r="G34" s="331">
        <v>1.2550208333333333</v>
      </c>
      <c r="H34" s="331"/>
      <c r="I34" s="331"/>
      <c r="J34" s="437">
        <f>IF(Dermal_Exp[[#This Row],[Worker Type]]&lt;&gt;"",(Dermal_Exp[[#This Row],[High-End Exposure to Liquid]]+Dermal_Exp[[#This Row],[High-End Exposure to Solids]]),"Not Assessed")</f>
        <v>2.5100416666666665</v>
      </c>
      <c r="K34" s="351">
        <f>IF(Dermal_Exp[[#This Row],[Worker Type]]&lt;&gt;"",(Dermal_Exp[[#This Row],[ Central Tendency Exposure to Liquids]]+Dermal_Exp[[#This Row],[Central Tendency  Exposure to Solids]]),"Not Assessed")</f>
        <v>1.2550208333333333</v>
      </c>
      <c r="L34" s="438">
        <f>IFERROR(Dermal_Exp[[#This Row],[High-End AD (mg/kg-day)]]*IF(Dermal_Exp[[#This Row],[ED_High-End]]&gt;EFID,EFID,Dermal_Exp[[#This Row],[ED_High-End]])/ID,"Not Assessed")</f>
        <v>1.840697222222222</v>
      </c>
      <c r="M34" s="438">
        <f>IFERROR(Dermal_Exp[[#This Row],[Central Tendency AD (mg/kg-day)]]*IF(Dermal_Exp[[#This Row],[ED_Central Tendency]]&gt;EFID,EFID,Dermal_Exp[[#This Row],[ED_Central Tendency]])/ID,"Not Assessed")</f>
        <v>0.92034861111111099</v>
      </c>
      <c r="N34" s="351">
        <f>IFERROR(Dermal_Exp[[#This Row],[High-End AD (mg/kg-day)]]*Dermal_Exp[[#This Row],[ED_High-End]]*WY_high/(365*WY_high),"Not Assessed")</f>
        <v>1.712329794520548</v>
      </c>
      <c r="O34" s="351">
        <f>IFERROR(Dermal_Exp[[#This Row],[Central Tendency AD (mg/kg-day)]]*Dermal_Exp[[#This Row],[ED_Central Tendency]]*WY_mid/(365*WY_mid),"Not Assessed")</f>
        <v>0.84928807077625568</v>
      </c>
      <c r="P34" s="351">
        <f>IFERROR(Dermal_Exp[[#This Row],[High-End AD (mg/kg-day)]]*Dermal_Exp[[#This Row],[ED_High-End]]*WY_high/(365*LT),"Not Assessed")</f>
        <v>0.87811784334387077</v>
      </c>
      <c r="Q34" s="439">
        <f>IFERROR(Dermal_Exp[[#This Row],[Central Tendency AD (mg/kg-day)]]*Dermal_Exp[[#This Row],[ED_Central Tendency]]*WY_mid/(365*LT),"Not Assessed")</f>
        <v>0.33753756659056317</v>
      </c>
    </row>
    <row r="35" spans="1:17" ht="15" x14ac:dyDescent="0.2">
      <c r="A35" s="441">
        <v>5</v>
      </c>
      <c r="B35" s="341" t="s">
        <v>221</v>
      </c>
      <c r="C35" s="436" t="s">
        <v>72</v>
      </c>
      <c r="D35" s="355">
        <v>249</v>
      </c>
      <c r="E35" s="356">
        <v>247</v>
      </c>
      <c r="F35" s="331">
        <v>2.3069521178637196</v>
      </c>
      <c r="G35" s="331">
        <v>1.1534760589318598</v>
      </c>
      <c r="H35" s="331"/>
      <c r="I35" s="331"/>
      <c r="J35" s="437">
        <f>IF(Dermal_Exp[[#This Row],[Worker Type]]&lt;&gt;"",(Dermal_Exp[[#This Row],[High-End Exposure to Liquid]]+Dermal_Exp[[#This Row],[High-End Exposure to Solids]]),"Not Assessed")</f>
        <v>2.3069521178637196</v>
      </c>
      <c r="K35" s="351">
        <f>IF(Dermal_Exp[[#This Row],[Worker Type]]&lt;&gt;"",(Dermal_Exp[[#This Row],[ Central Tendency Exposure to Liquids]]+Dermal_Exp[[#This Row],[Central Tendency  Exposure to Solids]]),"Not Assessed")</f>
        <v>1.1534760589318598</v>
      </c>
      <c r="L35" s="438">
        <f>IFERROR(Dermal_Exp[[#This Row],[High-End AD (mg/kg-day)]]*IF(Dermal_Exp[[#This Row],[ED_High-End]]&gt;EFID,EFID,Dermal_Exp[[#This Row],[ED_High-End]])/ID,"Not Assessed")</f>
        <v>1.6917648864333943</v>
      </c>
      <c r="M35" s="438">
        <f>IFERROR(Dermal_Exp[[#This Row],[Central Tendency AD (mg/kg-day)]]*IF(Dermal_Exp[[#This Row],[ED_Central Tendency]]&gt;EFID,EFID,Dermal_Exp[[#This Row],[ED_Central Tendency]])/ID,"Not Assessed")</f>
        <v>0.84588244321669714</v>
      </c>
      <c r="N35" s="440">
        <f>IFERROR(Dermal_Exp[[#This Row],[High-End AD (mg/kg-day)]]*Dermal_Exp[[#This Row],[ED_High-End]]*WY_high/(365*WY_high),"Not Assessed")</f>
        <v>1.5737837735563456</v>
      </c>
      <c r="O35" s="440">
        <f>IFERROR(Dermal_Exp[[#This Row],[Central Tendency AD (mg/kg-day)]]*Dermal_Exp[[#This Row],[ED_Central Tendency]]*WY_mid/(365*WY_mid),"Not Assessed")</f>
        <v>0.7805714700169023</v>
      </c>
      <c r="P35" s="440">
        <f>IFERROR(Dermal_Exp[[#This Row],[High-End AD (mg/kg-day)]]*Dermal_Exp[[#This Row],[ED_High-End]]*WY_high/(365*LT),"Not Assessed")</f>
        <v>0.80706860182376705</v>
      </c>
      <c r="Q35" s="439">
        <f>IFERROR(Dermal_Exp[[#This Row],[Central Tendency AD (mg/kg-day)]]*Dermal_Exp[[#This Row],[ED_Central Tendency]]*WY_mid/(365*LT),"Not Assessed")</f>
        <v>0.3102271226990253</v>
      </c>
    </row>
    <row r="36" spans="1:17" ht="15" x14ac:dyDescent="0.2">
      <c r="A36" s="441">
        <v>5</v>
      </c>
      <c r="B36" s="341" t="s">
        <v>221</v>
      </c>
      <c r="C36" s="436" t="s">
        <v>92</v>
      </c>
      <c r="D36" s="355">
        <v>249</v>
      </c>
      <c r="E36" s="356">
        <v>247</v>
      </c>
      <c r="F36" s="331">
        <v>1.2550208333333333</v>
      </c>
      <c r="G36" s="331">
        <v>1.2550208333333333</v>
      </c>
      <c r="H36" s="331"/>
      <c r="I36" s="331"/>
      <c r="J36" s="437">
        <f>IF(Dermal_Exp[[#This Row],[Worker Type]]&lt;&gt;"",(Dermal_Exp[[#This Row],[High-End Exposure to Liquid]]+Dermal_Exp[[#This Row],[High-End Exposure to Solids]]),"Not Assessed")</f>
        <v>1.2550208333333333</v>
      </c>
      <c r="K36" s="351">
        <f>IF(Dermal_Exp[[#This Row],[Worker Type]]&lt;&gt;"",(Dermal_Exp[[#This Row],[ Central Tendency Exposure to Liquids]]+Dermal_Exp[[#This Row],[Central Tendency  Exposure to Solids]]),"Not Assessed")</f>
        <v>1.2550208333333333</v>
      </c>
      <c r="L36" s="438">
        <f>IFERROR(Dermal_Exp[[#This Row],[High-End AD (mg/kg-day)]]*IF(Dermal_Exp[[#This Row],[ED_High-End]]&gt;EFID,EFID,Dermal_Exp[[#This Row],[ED_High-End]])/ID,"Not Assessed")</f>
        <v>0.92034861111111099</v>
      </c>
      <c r="M36" s="438">
        <f>IFERROR(Dermal_Exp[[#This Row],[Central Tendency AD (mg/kg-day)]]*IF(Dermal_Exp[[#This Row],[ED_Central Tendency]]&gt;EFID,EFID,Dermal_Exp[[#This Row],[ED_Central Tendency]])/ID,"Not Assessed")</f>
        <v>0.92034861111111099</v>
      </c>
      <c r="N36" s="351">
        <f>IFERROR(Dermal_Exp[[#This Row],[High-End AD (mg/kg-day)]]*Dermal_Exp[[#This Row],[ED_High-End]]*WY_high/(365*WY_high),"Not Assessed")</f>
        <v>0.856164897260274</v>
      </c>
      <c r="O36" s="351">
        <f>IFERROR(Dermal_Exp[[#This Row],[Central Tendency AD (mg/kg-day)]]*Dermal_Exp[[#This Row],[ED_Central Tendency]]*WY_mid/(365*WY_mid),"Not Assessed")</f>
        <v>0.84928807077625568</v>
      </c>
      <c r="P36" s="351">
        <f>IFERROR(Dermal_Exp[[#This Row],[High-End AD (mg/kg-day)]]*Dermal_Exp[[#This Row],[ED_High-End]]*WY_high/(365*LT),"Not Assessed")</f>
        <v>0.43905892167193539</v>
      </c>
      <c r="Q36" s="439">
        <f>IFERROR(Dermal_Exp[[#This Row],[Central Tendency AD (mg/kg-day)]]*Dermal_Exp[[#This Row],[ED_Central Tendency]]*WY_mid/(365*LT),"Not Assessed")</f>
        <v>0.33753756659056317</v>
      </c>
    </row>
    <row r="37" spans="1:17" ht="15" x14ac:dyDescent="0.2">
      <c r="A37" s="441">
        <v>5</v>
      </c>
      <c r="B37" s="341" t="s">
        <v>223</v>
      </c>
      <c r="C37" s="436" t="s">
        <v>197</v>
      </c>
      <c r="D37" s="330">
        <v>250</v>
      </c>
      <c r="E37" s="330">
        <v>250</v>
      </c>
      <c r="F37" s="331"/>
      <c r="G37" s="331"/>
      <c r="H37" s="331">
        <v>3.3886760250110698E-2</v>
      </c>
      <c r="I37" s="331">
        <v>1.6943380125055349E-2</v>
      </c>
      <c r="J37" s="437">
        <f>IF(Dermal_Exp[[#This Row],[Worker Type]]&lt;&gt;"",(Dermal_Exp[[#This Row],[High-End Exposure to Liquid]]+Dermal_Exp[[#This Row],[High-End Exposure to Solids]]),"Not Assessed")</f>
        <v>3.3886760250110698E-2</v>
      </c>
      <c r="K37" s="351">
        <f>IF(Dermal_Exp[[#This Row],[Worker Type]]&lt;&gt;"",(Dermal_Exp[[#This Row],[ Central Tendency Exposure to Liquids]]+Dermal_Exp[[#This Row],[Central Tendency  Exposure to Solids]]),"Not Assessed")</f>
        <v>1.6943380125055349E-2</v>
      </c>
      <c r="L37" s="438">
        <f>IFERROR(Dermal_Exp[[#This Row],[High-End AD (mg/kg-day)]]*IF(Dermal_Exp[[#This Row],[ED_High-End]]&gt;EFID,EFID,Dermal_Exp[[#This Row],[ED_High-End]])/ID,"Not Assessed")</f>
        <v>2.4850290850081176E-2</v>
      </c>
      <c r="M37" s="438">
        <f>IFERROR(Dermal_Exp[[#This Row],[Central Tendency AD (mg/kg-day)]]*IF(Dermal_Exp[[#This Row],[ED_Central Tendency]]&gt;EFID,EFID,Dermal_Exp[[#This Row],[ED_Central Tendency]])/ID,"Not Assessed")</f>
        <v>1.2425145425040588E-2</v>
      </c>
      <c r="N37" s="351">
        <f>IFERROR(Dermal_Exp[[#This Row],[High-End AD (mg/kg-day)]]*Dermal_Exp[[#This Row],[ED_High-End]]*WY_high/(365*WY_high),"Not Assessed")</f>
        <v>2.321010976034979E-2</v>
      </c>
      <c r="O37" s="351">
        <f>IFERROR(Dermal_Exp[[#This Row],[Central Tendency AD (mg/kg-day)]]*Dermal_Exp[[#This Row],[ED_Central Tendency]]*WY_mid/(365*WY_mid),"Not Assessed")</f>
        <v>1.1605054880174897E-2</v>
      </c>
      <c r="P37" s="351">
        <f>IFERROR(Dermal_Exp[[#This Row],[High-End AD (mg/kg-day)]]*Dermal_Exp[[#This Row],[ED_High-End]]*WY_high/(365*LT),"Not Assessed")</f>
        <v>1.190262038992297E-2</v>
      </c>
      <c r="Q37" s="439">
        <f>IFERROR(Dermal_Exp[[#This Row],[Central Tendency AD (mg/kg-day)]]*Dermal_Exp[[#This Row],[ED_Central Tendency]]*WY_mid/(365*LT),"Not Assessed")</f>
        <v>4.612265401095151E-3</v>
      </c>
    </row>
    <row r="38" spans="1:17" ht="15" x14ac:dyDescent="0.2">
      <c r="A38" s="441">
        <v>6</v>
      </c>
      <c r="B38" s="341" t="s">
        <v>223</v>
      </c>
      <c r="C38" s="436" t="s">
        <v>72</v>
      </c>
      <c r="D38" s="330">
        <v>250</v>
      </c>
      <c r="E38" s="330">
        <v>250</v>
      </c>
      <c r="F38" s="331"/>
      <c r="G38" s="331"/>
      <c r="H38" s="331">
        <v>3.1144954430318089E-2</v>
      </c>
      <c r="I38" s="331">
        <v>1.5572477215159045E-2</v>
      </c>
      <c r="J38" s="437">
        <f>IF(Dermal_Exp[[#This Row],[Worker Type]]&lt;&gt;"",(Dermal_Exp[[#This Row],[High-End Exposure to Liquid]]+Dermal_Exp[[#This Row],[High-End Exposure to Solids]]),"Not Assessed")</f>
        <v>3.1144954430318089E-2</v>
      </c>
      <c r="K38" s="351">
        <f>IF(Dermal_Exp[[#This Row],[Worker Type]]&lt;&gt;"",(Dermal_Exp[[#This Row],[ Central Tendency Exposure to Liquids]]+Dermal_Exp[[#This Row],[Central Tendency  Exposure to Solids]]),"Not Assessed")</f>
        <v>1.5572477215159045E-2</v>
      </c>
      <c r="L38" s="438">
        <f>IFERROR(Dermal_Exp[[#This Row],[High-End AD (mg/kg-day)]]*IF(Dermal_Exp[[#This Row],[ED_High-End]]&gt;EFID,EFID,Dermal_Exp[[#This Row],[ED_High-End]])/ID,"Not Assessed")</f>
        <v>2.2839633248899933E-2</v>
      </c>
      <c r="M38" s="438">
        <f>IFERROR(Dermal_Exp[[#This Row],[Central Tendency AD (mg/kg-day)]]*IF(Dermal_Exp[[#This Row],[ED_Central Tendency]]&gt;EFID,EFID,Dermal_Exp[[#This Row],[ED_Central Tendency]])/ID,"Not Assessed")</f>
        <v>1.1419816624449967E-2</v>
      </c>
      <c r="N38" s="351">
        <f>IFERROR(Dermal_Exp[[#This Row],[High-End AD (mg/kg-day)]]*Dermal_Exp[[#This Row],[ED_High-End]]*WY_high/(365*WY_high),"Not Assessed")</f>
        <v>2.1332160568711022E-2</v>
      </c>
      <c r="O38" s="351">
        <f>IFERROR(Dermal_Exp[[#This Row],[Central Tendency AD (mg/kg-day)]]*Dermal_Exp[[#This Row],[ED_Central Tendency]]*WY_mid/(365*WY_mid),"Not Assessed")</f>
        <v>1.0666080284355511E-2</v>
      </c>
      <c r="P38" s="351">
        <f>IFERROR(Dermal_Exp[[#This Row],[High-End AD (mg/kg-day)]]*Dermal_Exp[[#This Row],[ED_High-End]]*WY_high/(365*LT),"Not Assessed")</f>
        <v>1.0939569522415909E-2</v>
      </c>
      <c r="Q38" s="439">
        <f>IFERROR(Dermal_Exp[[#This Row],[Central Tendency AD (mg/kg-day)]]*Dermal_Exp[[#This Row],[ED_Central Tendency]]*WY_mid/(365*LT),"Not Assessed")</f>
        <v>4.2390831899361643E-3</v>
      </c>
    </row>
    <row r="39" spans="1:17" ht="15" x14ac:dyDescent="0.2">
      <c r="A39" s="441">
        <v>6</v>
      </c>
      <c r="B39" s="341" t="s">
        <v>223</v>
      </c>
      <c r="C39" s="436" t="s">
        <v>92</v>
      </c>
      <c r="D39" s="330">
        <v>250</v>
      </c>
      <c r="E39" s="330">
        <v>250</v>
      </c>
      <c r="F39" s="331"/>
      <c r="G39" s="331"/>
      <c r="H39" s="331">
        <v>1.6943380125055349E-2</v>
      </c>
      <c r="I39" s="331">
        <v>1.6943380125055349E-2</v>
      </c>
      <c r="J39" s="437">
        <f>IF(Dermal_Exp[[#This Row],[Worker Type]]&lt;&gt;"",(Dermal_Exp[[#This Row],[High-End Exposure to Liquid]]+Dermal_Exp[[#This Row],[High-End Exposure to Solids]]),"Not Assessed")</f>
        <v>1.6943380125055349E-2</v>
      </c>
      <c r="K39" s="351">
        <f>IF(Dermal_Exp[[#This Row],[Worker Type]]&lt;&gt;"",(Dermal_Exp[[#This Row],[ Central Tendency Exposure to Liquids]]+Dermal_Exp[[#This Row],[Central Tendency  Exposure to Solids]]),"Not Assessed")</f>
        <v>1.6943380125055349E-2</v>
      </c>
      <c r="L39" s="438">
        <f>IFERROR(Dermal_Exp[[#This Row],[High-End AD (mg/kg-day)]]*IF(Dermal_Exp[[#This Row],[ED_High-End]]&gt;EFID,EFID,Dermal_Exp[[#This Row],[ED_High-End]])/ID,"Not Assessed")</f>
        <v>1.2425145425040588E-2</v>
      </c>
      <c r="M39" s="438">
        <f>IFERROR(Dermal_Exp[[#This Row],[Central Tendency AD (mg/kg-day)]]*IF(Dermal_Exp[[#This Row],[ED_Central Tendency]]&gt;EFID,EFID,Dermal_Exp[[#This Row],[ED_Central Tendency]])/ID,"Not Assessed")</f>
        <v>1.2425145425040588E-2</v>
      </c>
      <c r="N39" s="351">
        <f>IFERROR(Dermal_Exp[[#This Row],[High-End AD (mg/kg-day)]]*Dermal_Exp[[#This Row],[ED_High-End]]*WY_high/(365*WY_high),"Not Assessed")</f>
        <v>1.1605054880174895E-2</v>
      </c>
      <c r="O39" s="351">
        <f>IFERROR(Dermal_Exp[[#This Row],[Central Tendency AD (mg/kg-day)]]*Dermal_Exp[[#This Row],[ED_Central Tendency]]*WY_mid/(365*WY_mid),"Not Assessed")</f>
        <v>1.1605054880174897E-2</v>
      </c>
      <c r="P39" s="351">
        <f>IFERROR(Dermal_Exp[[#This Row],[High-End AD (mg/kg-day)]]*Dermal_Exp[[#This Row],[ED_High-End]]*WY_high/(365*LT),"Not Assessed")</f>
        <v>5.9513101949614849E-3</v>
      </c>
      <c r="Q39" s="439">
        <f>IFERROR(Dermal_Exp[[#This Row],[Central Tendency AD (mg/kg-day)]]*Dermal_Exp[[#This Row],[ED_Central Tendency]]*WY_mid/(365*LT),"Not Assessed")</f>
        <v>4.612265401095151E-3</v>
      </c>
    </row>
    <row r="40" spans="1:17" ht="15" x14ac:dyDescent="0.2">
      <c r="A40" s="441">
        <v>6</v>
      </c>
      <c r="B40" s="341" t="s">
        <v>225</v>
      </c>
      <c r="C40" s="436" t="s">
        <v>197</v>
      </c>
      <c r="D40" s="330">
        <v>250</v>
      </c>
      <c r="E40" s="330">
        <v>250</v>
      </c>
      <c r="F40" s="437"/>
      <c r="G40" s="437"/>
      <c r="H40" s="331">
        <v>3.3886760250110698E-2</v>
      </c>
      <c r="I40" s="331">
        <v>1.6943380125055349E-2</v>
      </c>
      <c r="J40" s="437">
        <f>IF(Dermal_Exp[[#This Row],[Worker Type]]&lt;&gt;"",(Dermal_Exp[[#This Row],[High-End Exposure to Liquid]]+Dermal_Exp[[#This Row],[High-End Exposure to Solids]]),"Not Assessed")</f>
        <v>3.3886760250110698E-2</v>
      </c>
      <c r="K40" s="351">
        <f>IF(Dermal_Exp[[#This Row],[Worker Type]]&lt;&gt;"",(Dermal_Exp[[#This Row],[ Central Tendency Exposure to Liquids]]+Dermal_Exp[[#This Row],[Central Tendency  Exposure to Solids]]),"Not Assessed")</f>
        <v>1.6943380125055349E-2</v>
      </c>
      <c r="L40" s="438">
        <f>IFERROR(Dermal_Exp[[#This Row],[High-End AD (mg/kg-day)]]*IF(Dermal_Exp[[#This Row],[ED_High-End]]&gt;EFID,EFID,Dermal_Exp[[#This Row],[ED_High-End]])/ID,"Not Assessed")</f>
        <v>2.4850290850081176E-2</v>
      </c>
      <c r="M40" s="438">
        <f>IFERROR(Dermal_Exp[[#This Row],[Central Tendency AD (mg/kg-day)]]*IF(Dermal_Exp[[#This Row],[ED_Central Tendency]]&gt;EFID,EFID,Dermal_Exp[[#This Row],[ED_Central Tendency]])/ID,"Not Assessed")</f>
        <v>1.2425145425040588E-2</v>
      </c>
      <c r="N40" s="351">
        <f>IFERROR(Dermal_Exp[[#This Row],[High-End AD (mg/kg-day)]]*Dermal_Exp[[#This Row],[ED_High-End]]*WY_high/(365*WY_high),"Not Assessed")</f>
        <v>2.321010976034979E-2</v>
      </c>
      <c r="O40" s="351">
        <f>IFERROR(Dermal_Exp[[#This Row],[Central Tendency AD (mg/kg-day)]]*Dermal_Exp[[#This Row],[ED_Central Tendency]]*WY_mid/(365*WY_mid),"Not Assessed")</f>
        <v>1.1605054880174897E-2</v>
      </c>
      <c r="P40" s="351">
        <f>IFERROR(Dermal_Exp[[#This Row],[High-End AD (mg/kg-day)]]*Dermal_Exp[[#This Row],[ED_High-End]]*WY_high/(365*LT),"Not Assessed")</f>
        <v>1.190262038992297E-2</v>
      </c>
      <c r="Q40" s="439">
        <f>IFERROR(Dermal_Exp[[#This Row],[Central Tendency AD (mg/kg-day)]]*Dermal_Exp[[#This Row],[ED_Central Tendency]]*WY_mid/(365*LT),"Not Assessed")</f>
        <v>4.612265401095151E-3</v>
      </c>
    </row>
    <row r="41" spans="1:17" ht="15" x14ac:dyDescent="0.2">
      <c r="A41" s="441">
        <v>6</v>
      </c>
      <c r="B41" s="341" t="s">
        <v>225</v>
      </c>
      <c r="C41" s="436" t="s">
        <v>72</v>
      </c>
      <c r="D41" s="330">
        <v>250</v>
      </c>
      <c r="E41" s="330">
        <v>250</v>
      </c>
      <c r="F41" s="437"/>
      <c r="G41" s="437"/>
      <c r="H41" s="331">
        <v>3.1144954430318089E-2</v>
      </c>
      <c r="I41" s="331">
        <v>1.5572477215159045E-2</v>
      </c>
      <c r="J41" s="437">
        <f>IF(Dermal_Exp[[#This Row],[Worker Type]]&lt;&gt;"",(Dermal_Exp[[#This Row],[High-End Exposure to Liquid]]+Dermal_Exp[[#This Row],[High-End Exposure to Solids]]),"Not Assessed")</f>
        <v>3.1144954430318089E-2</v>
      </c>
      <c r="K41" s="351">
        <f>IF(Dermal_Exp[[#This Row],[Worker Type]]&lt;&gt;"",(Dermal_Exp[[#This Row],[ Central Tendency Exposure to Liquids]]+Dermal_Exp[[#This Row],[Central Tendency  Exposure to Solids]]),"Not Assessed")</f>
        <v>1.5572477215159045E-2</v>
      </c>
      <c r="L41" s="438">
        <f>IFERROR(Dermal_Exp[[#This Row],[High-End AD (mg/kg-day)]]*IF(Dermal_Exp[[#This Row],[ED_High-End]]&gt;EFID,EFID,Dermal_Exp[[#This Row],[ED_High-End]])/ID,"Not Assessed")</f>
        <v>2.2839633248899933E-2</v>
      </c>
      <c r="M41" s="438">
        <f>IFERROR(Dermal_Exp[[#This Row],[Central Tendency AD (mg/kg-day)]]*IF(Dermal_Exp[[#This Row],[ED_Central Tendency]]&gt;EFID,EFID,Dermal_Exp[[#This Row],[ED_Central Tendency]])/ID,"Not Assessed")</f>
        <v>1.1419816624449967E-2</v>
      </c>
      <c r="N41" s="351">
        <f>IFERROR(Dermal_Exp[[#This Row],[High-End AD (mg/kg-day)]]*Dermal_Exp[[#This Row],[ED_High-End]]*WY_high/(365*WY_high),"Not Assessed")</f>
        <v>2.1332160568711022E-2</v>
      </c>
      <c r="O41" s="351">
        <f>IFERROR(Dermal_Exp[[#This Row],[Central Tendency AD (mg/kg-day)]]*Dermal_Exp[[#This Row],[ED_Central Tendency]]*WY_mid/(365*WY_mid),"Not Assessed")</f>
        <v>1.0666080284355511E-2</v>
      </c>
      <c r="P41" s="351">
        <f>IFERROR(Dermal_Exp[[#This Row],[High-End AD (mg/kg-day)]]*Dermal_Exp[[#This Row],[ED_High-End]]*WY_high/(365*LT),"Not Assessed")</f>
        <v>1.0939569522415909E-2</v>
      </c>
      <c r="Q41" s="439">
        <f>IFERROR(Dermal_Exp[[#This Row],[Central Tendency AD (mg/kg-day)]]*Dermal_Exp[[#This Row],[ED_Central Tendency]]*WY_mid/(365*LT),"Not Assessed")</f>
        <v>4.2390831899361643E-3</v>
      </c>
    </row>
    <row r="42" spans="1:17" ht="15" x14ac:dyDescent="0.2">
      <c r="A42" s="441">
        <v>6</v>
      </c>
      <c r="B42" s="341" t="s">
        <v>225</v>
      </c>
      <c r="C42" s="436" t="s">
        <v>92</v>
      </c>
      <c r="D42" s="330">
        <v>250</v>
      </c>
      <c r="E42" s="330">
        <v>250</v>
      </c>
      <c r="F42" s="437"/>
      <c r="G42" s="437"/>
      <c r="H42" s="331">
        <v>1.6943380125055349E-2</v>
      </c>
      <c r="I42" s="331">
        <v>1.6943380125055349E-2</v>
      </c>
      <c r="J42" s="437">
        <f>IF(Dermal_Exp[[#This Row],[Worker Type]]&lt;&gt;"",(Dermal_Exp[[#This Row],[High-End Exposure to Liquid]]+Dermal_Exp[[#This Row],[High-End Exposure to Solids]]),"Not Assessed")</f>
        <v>1.6943380125055349E-2</v>
      </c>
      <c r="K42" s="351">
        <f>IF(Dermal_Exp[[#This Row],[Worker Type]]&lt;&gt;"",(Dermal_Exp[[#This Row],[ Central Tendency Exposure to Liquids]]+Dermal_Exp[[#This Row],[Central Tendency  Exposure to Solids]]),"Not Assessed")</f>
        <v>1.6943380125055349E-2</v>
      </c>
      <c r="L42" s="438">
        <f>IFERROR(Dermal_Exp[[#This Row],[High-End AD (mg/kg-day)]]*IF(Dermal_Exp[[#This Row],[ED_High-End]]&gt;EFID,EFID,Dermal_Exp[[#This Row],[ED_High-End]])/ID,"Not Assessed")</f>
        <v>1.2425145425040588E-2</v>
      </c>
      <c r="M42" s="438">
        <f>IFERROR(Dermal_Exp[[#This Row],[Central Tendency AD (mg/kg-day)]]*IF(Dermal_Exp[[#This Row],[ED_Central Tendency]]&gt;EFID,EFID,Dermal_Exp[[#This Row],[ED_Central Tendency]])/ID,"Not Assessed")</f>
        <v>1.2425145425040588E-2</v>
      </c>
      <c r="N42" s="351">
        <f>IFERROR(Dermal_Exp[[#This Row],[High-End AD (mg/kg-day)]]*Dermal_Exp[[#This Row],[ED_High-End]]*WY_high/(365*WY_high),"Not Assessed")</f>
        <v>1.1605054880174895E-2</v>
      </c>
      <c r="O42" s="351">
        <f>IFERROR(Dermal_Exp[[#This Row],[Central Tendency AD (mg/kg-day)]]*Dermal_Exp[[#This Row],[ED_Central Tendency]]*WY_mid/(365*WY_mid),"Not Assessed")</f>
        <v>1.1605054880174897E-2</v>
      </c>
      <c r="P42" s="351">
        <f>IFERROR(Dermal_Exp[[#This Row],[High-End AD (mg/kg-day)]]*Dermal_Exp[[#This Row],[ED_High-End]]*WY_high/(365*LT),"Not Assessed")</f>
        <v>5.9513101949614849E-3</v>
      </c>
      <c r="Q42" s="439">
        <f>IFERROR(Dermal_Exp[[#This Row],[Central Tendency AD (mg/kg-day)]]*Dermal_Exp[[#This Row],[ED_Central Tendency]]*WY_mid/(365*LT),"Not Assessed")</f>
        <v>4.612265401095151E-3</v>
      </c>
    </row>
    <row r="43" spans="1:17" ht="15" x14ac:dyDescent="0.2">
      <c r="A43" s="441">
        <v>7</v>
      </c>
      <c r="B43" s="341" t="s">
        <v>228</v>
      </c>
      <c r="C43" s="436" t="s">
        <v>197</v>
      </c>
      <c r="D43" s="330">
        <v>250</v>
      </c>
      <c r="E43" s="330">
        <v>250</v>
      </c>
      <c r="F43" s="437"/>
      <c r="G43" s="437"/>
      <c r="H43" s="331">
        <v>3.3886760250110698E-2</v>
      </c>
      <c r="I43" s="331">
        <v>1.6943380125055349E-2</v>
      </c>
      <c r="J43" s="437">
        <f>IF(Dermal_Exp[[#This Row],[Worker Type]]&lt;&gt;"",(Dermal_Exp[[#This Row],[High-End Exposure to Liquid]]+Dermal_Exp[[#This Row],[High-End Exposure to Solids]]),"Not Assessed")</f>
        <v>3.3886760250110698E-2</v>
      </c>
      <c r="K43" s="443">
        <f>IF(Dermal_Exp[[#This Row],[Worker Type]]&lt;&gt;"",(Dermal_Exp[[#This Row],[ Central Tendency Exposure to Liquids]]+Dermal_Exp[[#This Row],[Central Tendency  Exposure to Solids]]),"Not Assessed")</f>
        <v>1.6943380125055349E-2</v>
      </c>
      <c r="L43" s="444">
        <f>IFERROR(Dermal_Exp[[#This Row],[High-End AD (mg/kg-day)]]*IF(Dermal_Exp[[#This Row],[ED_High-End]]&gt;EFID,EFID,Dermal_Exp[[#This Row],[ED_High-End]])/ID,"Not Assessed")</f>
        <v>2.4850290850081176E-2</v>
      </c>
      <c r="M43" s="444">
        <f>IFERROR(Dermal_Exp[[#This Row],[Central Tendency AD (mg/kg-day)]]*IF(Dermal_Exp[[#This Row],[ED_Central Tendency]]&gt;EFID,EFID,Dermal_Exp[[#This Row],[ED_Central Tendency]])/ID,"Not Assessed")</f>
        <v>1.2425145425040588E-2</v>
      </c>
      <c r="N43" s="351">
        <f>IFERROR(Dermal_Exp[[#This Row],[High-End AD (mg/kg-day)]]*Dermal_Exp[[#This Row],[ED_High-End]]*WY_high/(365*WY_high),"Not Assessed")</f>
        <v>2.321010976034979E-2</v>
      </c>
      <c r="O43" s="351">
        <f>IFERROR(Dermal_Exp[[#This Row],[Central Tendency AD (mg/kg-day)]]*Dermal_Exp[[#This Row],[ED_Central Tendency]]*WY_mid/(365*WY_mid),"Not Assessed")</f>
        <v>1.1605054880174897E-2</v>
      </c>
      <c r="P43" s="351">
        <f>IFERROR(Dermal_Exp[[#This Row],[High-End AD (mg/kg-day)]]*Dermal_Exp[[#This Row],[ED_High-End]]*WY_high/(365*LT),"Not Assessed")</f>
        <v>1.190262038992297E-2</v>
      </c>
      <c r="Q43" s="439">
        <f>IFERROR(Dermal_Exp[[#This Row],[Central Tendency AD (mg/kg-day)]]*Dermal_Exp[[#This Row],[ED_Central Tendency]]*WY_mid/(365*LT),"Not Assessed")</f>
        <v>4.612265401095151E-3</v>
      </c>
    </row>
    <row r="44" spans="1:17" ht="15" x14ac:dyDescent="0.2">
      <c r="A44" s="441">
        <v>7</v>
      </c>
      <c r="B44" s="341" t="s">
        <v>228</v>
      </c>
      <c r="C44" s="436" t="s">
        <v>72</v>
      </c>
      <c r="D44" s="330">
        <v>250</v>
      </c>
      <c r="E44" s="330">
        <v>250</v>
      </c>
      <c r="F44" s="437"/>
      <c r="G44" s="437"/>
      <c r="H44" s="331">
        <v>3.1144954430318089E-2</v>
      </c>
      <c r="I44" s="331">
        <v>1.5572477215159045E-2</v>
      </c>
      <c r="J44" s="437">
        <f>IF(Dermal_Exp[[#This Row],[Worker Type]]&lt;&gt;"",(Dermal_Exp[[#This Row],[High-End Exposure to Liquid]]+Dermal_Exp[[#This Row],[High-End Exposure to Solids]]),"Not Assessed")</f>
        <v>3.1144954430318089E-2</v>
      </c>
      <c r="K44" s="443">
        <f>IF(Dermal_Exp[[#This Row],[Worker Type]]&lt;&gt;"",(Dermal_Exp[[#This Row],[ Central Tendency Exposure to Liquids]]+Dermal_Exp[[#This Row],[Central Tendency  Exposure to Solids]]),"Not Assessed")</f>
        <v>1.5572477215159045E-2</v>
      </c>
      <c r="L44" s="444">
        <f>IFERROR(Dermal_Exp[[#This Row],[High-End AD (mg/kg-day)]]*IF(Dermal_Exp[[#This Row],[ED_High-End]]&gt;EFID,EFID,Dermal_Exp[[#This Row],[ED_High-End]])/ID,"Not Assessed")</f>
        <v>2.2839633248899933E-2</v>
      </c>
      <c r="M44" s="444">
        <f>IFERROR(Dermal_Exp[[#This Row],[Central Tendency AD (mg/kg-day)]]*IF(Dermal_Exp[[#This Row],[ED_Central Tendency]]&gt;EFID,EFID,Dermal_Exp[[#This Row],[ED_Central Tendency]])/ID,"Not Assessed")</f>
        <v>1.1419816624449967E-2</v>
      </c>
      <c r="N44" s="351">
        <f>IFERROR(Dermal_Exp[[#This Row],[High-End AD (mg/kg-day)]]*Dermal_Exp[[#This Row],[ED_High-End]]*WY_high/(365*WY_high),"Not Assessed")</f>
        <v>2.1332160568711022E-2</v>
      </c>
      <c r="O44" s="351">
        <f>IFERROR(Dermal_Exp[[#This Row],[Central Tendency AD (mg/kg-day)]]*Dermal_Exp[[#This Row],[ED_Central Tendency]]*WY_mid/(365*WY_mid),"Not Assessed")</f>
        <v>1.0666080284355511E-2</v>
      </c>
      <c r="P44" s="351">
        <f>IFERROR(Dermal_Exp[[#This Row],[High-End AD (mg/kg-day)]]*Dermal_Exp[[#This Row],[ED_High-End]]*WY_high/(365*LT),"Not Assessed")</f>
        <v>1.0939569522415909E-2</v>
      </c>
      <c r="Q44" s="439">
        <f>IFERROR(Dermal_Exp[[#This Row],[Central Tendency AD (mg/kg-day)]]*Dermal_Exp[[#This Row],[ED_Central Tendency]]*WY_mid/(365*LT),"Not Assessed")</f>
        <v>4.2390831899361643E-3</v>
      </c>
    </row>
    <row r="45" spans="1:17" ht="15" x14ac:dyDescent="0.2">
      <c r="A45" s="441">
        <v>7</v>
      </c>
      <c r="B45" s="341" t="s">
        <v>228</v>
      </c>
      <c r="C45" s="436" t="s">
        <v>92</v>
      </c>
      <c r="D45" s="330">
        <v>250</v>
      </c>
      <c r="E45" s="330">
        <v>250</v>
      </c>
      <c r="F45" s="437"/>
      <c r="G45" s="437"/>
      <c r="H45" s="331">
        <v>1.6943380125055349E-2</v>
      </c>
      <c r="I45" s="331">
        <v>1.6943380125055349E-2</v>
      </c>
      <c r="J45" s="437">
        <f>IF(Dermal_Exp[[#This Row],[Worker Type]]&lt;&gt;"",(Dermal_Exp[[#This Row],[High-End Exposure to Liquid]]+Dermal_Exp[[#This Row],[High-End Exposure to Solids]]),"Not Assessed")</f>
        <v>1.6943380125055349E-2</v>
      </c>
      <c r="K45" s="442">
        <f>IF(Dermal_Exp[[#This Row],[Worker Type]]&lt;&gt;"",(Dermal_Exp[[#This Row],[ Central Tendency Exposure to Liquids]]+Dermal_Exp[[#This Row],[Central Tendency  Exposure to Solids]]),"Not Assessed")</f>
        <v>1.6943380125055349E-2</v>
      </c>
      <c r="L45" s="438">
        <f>IFERROR(Dermal_Exp[[#This Row],[High-End AD (mg/kg-day)]]*IF(Dermal_Exp[[#This Row],[ED_High-End]]&gt;EFID,EFID,Dermal_Exp[[#This Row],[ED_High-End]])/ID,"Not Assessed")</f>
        <v>1.2425145425040588E-2</v>
      </c>
      <c r="M45" s="438">
        <f>IFERROR(Dermal_Exp[[#This Row],[Central Tendency AD (mg/kg-day)]]*IF(Dermal_Exp[[#This Row],[ED_Central Tendency]]&gt;EFID,EFID,Dermal_Exp[[#This Row],[ED_Central Tendency]])/ID,"Not Assessed")</f>
        <v>1.2425145425040588E-2</v>
      </c>
      <c r="N45" s="351">
        <f>IFERROR(Dermal_Exp[[#This Row],[High-End AD (mg/kg-day)]]*Dermal_Exp[[#This Row],[ED_High-End]]*WY_high/(365*WY_high),"Not Assessed")</f>
        <v>1.1605054880174895E-2</v>
      </c>
      <c r="O45" s="351">
        <f>IFERROR(Dermal_Exp[[#This Row],[Central Tendency AD (mg/kg-day)]]*Dermal_Exp[[#This Row],[ED_Central Tendency]]*WY_mid/(365*WY_mid),"Not Assessed")</f>
        <v>1.1605054880174897E-2</v>
      </c>
      <c r="P45" s="351">
        <f>IFERROR(Dermal_Exp[[#This Row],[High-End AD (mg/kg-day)]]*Dermal_Exp[[#This Row],[ED_High-End]]*WY_high/(365*LT),"Not Assessed")</f>
        <v>5.9513101949614849E-3</v>
      </c>
      <c r="Q45" s="439">
        <f>IFERROR(Dermal_Exp[[#This Row],[Central Tendency AD (mg/kg-day)]]*Dermal_Exp[[#This Row],[ED_Central Tendency]]*WY_mid/(365*LT),"Not Assessed")</f>
        <v>4.612265401095151E-3</v>
      </c>
    </row>
    <row r="48" spans="1:17" x14ac:dyDescent="0.2">
      <c r="H48" s="445"/>
      <c r="I48" s="445"/>
    </row>
    <row r="54" spans="7:9" x14ac:dyDescent="0.2">
      <c r="G54" s="367"/>
      <c r="H54" s="368"/>
      <c r="I54" s="368"/>
    </row>
    <row r="55" spans="7:9" x14ac:dyDescent="0.2">
      <c r="H55" s="368"/>
      <c r="I55" s="368"/>
    </row>
    <row r="56" spans="7:9" x14ac:dyDescent="0.2">
      <c r="H56" s="368"/>
      <c r="I56" s="368"/>
    </row>
  </sheetData>
  <sheetProtection sheet="1" objects="1" scenarios="1" formatCells="0" formatColumns="0" formatRows="0" sort="0" autoFilter="0"/>
  <mergeCells count="9">
    <mergeCell ref="J1:K2"/>
    <mergeCell ref="L1:M2"/>
    <mergeCell ref="N1:O2"/>
    <mergeCell ref="P1:Q2"/>
    <mergeCell ref="D1:E2"/>
    <mergeCell ref="H1:I1"/>
    <mergeCell ref="H2:I2"/>
    <mergeCell ref="F1:G1"/>
    <mergeCell ref="F2:G2"/>
  </mergeCells>
  <phoneticPr fontId="2" type="noConversion"/>
  <conditionalFormatting sqref="F4:G5">
    <cfRule type="cellIs" dxfId="183" priority="34" operator="between">
      <formula>1</formula>
      <formula>9.999</formula>
    </cfRule>
    <cfRule type="cellIs" dxfId="182" priority="33" operator="between">
      <formula>10</formula>
      <formula>9999.999</formula>
    </cfRule>
    <cfRule type="cellIs" dxfId="181" priority="35" operator="between">
      <formula>0.1</formula>
      <formula>0.999</formula>
    </cfRule>
  </conditionalFormatting>
  <conditionalFormatting sqref="F4:G11">
    <cfRule type="cellIs" dxfId="180" priority="21" operator="between">
      <formula>1</formula>
      <formula>9.999</formula>
    </cfRule>
    <cfRule type="cellIs" dxfId="179" priority="32" operator="greaterThanOrEqual">
      <formula>10000</formula>
    </cfRule>
    <cfRule type="cellIs" dxfId="178" priority="24" operator="greaterThan">
      <formula>10000</formula>
    </cfRule>
    <cfRule type="cellIs" dxfId="177" priority="23" operator="between">
      <formula>0.1</formula>
      <formula>0.999</formula>
    </cfRule>
    <cfRule type="cellIs" dxfId="176" priority="22" operator="lessThan">
      <formula>0.1</formula>
    </cfRule>
  </conditionalFormatting>
  <conditionalFormatting sqref="F12:I39">
    <cfRule type="cellIs" dxfId="175" priority="18" operator="lessThan">
      <formula>0.1</formula>
    </cfRule>
    <cfRule type="cellIs" dxfId="174" priority="19" operator="between">
      <formula>0.1</formula>
      <formula>0.999</formula>
    </cfRule>
    <cfRule type="cellIs" dxfId="173" priority="20" operator="greaterThan">
      <formula>10000</formula>
    </cfRule>
    <cfRule type="cellIs" dxfId="172" priority="17" operator="between">
      <formula>1</formula>
      <formula>9.999</formula>
    </cfRule>
  </conditionalFormatting>
  <conditionalFormatting sqref="F4:Q22 F12:I45 J23:Q29 K30:P33 J30:J45 L30:M45 Q30:Q45">
    <cfRule type="cellIs" dxfId="171" priority="360" operator="lessThanOrEqual">
      <formula>0.01</formula>
    </cfRule>
  </conditionalFormatting>
  <conditionalFormatting sqref="H4:I9 F4:G11 J4:P29 Q4:Q45 F10:I45 K30:P33 J30:J45">
    <cfRule type="cellIs" dxfId="170" priority="358" operator="between">
      <formula>10</formula>
      <formula>9999.999</formula>
    </cfRule>
  </conditionalFormatting>
  <conditionalFormatting sqref="H4:I9 F4:G11 Q4:Q45 L5:M45 J6:P29 F10:I45 K30:P33 J30:J34">
    <cfRule type="cellIs" dxfId="169" priority="357" operator="between">
      <formula>0.1</formula>
      <formula>0.999</formula>
    </cfRule>
  </conditionalFormatting>
  <conditionalFormatting sqref="H4:I9 J4:P29 L4:M45 Q4:Q45 F10:I45 K30:P33 J30:J45">
    <cfRule type="cellIs" dxfId="168" priority="76" operator="greaterThanOrEqual">
      <formula>10000</formula>
    </cfRule>
  </conditionalFormatting>
  <conditionalFormatting sqref="H4:I11">
    <cfRule type="cellIs" dxfId="167" priority="9" operator="between">
      <formula>1</formula>
      <formula>9.999</formula>
    </cfRule>
    <cfRule type="cellIs" dxfId="166" priority="10" operator="lessThan">
      <formula>0.1</formula>
    </cfRule>
    <cfRule type="cellIs" dxfId="165" priority="11" operator="between">
      <formula>0.1</formula>
      <formula>0.999</formula>
    </cfRule>
    <cfRule type="cellIs" dxfId="164" priority="12" operator="greaterThan">
      <formula>10000</formula>
    </cfRule>
  </conditionalFormatting>
  <conditionalFormatting sqref="H16:I17">
    <cfRule type="cellIs" dxfId="163" priority="3" operator="between">
      <formula>0.1</formula>
      <formula>0.999</formula>
    </cfRule>
    <cfRule type="cellIs" dxfId="162" priority="4" operator="greaterThan">
      <formula>10000</formula>
    </cfRule>
    <cfRule type="cellIs" dxfId="161" priority="1" operator="between">
      <formula>1</formula>
      <formula>9.999</formula>
    </cfRule>
    <cfRule type="cellIs" dxfId="160" priority="2" operator="lessThan">
      <formula>0.1</formula>
    </cfRule>
  </conditionalFormatting>
  <conditionalFormatting sqref="H40:I45">
    <cfRule type="cellIs" dxfId="159" priority="15" operator="between">
      <formula>0.1</formula>
      <formula>0.999</formula>
    </cfRule>
    <cfRule type="cellIs" dxfId="158" priority="13" operator="between">
      <formula>1</formula>
      <formula>9.999</formula>
    </cfRule>
    <cfRule type="cellIs" dxfId="157" priority="8" operator="greaterThan">
      <formula>10000</formula>
    </cfRule>
    <cfRule type="cellIs" dxfId="156" priority="6" operator="lessThan">
      <formula>0.1</formula>
    </cfRule>
  </conditionalFormatting>
  <conditionalFormatting sqref="H42:I42 H45:I45">
    <cfRule type="cellIs" dxfId="155" priority="5" operator="between">
      <formula>1</formula>
      <formula>9.999</formula>
    </cfRule>
    <cfRule type="cellIs" dxfId="154" priority="7" operator="between">
      <formula>0.1</formula>
      <formula>0.999</formula>
    </cfRule>
  </conditionalFormatting>
  <conditionalFormatting sqref="J4:P5 J35:J45">
    <cfRule type="cellIs" dxfId="153" priority="364" operator="between">
      <formula>1</formula>
      <formula>9.999</formula>
    </cfRule>
    <cfRule type="cellIs" dxfId="152" priority="365" operator="between">
      <formula>0.1</formula>
      <formula>0.999</formula>
    </cfRule>
  </conditionalFormatting>
  <conditionalFormatting sqref="L4:M45">
    <cfRule type="cellIs" dxfId="151" priority="346" operator="lessThan">
      <formula>0.1</formula>
    </cfRule>
    <cfRule type="cellIs" dxfId="150" priority="347" operator="between">
      <formula>0.1</formula>
      <formula>0.999</formula>
    </cfRule>
    <cfRule type="cellIs" dxfId="149" priority="348" operator="between">
      <formula>1</formula>
      <formula>9.999</formula>
    </cfRule>
    <cfRule type="cellIs" dxfId="148" priority="349" operator="between">
      <formula>10</formula>
      <formula>9999.999</formula>
    </cfRule>
  </conditionalFormatting>
  <conditionalFormatting sqref="L5:M45 J6:P29 K30:P33 F4:G11 F10:I45 H4:I9 Q4:Q45 J30:J34">
    <cfRule type="cellIs" dxfId="147" priority="355" operator="between">
      <formula>1</formula>
      <formula>9.999</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5426-BDBC-475C-88AC-FB17AC9ACD28}">
  <sheetPr codeName="Sheet12">
    <tabColor rgb="FF92D050"/>
  </sheetPr>
  <dimension ref="A1:FG44"/>
  <sheetViews>
    <sheetView workbookViewId="0">
      <selection activeCell="M11" sqref="M11"/>
    </sheetView>
  </sheetViews>
  <sheetFormatPr defaultColWidth="8.85546875" defaultRowHeight="12.75" x14ac:dyDescent="0.25"/>
  <cols>
    <col min="1" max="1" width="4.5703125" style="26" customWidth="1"/>
    <col min="2" max="2" width="5.140625" style="27" hidden="1" customWidth="1"/>
    <col min="3" max="3" width="23.140625" style="26" customWidth="1"/>
    <col min="4" max="4" width="43.42578125" style="27" customWidth="1"/>
    <col min="5" max="5" width="18" style="26" bestFit="1" customWidth="1"/>
    <col min="6" max="6" width="10.42578125" style="26" bestFit="1" customWidth="1"/>
    <col min="7" max="9" width="10.140625" style="26" customWidth="1"/>
    <col min="10" max="10" width="3" style="26" customWidth="1"/>
    <col min="11" max="11" width="20.5703125" style="26" customWidth="1"/>
    <col min="12" max="12" width="25.85546875" style="26" bestFit="1" customWidth="1"/>
    <col min="13" max="13" width="23.140625" style="26" customWidth="1"/>
    <col min="14" max="14" width="11.140625" style="26" customWidth="1"/>
    <col min="15" max="15" width="13.85546875" style="26" customWidth="1"/>
    <col min="16" max="16" width="11.5703125" style="26" customWidth="1"/>
    <col min="17" max="17" width="8.5703125" style="26" customWidth="1"/>
    <col min="18" max="18" width="2" style="26" customWidth="1"/>
    <col min="19" max="19" width="15.42578125" style="26" customWidth="1"/>
    <col min="20" max="20" width="23.140625" style="26" customWidth="1"/>
    <col min="21" max="21" width="18.85546875" style="26" customWidth="1"/>
    <col min="22" max="23" width="17.42578125" style="26" customWidth="1"/>
    <col min="24" max="27" width="20.42578125" style="26" customWidth="1"/>
    <col min="28" max="29" width="18.85546875" style="26" customWidth="1"/>
    <col min="30" max="30" width="28.42578125" style="113" customWidth="1"/>
    <col min="31" max="31" width="26.85546875" style="113" customWidth="1"/>
    <col min="32" max="32" width="15.140625" style="113" customWidth="1"/>
    <col min="33" max="33" width="17.85546875" style="113" customWidth="1"/>
    <col min="34" max="34" width="22.42578125" style="113" customWidth="1"/>
    <col min="35" max="35" width="21.85546875" style="113" customWidth="1"/>
    <col min="36" max="36" width="17.42578125" style="113" customWidth="1"/>
    <col min="37" max="37" width="14.5703125" style="26" customWidth="1"/>
    <col min="38" max="38" width="17.140625" style="26" customWidth="1"/>
    <col min="39" max="39" width="16" style="26" customWidth="1"/>
    <col min="40" max="40" width="24.140625" style="26" customWidth="1"/>
    <col min="41" max="41" width="15.5703125" style="26" customWidth="1"/>
    <col min="42" max="42" width="14.140625" style="26" customWidth="1"/>
    <col min="43" max="44" width="8.85546875" style="26"/>
    <col min="45" max="45" width="18.42578125" style="26" customWidth="1"/>
    <col min="46" max="46" width="15" style="26" customWidth="1"/>
    <col min="47" max="47" width="21.42578125" style="26" customWidth="1"/>
    <col min="48" max="48" width="15.42578125" style="26" customWidth="1"/>
    <col min="49" max="49" width="16.5703125" style="26" customWidth="1"/>
    <col min="50" max="51" width="8.85546875" style="26"/>
    <col min="52" max="52" width="17.85546875" style="26" customWidth="1"/>
    <col min="53" max="53" width="14.42578125" style="26" customWidth="1"/>
    <col min="54" max="54" width="18.5703125" style="26" customWidth="1"/>
    <col min="55" max="55" width="13.5703125" style="26" customWidth="1"/>
    <col min="56" max="56" width="15.140625" style="26" customWidth="1"/>
    <col min="57" max="58" width="8.85546875" style="26"/>
    <col min="59" max="59" width="16.140625" style="26" customWidth="1"/>
    <col min="60" max="60" width="12" style="26" customWidth="1"/>
    <col min="61" max="61" width="18" style="26" customWidth="1"/>
    <col min="62" max="62" width="16.140625" style="26" customWidth="1"/>
    <col min="63" max="63" width="14.140625" style="26" customWidth="1"/>
    <col min="64" max="64" width="10.140625" style="26" customWidth="1"/>
    <col min="65" max="16384" width="8.85546875" style="26"/>
  </cols>
  <sheetData>
    <row r="1" spans="1:163" ht="13.5" thickBot="1" x14ac:dyDescent="0.3">
      <c r="J1" s="28"/>
      <c r="K1" s="28"/>
      <c r="L1" s="28"/>
      <c r="AD1" s="26"/>
      <c r="AE1" s="26"/>
      <c r="AF1" s="26"/>
      <c r="AG1" s="26"/>
      <c r="AH1" s="26"/>
      <c r="AI1" s="26"/>
      <c r="AJ1" s="26"/>
    </row>
    <row r="2" spans="1:163" s="28" customFormat="1" ht="27.75" thickBot="1" x14ac:dyDescent="0.25">
      <c r="B2" s="29"/>
      <c r="C2" s="30" t="s">
        <v>62</v>
      </c>
      <c r="D2" s="446" t="s">
        <v>256</v>
      </c>
      <c r="H2" s="36"/>
    </row>
    <row r="3" spans="1:163" s="28" customFormat="1" ht="25.5" x14ac:dyDescent="0.2">
      <c r="B3" s="29"/>
      <c r="C3" s="37" t="s">
        <v>66</v>
      </c>
      <c r="D3" s="447" t="s">
        <v>67</v>
      </c>
      <c r="H3" s="36"/>
    </row>
    <row r="4" spans="1:163" s="28" customFormat="1" ht="30.75" customHeight="1" x14ac:dyDescent="0.2">
      <c r="B4" s="29"/>
      <c r="C4" s="43" t="s">
        <v>139</v>
      </c>
      <c r="D4" s="448" t="str">
        <f>_xlfn.XLOOKUP($C$4,Inhalation_Exp[OES],Inhalation_Exp[Data Type])</f>
        <v>Monitoring Data</v>
      </c>
      <c r="H4" s="36"/>
    </row>
    <row r="5" spans="1:163" s="28" customFormat="1" x14ac:dyDescent="0.25">
      <c r="B5" s="29"/>
      <c r="C5" s="49"/>
      <c r="D5" s="49"/>
      <c r="E5" s="49"/>
      <c r="H5" s="50"/>
      <c r="I5" s="51"/>
      <c r="L5" s="49"/>
    </row>
    <row r="6" spans="1:163" ht="15" customHeight="1" x14ac:dyDescent="0.25">
      <c r="A6" s="28"/>
      <c r="C6" s="52" t="s">
        <v>73</v>
      </c>
      <c r="D6" s="29"/>
      <c r="E6" s="29"/>
      <c r="F6" s="50"/>
      <c r="G6" s="50"/>
      <c r="H6" s="50"/>
      <c r="I6" s="50"/>
      <c r="K6" s="52" t="s">
        <v>65</v>
      </c>
      <c r="M6" s="28"/>
      <c r="N6" s="28"/>
      <c r="O6" s="50"/>
      <c r="P6" s="50"/>
      <c r="Q6" s="50"/>
      <c r="S6" s="52" t="s">
        <v>74</v>
      </c>
      <c r="T6" s="29"/>
      <c r="U6" s="50"/>
      <c r="V6" s="50"/>
      <c r="W6" s="50"/>
      <c r="X6" s="50"/>
      <c r="Y6" s="52"/>
      <c r="Z6" s="28"/>
      <c r="AA6" s="28"/>
      <c r="AB6" s="28"/>
      <c r="AC6" s="28"/>
      <c r="AD6" s="26"/>
      <c r="AE6" s="26"/>
      <c r="AF6" s="26"/>
      <c r="AG6" s="26"/>
      <c r="AH6" s="26"/>
      <c r="AI6" s="26"/>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row>
    <row r="7" spans="1:163" ht="15" customHeight="1" thickBot="1" x14ac:dyDescent="0.3">
      <c r="A7" s="28"/>
      <c r="C7" s="53" t="s">
        <v>75</v>
      </c>
      <c r="E7" s="27"/>
      <c r="I7" s="54"/>
      <c r="K7" s="53" t="s">
        <v>75</v>
      </c>
      <c r="N7" s="56"/>
      <c r="O7" s="50"/>
      <c r="P7" s="50"/>
      <c r="Q7" s="50"/>
      <c r="S7" s="53" t="s">
        <v>75</v>
      </c>
      <c r="T7" s="27"/>
      <c r="V7" s="54"/>
      <c r="W7" s="54"/>
      <c r="X7" s="55"/>
      <c r="Y7" s="52"/>
      <c r="AD7" s="26"/>
      <c r="AE7" s="26"/>
      <c r="AF7" s="26"/>
      <c r="AG7" s="26"/>
      <c r="AH7" s="26"/>
      <c r="AI7" s="26"/>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row>
    <row r="8" spans="1:163" ht="25.5" customHeight="1" x14ac:dyDescent="0.25">
      <c r="A8" s="28"/>
      <c r="C8" s="57" t="s">
        <v>76</v>
      </c>
      <c r="D8" s="58" t="s">
        <v>77</v>
      </c>
      <c r="E8" s="58" t="s">
        <v>257</v>
      </c>
      <c r="F8" s="59" t="s">
        <v>78</v>
      </c>
      <c r="G8" s="59" t="s">
        <v>79</v>
      </c>
      <c r="H8" s="59" t="s">
        <v>80</v>
      </c>
      <c r="I8" s="60" t="s">
        <v>81</v>
      </c>
      <c r="J8" s="61"/>
      <c r="K8" s="57" t="s">
        <v>76</v>
      </c>
      <c r="L8" s="63" t="s">
        <v>77</v>
      </c>
      <c r="M8" s="59" t="s">
        <v>258</v>
      </c>
      <c r="N8" s="59" t="s">
        <v>78</v>
      </c>
      <c r="O8" s="59" t="s">
        <v>79</v>
      </c>
      <c r="P8" s="59" t="s">
        <v>80</v>
      </c>
      <c r="Q8" s="60" t="s">
        <v>81</v>
      </c>
      <c r="S8" s="57" t="s">
        <v>76</v>
      </c>
      <c r="T8" s="58" t="s">
        <v>77</v>
      </c>
      <c r="U8" s="59" t="s">
        <v>78</v>
      </c>
      <c r="V8" s="59" t="s">
        <v>82</v>
      </c>
      <c r="W8" s="59" t="s">
        <v>80</v>
      </c>
      <c r="X8" s="60" t="s">
        <v>81</v>
      </c>
      <c r="Y8" s="52"/>
      <c r="Z8" s="61"/>
      <c r="AA8" s="61"/>
      <c r="AB8" s="61"/>
      <c r="AC8" s="61"/>
      <c r="AD8" s="61"/>
      <c r="AE8" s="26"/>
      <c r="AF8" s="26"/>
      <c r="AG8" s="26"/>
      <c r="AH8" s="26"/>
      <c r="AI8" s="26"/>
      <c r="AJ8" s="26"/>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row>
    <row r="9" spans="1:163" ht="27.75" customHeight="1" thickBot="1" x14ac:dyDescent="0.3">
      <c r="A9" s="28"/>
      <c r="C9" s="68"/>
      <c r="D9" s="69"/>
      <c r="E9" s="69"/>
      <c r="F9" s="74" t="s">
        <v>83</v>
      </c>
      <c r="G9" s="74" t="s">
        <v>84</v>
      </c>
      <c r="H9" s="74" t="s">
        <v>85</v>
      </c>
      <c r="I9" s="75" t="s">
        <v>86</v>
      </c>
      <c r="J9" s="61"/>
      <c r="K9" s="449"/>
      <c r="L9" s="73"/>
      <c r="M9" s="74" t="s">
        <v>259</v>
      </c>
      <c r="N9" s="74" t="s">
        <v>83</v>
      </c>
      <c r="O9" s="74" t="s">
        <v>84</v>
      </c>
      <c r="P9" s="74" t="s">
        <v>87</v>
      </c>
      <c r="Q9" s="75" t="s">
        <v>88</v>
      </c>
      <c r="S9" s="68"/>
      <c r="T9" s="69"/>
      <c r="U9" s="74" t="s">
        <v>89</v>
      </c>
      <c r="V9" s="74" t="s">
        <v>84</v>
      </c>
      <c r="W9" s="74" t="s">
        <v>85</v>
      </c>
      <c r="X9" s="75" t="s">
        <v>86</v>
      </c>
      <c r="Y9" s="52"/>
      <c r="Z9" s="61"/>
      <c r="AA9" s="61"/>
      <c r="AB9" s="61"/>
      <c r="AC9" s="61"/>
      <c r="AD9" s="61"/>
      <c r="AE9" s="26"/>
      <c r="AF9" s="26"/>
      <c r="AG9" s="26"/>
      <c r="AH9" s="26"/>
      <c r="AI9" s="26"/>
      <c r="AJ9" s="26"/>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163" ht="27.75" customHeight="1" x14ac:dyDescent="0.25">
      <c r="A10" s="28"/>
      <c r="C10" s="450" t="s">
        <v>197</v>
      </c>
      <c r="D10" s="451" t="s">
        <v>90</v>
      </c>
      <c r="E10" s="86">
        <f>SUMIFS(Inhalation_Exp[All Forms HE],Inhalation_Exp[OES],$C$4,Inhalation_Exp[Worker Type],$C10,Inhalation_Exp[Data Type],$D$4)</f>
        <v>1</v>
      </c>
      <c r="F10" s="86">
        <f>SUMIFS(Inhalation_Exp[24hr_High-End],Inhalation_Exp[OES],$C$4,Inhalation_Exp[Worker Type],$C10,Inhalation_Exp[Data Type],$D$4)</f>
        <v>0.125</v>
      </c>
      <c r="G10" s="86">
        <f>SUMIFS(Inhalation_Exp[Int_High-End],Inhalation_Exp[OES],$C$4,Inhalation_Exp[Worker Type],$C10,Inhalation_Exp[Data Type],$D$4)</f>
        <v>9.166666666666666E-2</v>
      </c>
      <c r="H10" s="86">
        <f>SUMIFS(Inhalation_Exp[ADD_High-End],Inhalation_Exp[OES],$C$4,Inhalation_Exp[Worker Type],$C10,Inhalation_Exp[Data Type],$D$4)</f>
        <v>8.5616438356164379E-2</v>
      </c>
      <c r="I10" s="98">
        <f>SUMIFS(Inhalation_Exp[LADD_High-End],Inhalation_Exp[OES],$C$4,Inhalation_Exp[Worker Type],$C10,Inhalation_Exp[Data Type],$D$4)</f>
        <v>4.3905865823674041E-2</v>
      </c>
      <c r="J10" s="61"/>
      <c r="K10" s="450" t="s">
        <v>197</v>
      </c>
      <c r="L10" s="451" t="s">
        <v>90</v>
      </c>
      <c r="M10" s="86">
        <f>N10*BW_default</f>
        <v>200.80333333333331</v>
      </c>
      <c r="N10" s="86">
        <f>SUMIFS(Dermal_Exp[High-End AD (mg/kg-day)],Dermal_Exp[Worker Type],$K10,Dermal_Exp[OES],$C$4)</f>
        <v>2.5100416666666665</v>
      </c>
      <c r="O10" s="86">
        <f>SUMIFS(Dermal_Exp[High-End IADD (mg/kg-day)],Dermal_Exp[Worker Type],$K10,Dermal_Exp[OES],$C$4)</f>
        <v>1.840697222222222</v>
      </c>
      <c r="P10" s="86">
        <f>SUMIFS(Dermal_Exp[High-End ADD (mg/kg-day)],Dermal_Exp[Worker Type],$K10,Dermal_Exp[OES],$C$4)</f>
        <v>1.719206621004566</v>
      </c>
      <c r="Q10" s="98">
        <f>SUMIFS(Dermal_Exp[High-End LADD (mg/kg-day)],Dermal_Exp[Worker Type],$K10,Dermal_Exp[OES],$C$4)</f>
        <v>0.88164442102798257</v>
      </c>
      <c r="S10" s="450" t="s">
        <v>197</v>
      </c>
      <c r="T10" s="451" t="s">
        <v>90</v>
      </c>
      <c r="U10" s="86">
        <f>N10+F10</f>
        <v>2.6350416666666665</v>
      </c>
      <c r="V10" s="86">
        <f>O10+G10</f>
        <v>1.9323638888888885</v>
      </c>
      <c r="W10" s="86">
        <f>P10+H10</f>
        <v>1.8048230593607304</v>
      </c>
      <c r="X10" s="98">
        <f>Q10+I10</f>
        <v>0.92555028685165663</v>
      </c>
      <c r="Y10" s="52"/>
      <c r="Z10" s="61"/>
      <c r="AA10" s="61"/>
      <c r="AB10" s="61"/>
      <c r="AC10" s="61"/>
      <c r="AD10" s="61"/>
      <c r="AE10" s="26"/>
      <c r="AF10" s="26"/>
      <c r="AG10" s="26"/>
      <c r="AH10" s="26"/>
      <c r="AI10" s="26"/>
      <c r="AJ10" s="26"/>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163" ht="15" customHeight="1" x14ac:dyDescent="0.25">
      <c r="A11" s="28"/>
      <c r="C11" s="452" t="s">
        <v>72</v>
      </c>
      <c r="D11" s="453"/>
      <c r="E11" s="332">
        <f>SUMIFS(Inhalation_Exp[All Forms HE],Inhalation_Exp[OES],$C$4,Inhalation_Exp[Worker Type],$C11,Inhalation_Exp[Data Type],$D$4)</f>
        <v>1</v>
      </c>
      <c r="F11" s="332">
        <f>SUMIFS(Inhalation_Exp[24hr_High-End],Inhalation_Exp[OES],$C$4,Inhalation_Exp[Worker Type],$C11,Inhalation_Exp[Data Type],$D$4)</f>
        <v>0.13807386952019329</v>
      </c>
      <c r="G11" s="332">
        <f>SUMIFS(Inhalation_Exp[Int_High-End],Inhalation_Exp[OES],$C$4,Inhalation_Exp[Worker Type],$C11,Inhalation_Exp[Data Type],$D$4)</f>
        <v>0.10125417098147509</v>
      </c>
      <c r="H11" s="332">
        <f>SUMIFS(Inhalation_Exp[ADD_High-End],Inhalation_Exp[OES],$C$4,Inhalation_Exp[Worker Type],$C11,Inhalation_Exp[Data Type],$D$4)</f>
        <v>9.4571143506981703E-2</v>
      </c>
      <c r="I11" s="454">
        <f>SUMIFS(Inhalation_Exp[LADD_High-End],Inhalation_Exp[OES],$C$4,Inhalation_Exp[Worker Type],$C11,Inhalation_Exp[Data Type],$D$4)</f>
        <v>4.8498022311272669E-2</v>
      </c>
      <c r="J11" s="83"/>
      <c r="K11" s="452" t="s">
        <v>72</v>
      </c>
      <c r="L11" s="453"/>
      <c r="M11" s="332">
        <f>N11*BW_F</f>
        <v>167.08100713627991</v>
      </c>
      <c r="N11" s="332">
        <f>SUMIFS(Dermal_Exp[High-End AD (mg/kg-day)],Dermal_Exp[Worker Type],$K11,Dermal_Exp[OES],$C$4)</f>
        <v>2.3069521178637196</v>
      </c>
      <c r="O11" s="332">
        <f>SUMIFS(Dermal_Exp[High-End IADD (mg/kg-day)],Dermal_Exp[Worker Type],$K11,Dermal_Exp[OES],$C$4)</f>
        <v>1.6917648864333943</v>
      </c>
      <c r="P11" s="332">
        <f>SUMIFS(Dermal_Exp[High-End ADD (mg/kg-day)],Dermal_Exp[Worker Type],$K11,Dermal_Exp[OES],$C$4)</f>
        <v>1.5801041903176161</v>
      </c>
      <c r="Q11" s="454">
        <f>SUMIFS(Dermal_Exp[High-End LADD (mg/kg-day)],Dermal_Exp[Worker Type],$K11,Dermal_Exp[OES],$C$4)</f>
        <v>0.81030984118852112</v>
      </c>
      <c r="S11" s="452" t="s">
        <v>72</v>
      </c>
      <c r="T11" s="453"/>
      <c r="U11" s="332">
        <f t="shared" ref="U11:W15" si="0">N11+F11</f>
        <v>2.4450259873839126</v>
      </c>
      <c r="V11" s="332">
        <f t="shared" si="0"/>
        <v>1.7930190574148694</v>
      </c>
      <c r="W11" s="332">
        <f t="shared" si="0"/>
        <v>1.6746753338245979</v>
      </c>
      <c r="X11" s="454">
        <f>I11+Q11</f>
        <v>0.85880786349979377</v>
      </c>
      <c r="Y11" s="52"/>
      <c r="Z11" s="83"/>
      <c r="AA11" s="83"/>
      <c r="AB11" s="83"/>
      <c r="AC11" s="83"/>
      <c r="AD11" s="83"/>
      <c r="AE11" s="26"/>
      <c r="AF11" s="26"/>
      <c r="AG11" s="26"/>
      <c r="AH11" s="26"/>
      <c r="AI11" s="26"/>
      <c r="AJ11" s="26"/>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163" ht="15.75" customHeight="1" thickBot="1" x14ac:dyDescent="0.3">
      <c r="A12" s="28"/>
      <c r="C12" s="455" t="s">
        <v>92</v>
      </c>
      <c r="D12" s="456"/>
      <c r="E12" s="103">
        <f>SUMIFS(Inhalation_Exp[All Forms HE],Inhalation_Exp[OES],$C$4,Inhalation_Exp[Worker Type],$C12,Inhalation_Exp[Data Type],$D$4)</f>
        <v>0.5</v>
      </c>
      <c r="F12" s="103">
        <f>SUMIFS(Inhalation_Exp[24hr_High-End],Inhalation_Exp[OES],$C$4,Inhalation_Exp[Worker Type],$C12,Inhalation_Exp[Data Type],$D$4)</f>
        <v>6.25E-2</v>
      </c>
      <c r="G12" s="103">
        <f>SUMIFS(Inhalation_Exp[Int_High-End],Inhalation_Exp[OES],$C$4,Inhalation_Exp[Worker Type],$C12,Inhalation_Exp[Data Type],$D$4)</f>
        <v>4.583333333333333E-2</v>
      </c>
      <c r="H12" s="103">
        <f>SUMIFS(Inhalation_Exp[ADD_High-End],Inhalation_Exp[OES],$C$4,Inhalation_Exp[Worker Type],$C12,Inhalation_Exp[Data Type],$D$4)</f>
        <v>4.2808219178082189E-2</v>
      </c>
      <c r="I12" s="104">
        <f>SUMIFS(Inhalation_Exp[LADD_High-End],Inhalation_Exp[OES],$C$4,Inhalation_Exp[Worker Type],$C12,Inhalation_Exp[Data Type],$D$4)</f>
        <v>2.195293291183702E-2</v>
      </c>
      <c r="J12" s="83"/>
      <c r="K12" s="455" t="s">
        <v>92</v>
      </c>
      <c r="L12" s="456"/>
      <c r="M12" s="103">
        <f>N12*BW_default</f>
        <v>0</v>
      </c>
      <c r="N12" s="103">
        <f>SUMIFS(Dermal_Exp[High-End AD (mg/kg-day)],Dermal_Exp[Worker Type],$K12,Dermal_Exp[OES],$C$4)</f>
        <v>0</v>
      </c>
      <c r="O12" s="103">
        <f>SUMIFS(Dermal_Exp[High-End IADD (mg/kg-day)],Dermal_Exp[Worker Type],$K12,Dermal_Exp[OES],$C$4)</f>
        <v>0</v>
      </c>
      <c r="P12" s="103">
        <f>SUMIFS(Dermal_Exp[High-End ADD (mg/kg-day)],Dermal_Exp[Worker Type],$K12,Dermal_Exp[OES],$C$4)</f>
        <v>0</v>
      </c>
      <c r="Q12" s="104">
        <f>SUMIFS(Dermal_Exp[High-End LADD (mg/kg-day)],Dermal_Exp[Worker Type],$K12,Dermal_Exp[OES],$C$4)</f>
        <v>0</v>
      </c>
      <c r="S12" s="455" t="s">
        <v>92</v>
      </c>
      <c r="T12" s="456"/>
      <c r="U12" s="103">
        <f t="shared" si="0"/>
        <v>6.25E-2</v>
      </c>
      <c r="V12" s="103">
        <f t="shared" si="0"/>
        <v>4.583333333333333E-2</v>
      </c>
      <c r="W12" s="103">
        <f t="shared" si="0"/>
        <v>4.2808219178082189E-2</v>
      </c>
      <c r="X12" s="104">
        <f>I12+Q12</f>
        <v>2.195293291183702E-2</v>
      </c>
      <c r="Y12" s="52"/>
      <c r="Z12" s="83"/>
      <c r="AA12" s="83"/>
      <c r="AB12" s="83"/>
      <c r="AC12" s="83"/>
      <c r="AD12" s="83"/>
      <c r="AE12" s="26"/>
      <c r="AF12" s="26"/>
      <c r="AG12" s="26"/>
      <c r="AH12" s="26"/>
      <c r="AI12" s="26"/>
      <c r="AJ12" s="26"/>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row>
    <row r="13" spans="1:163" ht="15.75" customHeight="1" x14ac:dyDescent="0.25">
      <c r="A13" s="28"/>
      <c r="C13" s="457" t="s">
        <v>197</v>
      </c>
      <c r="D13" s="451" t="s">
        <v>91</v>
      </c>
      <c r="E13" s="86">
        <f>SUMIFS(Inhalation_Exp[All Forms CT],Inhalation_Exp[OES],$C$4,Inhalation_Exp[Worker Type],$C13,Inhalation_Exp[Data Type],$D$4)</f>
        <v>0.5</v>
      </c>
      <c r="F13" s="81">
        <f>SUMIFS(Inhalation_Exp[24hr_Central Tendency],Inhalation_Exp[OES],$C$4,Inhalation_Exp[Worker Type],$C13,Inhalation_Exp[Data Type],$D$4)</f>
        <v>6.25E-2</v>
      </c>
      <c r="G13" s="81">
        <f>SUMIFS(Inhalation_Exp[Int_Central Tendency],Inhalation_Exp[OES],$C$4,Inhalation_Exp[Worker Type],$C13,Inhalation_Exp[Data Type],$D$4)</f>
        <v>4.583333333333333E-2</v>
      </c>
      <c r="H13" s="458">
        <f>SUMIFS(Inhalation_Exp[ADD_Central Tendency],Inhalation_Exp[OES],$C$4,Inhalation_Exp[Worker Type],$C13,Inhalation_Exp[Data Type],$D$4)</f>
        <v>4.2808219178082189E-2</v>
      </c>
      <c r="I13" s="82">
        <f>SUMIFS(Inhalation_Exp[LADD_Central Tendency],Inhalation_Exp[OES],$C$4,Inhalation_Exp[Worker Type],$C13,Inhalation_Exp[Data Type],$D$4)</f>
        <v>1.7013523006673692E-2</v>
      </c>
      <c r="J13" s="83"/>
      <c r="K13" s="452" t="s">
        <v>197</v>
      </c>
      <c r="L13" s="451" t="s">
        <v>91</v>
      </c>
      <c r="M13" s="86">
        <f>N13*BW_default</f>
        <v>100.40166666666666</v>
      </c>
      <c r="N13" s="86">
        <f>SUMIFS(Dermal_Exp[Central Tendency AD (mg/kg-day)],Dermal_Exp[Worker Type],$K13,Dermal_Exp[OES],$C$4)</f>
        <v>1.2550208333333333</v>
      </c>
      <c r="O13" s="86">
        <f>SUMIFS(Dermal_Exp[Central Tendency IADD (mg/kg-day)],Dermal_Exp[Worker Type],$K13,Dermal_Exp[OES],$C$4)</f>
        <v>0.92034861111111099</v>
      </c>
      <c r="P13" s="86">
        <f>SUMIFS(Dermal_Exp[Central Tendency ADD (mg/kg-day)],Dermal_Exp[Worker Type],$K13,Dermal_Exp[OES],$C$4)</f>
        <v>0.859603310502283</v>
      </c>
      <c r="Q13" s="98">
        <f>SUMIFS(Dermal_Exp[Central Tendency LADD (mg/kg-day)],Dermal_Exp[Worker Type],$K13,Dermal_Exp[OES],$C$4)</f>
        <v>0.34163721314834322</v>
      </c>
      <c r="S13" s="452" t="s">
        <v>197</v>
      </c>
      <c r="T13" s="451" t="s">
        <v>91</v>
      </c>
      <c r="U13" s="459">
        <f t="shared" si="0"/>
        <v>1.3175208333333333</v>
      </c>
      <c r="V13" s="459">
        <f t="shared" si="0"/>
        <v>0.96618194444444427</v>
      </c>
      <c r="W13" s="459">
        <f t="shared" si="0"/>
        <v>0.9024115296803652</v>
      </c>
      <c r="X13" s="460">
        <f>Q13+I13</f>
        <v>0.35865073615501691</v>
      </c>
      <c r="Y13" s="52"/>
      <c r="Z13" s="83"/>
      <c r="AA13" s="83"/>
      <c r="AB13" s="83"/>
      <c r="AC13" s="83"/>
      <c r="AD13" s="83"/>
      <c r="AE13" s="26"/>
      <c r="AF13" s="26"/>
      <c r="AG13" s="26"/>
      <c r="AH13" s="26"/>
      <c r="AI13" s="26"/>
      <c r="AJ13" s="26"/>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row>
    <row r="14" spans="1:163" ht="15" customHeight="1" x14ac:dyDescent="0.25">
      <c r="A14" s="28"/>
      <c r="C14" s="452" t="s">
        <v>72</v>
      </c>
      <c r="D14" s="453"/>
      <c r="E14" s="332">
        <f>SUMIFS(Inhalation_Exp[All Forms CT],Inhalation_Exp[OES],$C$4,Inhalation_Exp[Worker Type],$C14,Inhalation_Exp[Data Type],$D$4)</f>
        <v>0.5</v>
      </c>
      <c r="F14" s="332">
        <f>SUMIFS(Inhalation_Exp[24hr_Central Tendency],Inhalation_Exp[OES],$C$4,Inhalation_Exp[Worker Type],$C14,Inhalation_Exp[Data Type],$D$4)</f>
        <v>6.9036934760096647E-2</v>
      </c>
      <c r="G14" s="332">
        <f>SUMIFS(Inhalation_Exp[Int_Central Tendency],Inhalation_Exp[OES],$C$4,Inhalation_Exp[Worker Type],$C14,Inhalation_Exp[Data Type],$D$4)</f>
        <v>5.0627085490737543E-2</v>
      </c>
      <c r="H14" s="332">
        <f>SUMIFS(Inhalation_Exp[ADD_Central Tendency],Inhalation_Exp[OES],$C$4,Inhalation_Exp[Worker Type],$C14,Inhalation_Exp[Data Type],$D$4)</f>
        <v>4.7285571753490852E-2</v>
      </c>
      <c r="I14" s="454">
        <f>SUMIFS(Inhalation_Exp[LADD_Central Tendency],Inhalation_Exp[OES],$C$4,Inhalation_Exp[Worker Type],$C14,Inhalation_Exp[Data Type],$D$4)</f>
        <v>1.8792983645618159E-2</v>
      </c>
      <c r="J14" s="83"/>
      <c r="K14" s="452" t="s">
        <v>72</v>
      </c>
      <c r="L14" s="453"/>
      <c r="M14" s="332">
        <f>N14*BW_F</f>
        <v>83.540503568139954</v>
      </c>
      <c r="N14" s="332">
        <f>SUMIFS(Dermal_Exp[Central Tendency AD (mg/kg-day)],Dermal_Exp[Worker Type],$K14,Dermal_Exp[OES],$C$4)</f>
        <v>1.1534760589318598</v>
      </c>
      <c r="O14" s="332">
        <f>SUMIFS(Dermal_Exp[Central Tendency IADD (mg/kg-day)],Dermal_Exp[Worker Type],$K14,Dermal_Exp[OES],$C$4)</f>
        <v>0.84588244321669714</v>
      </c>
      <c r="P14" s="332">
        <f>SUMIFS(Dermal_Exp[Central Tendency ADD (mg/kg-day)],Dermal_Exp[Worker Type],$K14,Dermal_Exp[OES],$C$4)</f>
        <v>0.79005209515880803</v>
      </c>
      <c r="Q14" s="454">
        <f>SUMIFS(Dermal_Exp[Central Tendency LADD (mg/kg-day)],Dermal_Exp[Worker Type],$K14,Dermal_Exp[OES],$C$4)</f>
        <v>0.31399506346055195</v>
      </c>
      <c r="S14" s="452" t="s">
        <v>72</v>
      </c>
      <c r="T14" s="453"/>
      <c r="U14" s="332">
        <f t="shared" si="0"/>
        <v>1.2225129936919563</v>
      </c>
      <c r="V14" s="332">
        <f t="shared" si="0"/>
        <v>0.89650952870743472</v>
      </c>
      <c r="W14" s="332">
        <f t="shared" si="0"/>
        <v>0.83733766691229894</v>
      </c>
      <c r="X14" s="454">
        <f>I14+Q14</f>
        <v>0.3327880471061701</v>
      </c>
      <c r="Y14" s="52"/>
      <c r="Z14" s="83"/>
      <c r="AA14" s="83"/>
      <c r="AB14" s="83"/>
      <c r="AC14" s="83"/>
      <c r="AD14" s="83"/>
      <c r="AE14" s="26"/>
      <c r="AF14" s="26"/>
      <c r="AG14" s="26"/>
      <c r="AH14" s="26"/>
      <c r="AI14" s="26"/>
      <c r="AJ14" s="26"/>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row>
    <row r="15" spans="1:163" ht="15.75" customHeight="1" thickBot="1" x14ac:dyDescent="0.3">
      <c r="A15" s="28"/>
      <c r="C15" s="455" t="s">
        <v>92</v>
      </c>
      <c r="D15" s="456"/>
      <c r="E15" s="103">
        <f>SUMIFS(Inhalation_Exp[All Forms CT],Inhalation_Exp[OES],$C$4,Inhalation_Exp[Worker Type],$C15,Inhalation_Exp[Data Type],$D$4)</f>
        <v>0.5</v>
      </c>
      <c r="F15" s="103">
        <f>SUMIFS(Inhalation_Exp[24hr_Central Tendency],Inhalation_Exp[OES],$C$4,Inhalation_Exp[Worker Type],$C15,Inhalation_Exp[Data Type],$D$4)</f>
        <v>6.25E-2</v>
      </c>
      <c r="G15" s="103">
        <f>SUMIFS(Inhalation_Exp[Int_Central Tendency],Inhalation_Exp[OES],$C$4,Inhalation_Exp[Worker Type],$C15,Inhalation_Exp[Data Type],$D$4)</f>
        <v>4.583333333333333E-2</v>
      </c>
      <c r="H15" s="103">
        <f>SUMIFS(Inhalation_Exp[ADD_Central Tendency],Inhalation_Exp[OES],$C$4,Inhalation_Exp[Worker Type],$C15,Inhalation_Exp[Data Type],$D$4)</f>
        <v>4.2808219178082189E-2</v>
      </c>
      <c r="I15" s="104">
        <f>SUMIFS(Inhalation_Exp[LADD_Central Tendency],Inhalation_Exp[OES],$C$4,Inhalation_Exp[Worker Type],$C15,Inhalation_Exp[Data Type],$D$4)</f>
        <v>1.7013523006673692E-2</v>
      </c>
      <c r="J15" s="83"/>
      <c r="K15" s="455" t="s">
        <v>92</v>
      </c>
      <c r="L15" s="456"/>
      <c r="M15" s="103">
        <f>N15*BW_default</f>
        <v>0</v>
      </c>
      <c r="N15" s="103">
        <f>SUMIFS(Dermal_Exp[Central Tendency AD (mg/kg-day)],Dermal_Exp[Worker Type],$K15,Dermal_Exp[OES],$C$4)</f>
        <v>0</v>
      </c>
      <c r="O15" s="103">
        <f>SUMIFS(Dermal_Exp[Central Tendency IADD (mg/kg-day)],Dermal_Exp[Worker Type],$K15,Dermal_Exp[OES],$C$4)</f>
        <v>0</v>
      </c>
      <c r="P15" s="103">
        <f>SUMIFS(Dermal_Exp[Central Tendency ADD (mg/kg-day)],Dermal_Exp[Worker Type],$K15,Dermal_Exp[OES],$C$4)</f>
        <v>0</v>
      </c>
      <c r="Q15" s="104">
        <f>SUMIFS(Dermal_Exp[Central Tendency LADD (mg/kg-day)],Dermal_Exp[Worker Type],$K15,Dermal_Exp[OES],$C$4)</f>
        <v>0</v>
      </c>
      <c r="R15" s="107"/>
      <c r="S15" s="455" t="s">
        <v>92</v>
      </c>
      <c r="T15" s="456"/>
      <c r="U15" s="103">
        <f t="shared" si="0"/>
        <v>6.25E-2</v>
      </c>
      <c r="V15" s="103">
        <f t="shared" si="0"/>
        <v>4.583333333333333E-2</v>
      </c>
      <c r="W15" s="103">
        <f t="shared" si="0"/>
        <v>4.2808219178082189E-2</v>
      </c>
      <c r="X15" s="104">
        <f>I15+Q15</f>
        <v>1.7013523006673692E-2</v>
      </c>
      <c r="Y15" s="52"/>
      <c r="Z15" s="83"/>
      <c r="AA15" s="83"/>
      <c r="AB15" s="83"/>
      <c r="AC15" s="83"/>
      <c r="AD15" s="83"/>
      <c r="AE15" s="26"/>
      <c r="AF15" s="26"/>
      <c r="AG15" s="26"/>
      <c r="AH15" s="26"/>
      <c r="AI15" s="26"/>
      <c r="AJ15" s="26"/>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row>
    <row r="16" spans="1:163" s="113" customFormat="1" ht="15" customHeight="1" thickBot="1" x14ac:dyDescent="0.3">
      <c r="A16" s="28"/>
      <c r="B16" s="26"/>
      <c r="C16" s="112"/>
      <c r="D16" s="112"/>
      <c r="E16" s="61"/>
      <c r="F16" s="61"/>
      <c r="G16" s="61"/>
      <c r="H16" s="61"/>
      <c r="I16" s="61"/>
      <c r="J16" s="27"/>
      <c r="K16" s="26"/>
      <c r="L16" s="26"/>
      <c r="M16" s="26"/>
      <c r="N16" s="26"/>
      <c r="O16" s="26"/>
      <c r="P16" s="26"/>
      <c r="Q16" s="26"/>
      <c r="R16" s="28"/>
      <c r="S16" s="28"/>
      <c r="T16" s="28"/>
      <c r="U16" s="28"/>
      <c r="V16" s="28"/>
      <c r="W16" s="28"/>
      <c r="X16" s="28"/>
      <c r="Y16" s="52"/>
      <c r="Z16" s="28"/>
      <c r="AA16" s="28"/>
      <c r="AB16" s="28"/>
      <c r="AC16" s="26"/>
      <c r="AD16" s="26"/>
      <c r="AE16" s="26"/>
      <c r="AF16" s="26"/>
      <c r="AG16" s="26"/>
      <c r="AH16" s="26"/>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row>
    <row r="17" spans="1:163" s="469" customFormat="1" ht="14.45" customHeight="1" thickBot="1" x14ac:dyDescent="0.3">
      <c r="A17" s="461"/>
      <c r="B17" s="462"/>
      <c r="C17" s="463" t="s">
        <v>260</v>
      </c>
      <c r="D17" s="464" t="s">
        <v>261</v>
      </c>
      <c r="E17" s="465" t="s">
        <v>91</v>
      </c>
      <c r="F17" s="465" t="s">
        <v>262</v>
      </c>
      <c r="G17" s="466"/>
      <c r="H17" s="466"/>
      <c r="I17" s="466"/>
      <c r="J17" s="462"/>
      <c r="K17" s="467" t="s">
        <v>260</v>
      </c>
      <c r="L17" s="468" t="s">
        <v>261</v>
      </c>
      <c r="M17" s="468" t="s">
        <v>91</v>
      </c>
      <c r="N17" s="468" t="s">
        <v>262</v>
      </c>
      <c r="O17" s="462"/>
      <c r="P17" s="462"/>
      <c r="Q17" s="462"/>
      <c r="R17" s="462"/>
      <c r="S17" s="467" t="s">
        <v>260</v>
      </c>
      <c r="T17" s="468" t="s">
        <v>261</v>
      </c>
      <c r="U17" s="468" t="s">
        <v>91</v>
      </c>
      <c r="V17" s="468" t="s">
        <v>262</v>
      </c>
      <c r="W17" s="461"/>
      <c r="X17" s="461"/>
      <c r="Y17" s="52"/>
      <c r="Z17" s="461"/>
      <c r="AA17" s="461"/>
      <c r="AB17" s="461"/>
      <c r="AC17" s="462"/>
      <c r="AD17" s="462"/>
      <c r="AE17" s="462"/>
      <c r="AF17" s="462"/>
      <c r="AG17" s="462"/>
      <c r="AH17" s="462"/>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c r="DN17" s="462"/>
      <c r="DO17" s="462"/>
      <c r="DP17" s="462"/>
      <c r="DQ17" s="462"/>
      <c r="DR17" s="462"/>
      <c r="DS17" s="462"/>
      <c r="DT17" s="462"/>
      <c r="DU17" s="462"/>
      <c r="DV17" s="462"/>
      <c r="DW17" s="462"/>
      <c r="DX17" s="462"/>
      <c r="DY17" s="462"/>
      <c r="DZ17" s="462"/>
      <c r="EA17" s="462"/>
      <c r="EB17" s="462"/>
      <c r="EC17" s="462"/>
      <c r="ED17" s="462"/>
      <c r="EE17" s="462"/>
      <c r="EF17" s="462"/>
      <c r="EG17" s="462"/>
      <c r="EH17" s="462"/>
      <c r="EI17" s="462"/>
      <c r="EJ17" s="462"/>
      <c r="EK17" s="462"/>
      <c r="EL17" s="462"/>
      <c r="EM17" s="462"/>
      <c r="EN17" s="462"/>
      <c r="EO17" s="462"/>
      <c r="EP17" s="462"/>
      <c r="EQ17" s="462"/>
      <c r="ER17" s="462"/>
      <c r="ES17" s="462"/>
      <c r="ET17" s="462"/>
      <c r="EU17" s="462"/>
      <c r="EV17" s="462"/>
      <c r="EW17" s="462"/>
      <c r="EX17" s="462"/>
      <c r="EY17" s="462"/>
      <c r="EZ17" s="462"/>
      <c r="FA17" s="462"/>
      <c r="FB17" s="462"/>
      <c r="FC17" s="462"/>
      <c r="FD17" s="462"/>
      <c r="FE17" s="462"/>
      <c r="FF17" s="462"/>
      <c r="FG17" s="462"/>
    </row>
    <row r="18" spans="1:163" s="469" customFormat="1" ht="14.45" customHeight="1" thickTop="1" x14ac:dyDescent="0.25">
      <c r="A18" s="461"/>
      <c r="B18" s="462"/>
      <c r="C18" s="470" t="s">
        <v>197</v>
      </c>
      <c r="D18" s="471" t="s">
        <v>263</v>
      </c>
      <c r="E18" s="472">
        <f>E13</f>
        <v>0.5</v>
      </c>
      <c r="F18" s="473">
        <f>E10</f>
        <v>1</v>
      </c>
      <c r="G18" s="466"/>
      <c r="H18" s="466"/>
      <c r="I18" s="466"/>
      <c r="J18" s="462"/>
      <c r="K18" s="474" t="s">
        <v>197</v>
      </c>
      <c r="L18" s="475" t="s">
        <v>264</v>
      </c>
      <c r="M18" s="476">
        <f>M13</f>
        <v>100.40166666666666</v>
      </c>
      <c r="N18" s="477">
        <f>M10</f>
        <v>200.80333333333331</v>
      </c>
      <c r="O18" s="462"/>
      <c r="P18" s="462"/>
      <c r="Q18" s="462"/>
      <c r="R18" s="462"/>
      <c r="S18" s="478" t="s">
        <v>197</v>
      </c>
      <c r="T18" s="479" t="s">
        <v>265</v>
      </c>
      <c r="U18" s="480">
        <f>U13</f>
        <v>1.3175208333333333</v>
      </c>
      <c r="V18" s="481">
        <f>U10</f>
        <v>2.6350416666666665</v>
      </c>
      <c r="W18" s="461"/>
      <c r="X18" s="461"/>
      <c r="Y18" s="52"/>
      <c r="Z18" s="461"/>
      <c r="AA18" s="461"/>
      <c r="AB18" s="461"/>
      <c r="AC18" s="462"/>
      <c r="AD18" s="462"/>
      <c r="AE18" s="462"/>
      <c r="AF18" s="462"/>
      <c r="AG18" s="462"/>
      <c r="AH18" s="462"/>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2"/>
      <c r="DS18" s="462"/>
      <c r="DT18" s="462"/>
      <c r="DU18" s="462"/>
      <c r="DV18" s="462"/>
      <c r="DW18" s="462"/>
      <c r="DX18" s="462"/>
      <c r="DY18" s="462"/>
      <c r="DZ18" s="462"/>
      <c r="EA18" s="462"/>
      <c r="EB18" s="462"/>
      <c r="EC18" s="462"/>
      <c r="ED18" s="462"/>
      <c r="EE18" s="462"/>
      <c r="EF18" s="462"/>
      <c r="EG18" s="462"/>
      <c r="EH18" s="462"/>
      <c r="EI18" s="462"/>
      <c r="EJ18" s="462"/>
      <c r="EK18" s="462"/>
      <c r="EL18" s="462"/>
      <c r="EM18" s="462"/>
      <c r="EN18" s="462"/>
      <c r="EO18" s="462"/>
      <c r="EP18" s="462"/>
      <c r="EQ18" s="462"/>
      <c r="ER18" s="462"/>
      <c r="ES18" s="462"/>
      <c r="ET18" s="462"/>
      <c r="EU18" s="462"/>
      <c r="EV18" s="462"/>
      <c r="EW18" s="462"/>
      <c r="EX18" s="462"/>
      <c r="EY18" s="462"/>
      <c r="EZ18" s="462"/>
      <c r="FA18" s="462"/>
      <c r="FB18" s="462"/>
      <c r="FC18" s="462"/>
      <c r="FD18" s="462"/>
      <c r="FE18" s="462"/>
      <c r="FF18" s="462"/>
      <c r="FG18" s="462"/>
    </row>
    <row r="19" spans="1:163" s="469" customFormat="1" ht="14.45" customHeight="1" x14ac:dyDescent="0.25">
      <c r="A19" s="461"/>
      <c r="B19" s="462"/>
      <c r="C19" s="482"/>
      <c r="D19" s="479" t="s">
        <v>265</v>
      </c>
      <c r="E19" s="483">
        <f>F13</f>
        <v>6.25E-2</v>
      </c>
      <c r="F19" s="484">
        <f>F10</f>
        <v>0.125</v>
      </c>
      <c r="G19" s="466"/>
      <c r="H19" s="466"/>
      <c r="I19" s="466"/>
      <c r="J19" s="462"/>
      <c r="K19" s="482"/>
      <c r="L19" s="479" t="s">
        <v>265</v>
      </c>
      <c r="M19" s="483">
        <f>N13</f>
        <v>1.2550208333333333</v>
      </c>
      <c r="N19" s="485">
        <f>N10</f>
        <v>2.5100416666666665</v>
      </c>
      <c r="O19" s="486"/>
      <c r="P19" s="486"/>
      <c r="Q19" s="486"/>
      <c r="R19" s="462"/>
      <c r="S19" s="487"/>
      <c r="T19" s="479" t="s">
        <v>266</v>
      </c>
      <c r="U19" s="483">
        <f>V13</f>
        <v>0.96618194444444427</v>
      </c>
      <c r="V19" s="488">
        <f>V10</f>
        <v>1.9323638888888885</v>
      </c>
      <c r="W19" s="461"/>
      <c r="X19" s="461"/>
      <c r="Y19" s="52"/>
      <c r="Z19" s="461"/>
      <c r="AA19" s="461"/>
      <c r="AB19" s="461"/>
      <c r="AC19" s="462"/>
      <c r="AD19" s="462"/>
      <c r="AE19" s="462"/>
      <c r="AF19" s="462"/>
      <c r="AG19" s="462"/>
      <c r="AH19" s="462"/>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c r="BQ19" s="461"/>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2"/>
      <c r="DS19" s="462"/>
      <c r="DT19" s="462"/>
      <c r="DU19" s="462"/>
      <c r="DV19" s="462"/>
      <c r="DW19" s="462"/>
      <c r="DX19" s="462"/>
      <c r="DY19" s="462"/>
      <c r="DZ19" s="462"/>
      <c r="EA19" s="462"/>
      <c r="EB19" s="462"/>
      <c r="EC19" s="462"/>
      <c r="ED19" s="462"/>
      <c r="EE19" s="462"/>
      <c r="EF19" s="462"/>
      <c r="EG19" s="462"/>
      <c r="EH19" s="462"/>
      <c r="EI19" s="462"/>
      <c r="EJ19" s="462"/>
      <c r="EK19" s="462"/>
      <c r="EL19" s="462"/>
      <c r="EM19" s="462"/>
      <c r="EN19" s="462"/>
      <c r="EO19" s="462"/>
      <c r="EP19" s="462"/>
      <c r="EQ19" s="462"/>
      <c r="ER19" s="462"/>
      <c r="ES19" s="462"/>
      <c r="ET19" s="462"/>
      <c r="EU19" s="462"/>
      <c r="EV19" s="462"/>
      <c r="EW19" s="462"/>
      <c r="EX19" s="462"/>
      <c r="EY19" s="462"/>
      <c r="EZ19" s="462"/>
      <c r="FA19" s="462"/>
      <c r="FB19" s="462"/>
      <c r="FC19" s="462"/>
      <c r="FD19" s="462"/>
      <c r="FE19" s="462"/>
      <c r="FF19" s="462"/>
      <c r="FG19" s="462"/>
    </row>
    <row r="20" spans="1:163" s="469" customFormat="1" ht="14.45" customHeight="1" x14ac:dyDescent="0.25">
      <c r="A20" s="461"/>
      <c r="B20" s="462"/>
      <c r="C20" s="482"/>
      <c r="D20" s="479" t="s">
        <v>266</v>
      </c>
      <c r="E20" s="483">
        <f>G13</f>
        <v>4.583333333333333E-2</v>
      </c>
      <c r="F20" s="485">
        <f>G10</f>
        <v>9.166666666666666E-2</v>
      </c>
      <c r="G20" s="466"/>
      <c r="H20" s="466"/>
      <c r="I20" s="466"/>
      <c r="J20" s="462"/>
      <c r="K20" s="482"/>
      <c r="L20" s="479" t="s">
        <v>266</v>
      </c>
      <c r="M20" s="483">
        <f>O13</f>
        <v>0.92034861111111099</v>
      </c>
      <c r="N20" s="485">
        <f>O10</f>
        <v>1.840697222222222</v>
      </c>
      <c r="O20" s="486"/>
      <c r="P20" s="486"/>
      <c r="Q20" s="486"/>
      <c r="R20" s="462"/>
      <c r="S20" s="487"/>
      <c r="T20" s="479" t="s">
        <v>267</v>
      </c>
      <c r="U20" s="483">
        <f>W13</f>
        <v>0.9024115296803652</v>
      </c>
      <c r="V20" s="488">
        <f>W10</f>
        <v>1.8048230593607304</v>
      </c>
      <c r="W20" s="461"/>
      <c r="X20" s="461"/>
      <c r="Y20" s="52"/>
      <c r="Z20" s="461"/>
      <c r="AA20" s="461"/>
      <c r="AB20" s="461"/>
      <c r="AC20" s="462"/>
      <c r="AD20" s="462"/>
      <c r="AE20" s="462"/>
      <c r="AF20" s="462"/>
      <c r="AG20" s="462"/>
      <c r="AH20" s="462"/>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2"/>
      <c r="DS20" s="462"/>
      <c r="DT20" s="462"/>
      <c r="DU20" s="462"/>
      <c r="DV20" s="462"/>
      <c r="DW20" s="462"/>
      <c r="DX20" s="462"/>
      <c r="DY20" s="462"/>
      <c r="DZ20" s="462"/>
      <c r="EA20" s="462"/>
      <c r="EB20" s="462"/>
      <c r="EC20" s="462"/>
      <c r="ED20" s="462"/>
      <c r="EE20" s="462"/>
      <c r="EF20" s="462"/>
      <c r="EG20" s="462"/>
      <c r="EH20" s="462"/>
      <c r="EI20" s="462"/>
      <c r="EJ20" s="462"/>
      <c r="EK20" s="462"/>
      <c r="EL20" s="462"/>
      <c r="EM20" s="462"/>
      <c r="EN20" s="462"/>
      <c r="EO20" s="462"/>
      <c r="EP20" s="462"/>
      <c r="EQ20" s="462"/>
      <c r="ER20" s="462"/>
      <c r="ES20" s="462"/>
      <c r="ET20" s="462"/>
      <c r="EU20" s="462"/>
      <c r="EV20" s="462"/>
      <c r="EW20" s="462"/>
      <c r="EX20" s="462"/>
      <c r="EY20" s="462"/>
      <c r="EZ20" s="462"/>
      <c r="FA20" s="462"/>
      <c r="FB20" s="462"/>
      <c r="FC20" s="462"/>
      <c r="FD20" s="462"/>
      <c r="FE20" s="462"/>
      <c r="FF20" s="462"/>
      <c r="FG20" s="462"/>
    </row>
    <row r="21" spans="1:163" s="469" customFormat="1" ht="15" x14ac:dyDescent="0.25">
      <c r="A21" s="461"/>
      <c r="B21" s="462"/>
      <c r="C21" s="482"/>
      <c r="D21" s="479" t="s">
        <v>267</v>
      </c>
      <c r="E21" s="483">
        <f>H13</f>
        <v>4.2808219178082189E-2</v>
      </c>
      <c r="F21" s="485">
        <f>H10</f>
        <v>8.5616438356164379E-2</v>
      </c>
      <c r="G21" s="466"/>
      <c r="H21" s="466"/>
      <c r="I21" s="466"/>
      <c r="J21" s="462"/>
      <c r="K21" s="482"/>
      <c r="L21" s="479" t="s">
        <v>267</v>
      </c>
      <c r="M21" s="483">
        <f>P13</f>
        <v>0.859603310502283</v>
      </c>
      <c r="N21" s="485">
        <f>P10</f>
        <v>1.719206621004566</v>
      </c>
      <c r="O21" s="486"/>
      <c r="P21" s="486"/>
      <c r="Q21" s="486"/>
      <c r="R21" s="462"/>
      <c r="S21" s="487"/>
      <c r="T21" s="479" t="s">
        <v>268</v>
      </c>
      <c r="U21" s="483">
        <f>X13</f>
        <v>0.35865073615501691</v>
      </c>
      <c r="V21" s="488">
        <f>X10</f>
        <v>0.92555028685165663</v>
      </c>
      <c r="W21" s="461"/>
      <c r="X21" s="461"/>
      <c r="Y21" s="52"/>
      <c r="Z21" s="461"/>
      <c r="AA21" s="461"/>
      <c r="AB21" s="461"/>
      <c r="AC21" s="462"/>
      <c r="AD21" s="462"/>
      <c r="AE21" s="462"/>
      <c r="AF21" s="462"/>
      <c r="AG21" s="462"/>
      <c r="AH21" s="462"/>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c r="DN21" s="462"/>
      <c r="DO21" s="462"/>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462"/>
      <c r="EO21" s="462"/>
      <c r="EP21" s="462"/>
      <c r="EQ21" s="462"/>
      <c r="ER21" s="462"/>
      <c r="ES21" s="462"/>
      <c r="ET21" s="462"/>
      <c r="EU21" s="462"/>
      <c r="EV21" s="462"/>
      <c r="EW21" s="462"/>
      <c r="EX21" s="462"/>
      <c r="EY21" s="462"/>
      <c r="EZ21" s="462"/>
      <c r="FA21" s="462"/>
      <c r="FB21" s="462"/>
      <c r="FC21" s="462"/>
      <c r="FD21" s="462"/>
      <c r="FE21" s="462"/>
      <c r="FF21" s="462"/>
      <c r="FG21" s="462"/>
    </row>
    <row r="22" spans="1:163" s="469" customFormat="1" ht="15.75" thickBot="1" x14ac:dyDescent="0.3">
      <c r="A22" s="461"/>
      <c r="B22" s="462"/>
      <c r="C22" s="489"/>
      <c r="D22" s="479" t="s">
        <v>268</v>
      </c>
      <c r="E22" s="483">
        <f>I13</f>
        <v>1.7013523006673692E-2</v>
      </c>
      <c r="F22" s="485">
        <f>I10</f>
        <v>4.3905865823674041E-2</v>
      </c>
      <c r="G22" s="466"/>
      <c r="H22" s="466"/>
      <c r="I22" s="466"/>
      <c r="J22" s="462"/>
      <c r="K22" s="489"/>
      <c r="L22" s="479" t="s">
        <v>268</v>
      </c>
      <c r="M22" s="483">
        <f>Q13</f>
        <v>0.34163721314834322</v>
      </c>
      <c r="N22" s="485">
        <f>Q10</f>
        <v>0.88164442102798257</v>
      </c>
      <c r="O22" s="486"/>
      <c r="P22" s="486"/>
      <c r="Q22" s="486"/>
      <c r="R22" s="462"/>
      <c r="S22" s="487" t="s">
        <v>72</v>
      </c>
      <c r="T22" s="479" t="s">
        <v>265</v>
      </c>
      <c r="U22" s="483">
        <f>U14</f>
        <v>1.2225129936919563</v>
      </c>
      <c r="V22" s="488">
        <f>U11</f>
        <v>2.4450259873839126</v>
      </c>
      <c r="W22" s="461"/>
      <c r="X22" s="461"/>
      <c r="Y22" s="52"/>
      <c r="Z22" s="461"/>
      <c r="AA22" s="461"/>
      <c r="AB22" s="461"/>
      <c r="AC22" s="462"/>
      <c r="AD22" s="462"/>
      <c r="AE22" s="462"/>
      <c r="AF22" s="462"/>
      <c r="AG22" s="462"/>
      <c r="AH22" s="462"/>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2"/>
      <c r="ED22" s="462"/>
      <c r="EE22" s="462"/>
      <c r="EF22" s="462"/>
      <c r="EG22" s="462"/>
      <c r="EH22" s="462"/>
      <c r="EI22" s="462"/>
      <c r="EJ22" s="462"/>
      <c r="EK22" s="462"/>
      <c r="EL22" s="462"/>
      <c r="EM22" s="462"/>
      <c r="EN22" s="462"/>
      <c r="EO22" s="462"/>
      <c r="EP22" s="462"/>
      <c r="EQ22" s="462"/>
      <c r="ER22" s="462"/>
      <c r="ES22" s="462"/>
      <c r="ET22" s="462"/>
      <c r="EU22" s="462"/>
      <c r="EV22" s="462"/>
      <c r="EW22" s="462"/>
      <c r="EX22" s="462"/>
      <c r="EY22" s="462"/>
      <c r="EZ22" s="462"/>
      <c r="FA22" s="462"/>
      <c r="FB22" s="462"/>
      <c r="FC22" s="462"/>
      <c r="FD22" s="462"/>
      <c r="FE22" s="462"/>
      <c r="FF22" s="462"/>
      <c r="FG22" s="462"/>
    </row>
    <row r="23" spans="1:163" s="469" customFormat="1" ht="15" x14ac:dyDescent="0.25">
      <c r="A23" s="461"/>
      <c r="B23" s="462"/>
      <c r="C23" s="490" t="s">
        <v>72</v>
      </c>
      <c r="D23" s="471" t="s">
        <v>263</v>
      </c>
      <c r="E23" s="488">
        <f>E14</f>
        <v>0.5</v>
      </c>
      <c r="F23" s="484">
        <f>E11</f>
        <v>1</v>
      </c>
      <c r="G23" s="466"/>
      <c r="H23" s="466"/>
      <c r="I23" s="466"/>
      <c r="J23" s="462"/>
      <c r="K23" s="490" t="s">
        <v>72</v>
      </c>
      <c r="L23" s="479" t="s">
        <v>264</v>
      </c>
      <c r="M23" s="488">
        <f>M14</f>
        <v>83.540503568139954</v>
      </c>
      <c r="N23" s="484">
        <f>M11</f>
        <v>167.08100713627991</v>
      </c>
      <c r="O23" s="486"/>
      <c r="P23" s="486"/>
      <c r="Q23" s="486"/>
      <c r="R23" s="462"/>
      <c r="S23" s="487"/>
      <c r="T23" s="479" t="s">
        <v>266</v>
      </c>
      <c r="U23" s="483">
        <f>V14</f>
        <v>0.89650952870743472</v>
      </c>
      <c r="V23" s="488">
        <f>V11</f>
        <v>1.7930190574148694</v>
      </c>
      <c r="W23" s="461"/>
      <c r="X23" s="461"/>
      <c r="Y23" s="52"/>
      <c r="Z23" s="461"/>
      <c r="AA23" s="461"/>
      <c r="AB23" s="461"/>
      <c r="AC23" s="462"/>
      <c r="AD23" s="462"/>
      <c r="AE23" s="462"/>
      <c r="AF23" s="462"/>
      <c r="AG23" s="462"/>
      <c r="AH23" s="462"/>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c r="CR23" s="462"/>
      <c r="CS23" s="462"/>
      <c r="CT23" s="462"/>
      <c r="CU23" s="462"/>
      <c r="CV23" s="462"/>
      <c r="CW23" s="462"/>
      <c r="CX23" s="462"/>
      <c r="CY23" s="462"/>
      <c r="CZ23" s="462"/>
      <c r="DA23" s="462"/>
      <c r="DB23" s="462"/>
      <c r="DC23" s="462"/>
      <c r="DD23" s="462"/>
      <c r="DE23" s="462"/>
      <c r="DF23" s="462"/>
      <c r="DG23" s="462"/>
      <c r="DH23" s="462"/>
      <c r="DI23" s="462"/>
      <c r="DJ23" s="462"/>
      <c r="DK23" s="462"/>
      <c r="DL23" s="462"/>
      <c r="DM23" s="462"/>
      <c r="DN23" s="462"/>
      <c r="DO23" s="462"/>
      <c r="DP23" s="462"/>
      <c r="DQ23" s="462"/>
      <c r="DR23" s="462"/>
      <c r="DS23" s="462"/>
      <c r="DT23" s="462"/>
      <c r="DU23" s="462"/>
      <c r="DV23" s="462"/>
      <c r="DW23" s="462"/>
      <c r="DX23" s="462"/>
      <c r="DY23" s="462"/>
      <c r="DZ23" s="462"/>
      <c r="EA23" s="462"/>
      <c r="EB23" s="462"/>
      <c r="EC23" s="462"/>
      <c r="ED23" s="462"/>
      <c r="EE23" s="462"/>
      <c r="EF23" s="462"/>
      <c r="EG23" s="462"/>
      <c r="EH23" s="462"/>
      <c r="EI23" s="462"/>
      <c r="EJ23" s="462"/>
      <c r="EK23" s="462"/>
      <c r="EL23" s="462"/>
      <c r="EM23" s="462"/>
      <c r="EN23" s="462"/>
      <c r="EO23" s="462"/>
      <c r="EP23" s="462"/>
      <c r="EQ23" s="462"/>
      <c r="ER23" s="462"/>
      <c r="ES23" s="462"/>
      <c r="ET23" s="462"/>
      <c r="EU23" s="462"/>
      <c r="EV23" s="462"/>
      <c r="EW23" s="462"/>
      <c r="EX23" s="462"/>
      <c r="EY23" s="462"/>
      <c r="EZ23" s="462"/>
      <c r="FA23" s="462"/>
      <c r="FB23" s="462"/>
      <c r="FC23" s="462"/>
      <c r="FD23" s="462"/>
      <c r="FE23" s="462"/>
      <c r="FF23" s="462"/>
      <c r="FG23" s="462"/>
    </row>
    <row r="24" spans="1:163" s="469" customFormat="1" ht="14.1" customHeight="1" x14ac:dyDescent="0.25">
      <c r="A24" s="461"/>
      <c r="B24" s="462"/>
      <c r="C24" s="482"/>
      <c r="D24" s="479" t="s">
        <v>265</v>
      </c>
      <c r="E24" s="483">
        <f>F14</f>
        <v>6.9036934760096647E-2</v>
      </c>
      <c r="F24" s="484">
        <f>F11</f>
        <v>0.13807386952019329</v>
      </c>
      <c r="G24" s="466"/>
      <c r="H24" s="466"/>
      <c r="I24" s="466"/>
      <c r="J24" s="462"/>
      <c r="K24" s="482"/>
      <c r="L24" s="479" t="s">
        <v>265</v>
      </c>
      <c r="M24" s="483">
        <f>N14</f>
        <v>1.1534760589318598</v>
      </c>
      <c r="N24" s="485">
        <f>N11</f>
        <v>2.3069521178637196</v>
      </c>
      <c r="O24" s="486"/>
      <c r="P24" s="486"/>
      <c r="Q24" s="486"/>
      <c r="R24" s="462"/>
      <c r="S24" s="487"/>
      <c r="T24" s="479" t="s">
        <v>267</v>
      </c>
      <c r="U24" s="483">
        <f>W14</f>
        <v>0.83733766691229894</v>
      </c>
      <c r="V24" s="488">
        <f>W11</f>
        <v>1.6746753338245979</v>
      </c>
      <c r="W24" s="461"/>
      <c r="X24" s="461"/>
      <c r="Y24" s="52"/>
      <c r="Z24" s="461"/>
      <c r="AA24" s="461"/>
      <c r="AB24" s="461"/>
      <c r="AC24" s="462"/>
      <c r="AD24" s="462"/>
      <c r="AE24" s="462"/>
      <c r="AF24" s="462"/>
      <c r="AG24" s="462"/>
      <c r="AH24" s="462"/>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462"/>
      <c r="DO24" s="462"/>
      <c r="DP24" s="462"/>
      <c r="DQ24" s="462"/>
      <c r="DR24" s="462"/>
      <c r="DS24" s="462"/>
      <c r="DT24" s="462"/>
      <c r="DU24" s="462"/>
      <c r="DV24" s="462"/>
      <c r="DW24" s="462"/>
      <c r="DX24" s="462"/>
      <c r="DY24" s="462"/>
      <c r="DZ24" s="462"/>
      <c r="EA24" s="462"/>
      <c r="EB24" s="462"/>
      <c r="EC24" s="462"/>
      <c r="ED24" s="462"/>
      <c r="EE24" s="462"/>
      <c r="EF24" s="462"/>
      <c r="EG24" s="462"/>
      <c r="EH24" s="462"/>
      <c r="EI24" s="462"/>
      <c r="EJ24" s="462"/>
      <c r="EK24" s="462"/>
      <c r="EL24" s="462"/>
      <c r="EM24" s="462"/>
      <c r="EN24" s="462"/>
      <c r="EO24" s="462"/>
      <c r="EP24" s="462"/>
      <c r="EQ24" s="462"/>
      <c r="ER24" s="462"/>
      <c r="ES24" s="462"/>
      <c r="ET24" s="462"/>
      <c r="EU24" s="462"/>
      <c r="EV24" s="462"/>
      <c r="EW24" s="462"/>
      <c r="EX24" s="462"/>
      <c r="EY24" s="462"/>
      <c r="EZ24" s="462"/>
      <c r="FA24" s="462"/>
      <c r="FB24" s="462"/>
      <c r="FC24" s="462"/>
      <c r="FD24" s="462"/>
      <c r="FE24" s="462"/>
      <c r="FF24" s="462"/>
      <c r="FG24" s="462"/>
    </row>
    <row r="25" spans="1:163" s="469" customFormat="1" ht="14.1" customHeight="1" x14ac:dyDescent="0.25">
      <c r="A25" s="461"/>
      <c r="B25" s="462"/>
      <c r="C25" s="482"/>
      <c r="D25" s="479" t="s">
        <v>266</v>
      </c>
      <c r="E25" s="483">
        <f>G14</f>
        <v>5.0627085490737543E-2</v>
      </c>
      <c r="F25" s="485">
        <f>G11</f>
        <v>0.10125417098147509</v>
      </c>
      <c r="G25" s="466"/>
      <c r="H25" s="466"/>
      <c r="I25" s="466"/>
      <c r="J25" s="462"/>
      <c r="K25" s="482"/>
      <c r="L25" s="479" t="s">
        <v>266</v>
      </c>
      <c r="M25" s="483">
        <f>O14</f>
        <v>0.84588244321669714</v>
      </c>
      <c r="N25" s="485">
        <f>O11</f>
        <v>1.6917648864333943</v>
      </c>
      <c r="O25" s="486"/>
      <c r="P25" s="486"/>
      <c r="Q25" s="486"/>
      <c r="R25" s="462"/>
      <c r="S25" s="487"/>
      <c r="T25" s="479" t="s">
        <v>268</v>
      </c>
      <c r="U25" s="483">
        <f>X14</f>
        <v>0.3327880471061701</v>
      </c>
      <c r="V25" s="488">
        <f>X11</f>
        <v>0.85880786349979377</v>
      </c>
      <c r="W25" s="461"/>
      <c r="X25" s="461"/>
      <c r="Y25" s="52"/>
      <c r="Z25" s="461"/>
      <c r="AA25" s="461"/>
      <c r="AB25" s="461"/>
      <c r="AC25" s="462"/>
      <c r="AD25" s="462"/>
      <c r="AE25" s="462"/>
      <c r="AF25" s="462"/>
      <c r="AG25" s="462"/>
      <c r="AH25" s="462"/>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c r="BQ25" s="461"/>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462"/>
      <c r="DO25" s="462"/>
      <c r="DP25" s="462"/>
      <c r="DQ25" s="462"/>
      <c r="DR25" s="462"/>
      <c r="DS25" s="462"/>
      <c r="DT25" s="462"/>
      <c r="DU25" s="462"/>
      <c r="DV25" s="462"/>
      <c r="DW25" s="462"/>
      <c r="DX25" s="462"/>
      <c r="DY25" s="462"/>
      <c r="DZ25" s="462"/>
      <c r="EA25" s="462"/>
      <c r="EB25" s="462"/>
      <c r="EC25" s="462"/>
      <c r="ED25" s="462"/>
      <c r="EE25" s="462"/>
      <c r="EF25" s="46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2"/>
      <c r="FE25" s="462"/>
      <c r="FF25" s="462"/>
      <c r="FG25" s="462"/>
    </row>
    <row r="26" spans="1:163" s="469" customFormat="1" ht="15" x14ac:dyDescent="0.25">
      <c r="A26" s="461"/>
      <c r="B26" s="462"/>
      <c r="C26" s="482"/>
      <c r="D26" s="479" t="s">
        <v>267</v>
      </c>
      <c r="E26" s="483">
        <f>H14</f>
        <v>4.7285571753490852E-2</v>
      </c>
      <c r="F26" s="485">
        <f>H11</f>
        <v>9.4571143506981703E-2</v>
      </c>
      <c r="G26" s="466"/>
      <c r="H26" s="466"/>
      <c r="I26" s="466"/>
      <c r="J26" s="462"/>
      <c r="K26" s="482"/>
      <c r="L26" s="479" t="s">
        <v>267</v>
      </c>
      <c r="M26" s="483">
        <f>P14</f>
        <v>0.79005209515880803</v>
      </c>
      <c r="N26" s="485">
        <f>P11</f>
        <v>1.5801041903176161</v>
      </c>
      <c r="O26" s="486"/>
      <c r="P26" s="486"/>
      <c r="Q26" s="486"/>
      <c r="R26" s="462"/>
      <c r="S26" s="487" t="s">
        <v>92</v>
      </c>
      <c r="T26" s="479" t="s">
        <v>265</v>
      </c>
      <c r="U26" s="483">
        <f>U15</f>
        <v>6.25E-2</v>
      </c>
      <c r="V26" s="483">
        <f>U12</f>
        <v>6.25E-2</v>
      </c>
      <c r="W26" s="461"/>
      <c r="X26" s="461"/>
      <c r="Y26" s="52"/>
      <c r="Z26" s="461"/>
      <c r="AA26" s="461"/>
      <c r="AB26" s="461"/>
      <c r="AC26" s="462"/>
      <c r="AD26" s="462"/>
      <c r="AE26" s="462"/>
      <c r="AF26" s="462"/>
      <c r="AG26" s="462"/>
      <c r="AH26" s="462"/>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c r="BQ26" s="461"/>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c r="CR26" s="462"/>
      <c r="CS26" s="462"/>
      <c r="CT26" s="462"/>
      <c r="CU26" s="462"/>
      <c r="CV26" s="462"/>
      <c r="CW26" s="462"/>
      <c r="CX26" s="462"/>
      <c r="CY26" s="462"/>
      <c r="CZ26" s="462"/>
      <c r="DA26" s="462"/>
      <c r="DB26" s="462"/>
      <c r="DC26" s="462"/>
      <c r="DD26" s="462"/>
      <c r="DE26" s="462"/>
      <c r="DF26" s="462"/>
      <c r="DG26" s="462"/>
      <c r="DH26" s="462"/>
      <c r="DI26" s="462"/>
      <c r="DJ26" s="462"/>
      <c r="DK26" s="462"/>
      <c r="DL26" s="462"/>
      <c r="DM26" s="462"/>
      <c r="DN26" s="462"/>
      <c r="DO26" s="462"/>
      <c r="DP26" s="462"/>
      <c r="DQ26" s="462"/>
      <c r="DR26" s="462"/>
      <c r="DS26" s="462"/>
      <c r="DT26" s="462"/>
      <c r="DU26" s="462"/>
      <c r="DV26" s="462"/>
      <c r="DW26" s="462"/>
      <c r="DX26" s="462"/>
      <c r="DY26" s="462"/>
      <c r="DZ26" s="462"/>
      <c r="EA26" s="462"/>
      <c r="EB26" s="462"/>
      <c r="EC26" s="462"/>
      <c r="ED26" s="462"/>
      <c r="EE26" s="462"/>
      <c r="EF26" s="462"/>
      <c r="EG26" s="462"/>
      <c r="EH26" s="462"/>
      <c r="EI26" s="462"/>
      <c r="EJ26" s="462"/>
      <c r="EK26" s="462"/>
      <c r="EL26" s="462"/>
      <c r="EM26" s="462"/>
      <c r="EN26" s="462"/>
      <c r="EO26" s="462"/>
      <c r="EP26" s="462"/>
      <c r="EQ26" s="462"/>
      <c r="ER26" s="462"/>
      <c r="ES26" s="462"/>
      <c r="ET26" s="462"/>
      <c r="EU26" s="462"/>
      <c r="EV26" s="462"/>
      <c r="EW26" s="462"/>
      <c r="EX26" s="462"/>
      <c r="EY26" s="462"/>
      <c r="EZ26" s="462"/>
      <c r="FA26" s="462"/>
      <c r="FB26" s="462"/>
      <c r="FC26" s="462"/>
      <c r="FD26" s="462"/>
      <c r="FE26" s="462"/>
      <c r="FF26" s="462"/>
      <c r="FG26" s="462"/>
    </row>
    <row r="27" spans="1:163" s="469" customFormat="1" ht="15.75" thickBot="1" x14ac:dyDescent="0.3">
      <c r="A27" s="461"/>
      <c r="B27" s="462"/>
      <c r="C27" s="489"/>
      <c r="D27" s="479" t="s">
        <v>268</v>
      </c>
      <c r="E27" s="483">
        <f>I14</f>
        <v>1.8792983645618159E-2</v>
      </c>
      <c r="F27" s="485">
        <f>I11</f>
        <v>4.8498022311272669E-2</v>
      </c>
      <c r="G27" s="466"/>
      <c r="H27" s="466"/>
      <c r="I27" s="466"/>
      <c r="J27" s="462"/>
      <c r="K27" s="489"/>
      <c r="L27" s="479" t="s">
        <v>268</v>
      </c>
      <c r="M27" s="483">
        <f>Q14</f>
        <v>0.31399506346055195</v>
      </c>
      <c r="N27" s="485">
        <f>Q11</f>
        <v>0.81030984118852112</v>
      </c>
      <c r="O27" s="486"/>
      <c r="P27" s="486"/>
      <c r="Q27" s="486"/>
      <c r="R27" s="462"/>
      <c r="S27" s="487"/>
      <c r="T27" s="479" t="s">
        <v>266</v>
      </c>
      <c r="U27" s="483">
        <f>V15</f>
        <v>4.583333333333333E-2</v>
      </c>
      <c r="V27" s="483">
        <f>V12</f>
        <v>4.583333333333333E-2</v>
      </c>
      <c r="W27" s="461"/>
      <c r="X27" s="461"/>
      <c r="Y27" s="52"/>
      <c r="Z27" s="461"/>
      <c r="AA27" s="461"/>
      <c r="AB27" s="461"/>
      <c r="AC27" s="462"/>
      <c r="AD27" s="462"/>
      <c r="AE27" s="462"/>
      <c r="AF27" s="462"/>
      <c r="AG27" s="462"/>
      <c r="AH27" s="462"/>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c r="CR27" s="462"/>
      <c r="CS27" s="462"/>
      <c r="CT27" s="462"/>
      <c r="CU27" s="462"/>
      <c r="CV27" s="462"/>
      <c r="CW27" s="462"/>
      <c r="CX27" s="462"/>
      <c r="CY27" s="462"/>
      <c r="CZ27" s="462"/>
      <c r="DA27" s="462"/>
      <c r="DB27" s="462"/>
      <c r="DC27" s="462"/>
      <c r="DD27" s="462"/>
      <c r="DE27" s="462"/>
      <c r="DF27" s="462"/>
      <c r="DG27" s="462"/>
      <c r="DH27" s="462"/>
      <c r="DI27" s="462"/>
      <c r="DJ27" s="462"/>
      <c r="DK27" s="462"/>
      <c r="DL27" s="462"/>
      <c r="DM27" s="462"/>
      <c r="DN27" s="462"/>
      <c r="DO27" s="462"/>
      <c r="DP27" s="462"/>
      <c r="DQ27" s="462"/>
      <c r="DR27" s="462"/>
      <c r="DS27" s="462"/>
      <c r="DT27" s="462"/>
      <c r="DU27" s="462"/>
      <c r="DV27" s="462"/>
      <c r="DW27" s="462"/>
      <c r="DX27" s="462"/>
      <c r="DY27" s="462"/>
      <c r="DZ27" s="462"/>
      <c r="EA27" s="462"/>
      <c r="EB27" s="462"/>
      <c r="EC27" s="462"/>
      <c r="ED27" s="462"/>
      <c r="EE27" s="462"/>
      <c r="EF27" s="462"/>
      <c r="EG27" s="462"/>
      <c r="EH27" s="462"/>
      <c r="EI27" s="462"/>
      <c r="EJ27" s="462"/>
      <c r="EK27" s="462"/>
      <c r="EL27" s="462"/>
      <c r="EM27" s="462"/>
      <c r="EN27" s="462"/>
      <c r="EO27" s="462"/>
      <c r="EP27" s="462"/>
      <c r="EQ27" s="462"/>
      <c r="ER27" s="462"/>
      <c r="ES27" s="462"/>
      <c r="ET27" s="462"/>
      <c r="EU27" s="462"/>
      <c r="EV27" s="462"/>
      <c r="EW27" s="462"/>
      <c r="EX27" s="462"/>
      <c r="EY27" s="462"/>
      <c r="EZ27" s="462"/>
      <c r="FA27" s="462"/>
      <c r="FB27" s="462"/>
      <c r="FC27" s="462"/>
      <c r="FD27" s="462"/>
      <c r="FE27" s="462"/>
      <c r="FF27" s="462"/>
      <c r="FG27" s="462"/>
    </row>
    <row r="28" spans="1:163" s="469" customFormat="1" ht="15" x14ac:dyDescent="0.25">
      <c r="A28" s="461"/>
      <c r="B28" s="462"/>
      <c r="C28" s="490" t="s">
        <v>92</v>
      </c>
      <c r="D28" s="471" t="s">
        <v>263</v>
      </c>
      <c r="E28" s="488">
        <f>E15</f>
        <v>0.5</v>
      </c>
      <c r="F28" s="484">
        <f>E12</f>
        <v>0.5</v>
      </c>
      <c r="G28" s="466"/>
      <c r="H28" s="466"/>
      <c r="I28" s="466"/>
      <c r="J28" s="462"/>
      <c r="K28" s="490" t="s">
        <v>92</v>
      </c>
      <c r="L28" s="479" t="s">
        <v>264</v>
      </c>
      <c r="M28" s="488">
        <f>M15</f>
        <v>0</v>
      </c>
      <c r="N28" s="484">
        <f>M12</f>
        <v>0</v>
      </c>
      <c r="O28" s="486"/>
      <c r="P28" s="486"/>
      <c r="Q28" s="486"/>
      <c r="R28" s="462"/>
      <c r="S28" s="487"/>
      <c r="T28" s="479" t="s">
        <v>267</v>
      </c>
      <c r="U28" s="483">
        <f>W15</f>
        <v>4.2808219178082189E-2</v>
      </c>
      <c r="V28" s="483">
        <f>W12</f>
        <v>4.2808219178082189E-2</v>
      </c>
      <c r="W28" s="461"/>
      <c r="X28" s="461"/>
      <c r="Y28" s="52"/>
      <c r="Z28" s="461"/>
      <c r="AA28" s="461"/>
      <c r="AB28" s="461"/>
      <c r="AC28" s="462"/>
      <c r="AD28" s="462"/>
      <c r="AE28" s="462"/>
      <c r="AF28" s="462"/>
      <c r="AG28" s="462"/>
      <c r="AH28" s="462"/>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62"/>
      <c r="DK28" s="462"/>
      <c r="DL28" s="462"/>
      <c r="DM28" s="462"/>
      <c r="DN28" s="462"/>
      <c r="DO28" s="462"/>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462"/>
      <c r="EO28" s="462"/>
      <c r="EP28" s="462"/>
      <c r="EQ28" s="462"/>
      <c r="ER28" s="462"/>
      <c r="ES28" s="462"/>
      <c r="ET28" s="462"/>
      <c r="EU28" s="462"/>
      <c r="EV28" s="462"/>
      <c r="EW28" s="462"/>
      <c r="EX28" s="462"/>
      <c r="EY28" s="462"/>
      <c r="EZ28" s="462"/>
      <c r="FA28" s="462"/>
      <c r="FB28" s="462"/>
      <c r="FC28" s="462"/>
      <c r="FD28" s="462"/>
      <c r="FE28" s="462"/>
      <c r="FF28" s="462"/>
      <c r="FG28" s="462"/>
    </row>
    <row r="29" spans="1:163" s="469" customFormat="1" ht="14.1" customHeight="1" x14ac:dyDescent="0.25">
      <c r="A29" s="461"/>
      <c r="B29" s="462"/>
      <c r="C29" s="482"/>
      <c r="D29" s="479" t="s">
        <v>265</v>
      </c>
      <c r="E29" s="483">
        <f>F15</f>
        <v>6.25E-2</v>
      </c>
      <c r="F29" s="485">
        <f>F12</f>
        <v>6.25E-2</v>
      </c>
      <c r="G29" s="466"/>
      <c r="H29" s="466"/>
      <c r="I29" s="466"/>
      <c r="J29" s="462"/>
      <c r="K29" s="482"/>
      <c r="L29" s="479" t="s">
        <v>21</v>
      </c>
      <c r="M29" s="483">
        <f>N15</f>
        <v>0</v>
      </c>
      <c r="N29" s="485">
        <f>N12</f>
        <v>0</v>
      </c>
      <c r="O29" s="486"/>
      <c r="P29" s="486"/>
      <c r="Q29" s="486"/>
      <c r="R29" s="462"/>
      <c r="S29" s="487"/>
      <c r="T29" s="479" t="s">
        <v>268</v>
      </c>
      <c r="U29" s="483">
        <f>X15</f>
        <v>1.7013523006673692E-2</v>
      </c>
      <c r="V29" s="483">
        <f>X12</f>
        <v>2.195293291183702E-2</v>
      </c>
      <c r="W29" s="461"/>
      <c r="X29" s="461"/>
      <c r="Y29" s="52"/>
      <c r="Z29" s="461"/>
      <c r="AA29" s="461"/>
      <c r="AB29" s="461"/>
      <c r="AC29" s="462"/>
      <c r="AD29" s="462"/>
      <c r="AE29" s="462"/>
      <c r="AF29" s="462"/>
      <c r="AG29" s="462"/>
      <c r="AH29" s="462"/>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462"/>
      <c r="DO29" s="462"/>
      <c r="DP29" s="462"/>
      <c r="DQ29" s="462"/>
      <c r="DR29" s="462"/>
      <c r="DS29" s="462"/>
      <c r="DT29" s="462"/>
      <c r="DU29" s="462"/>
      <c r="DV29" s="462"/>
      <c r="DW29" s="462"/>
      <c r="DX29" s="462"/>
      <c r="DY29" s="462"/>
      <c r="DZ29" s="462"/>
      <c r="EA29" s="462"/>
      <c r="EB29" s="462"/>
      <c r="EC29" s="462"/>
      <c r="ED29" s="462"/>
      <c r="EE29" s="462"/>
      <c r="EF29" s="462"/>
      <c r="EG29" s="462"/>
      <c r="EH29" s="462"/>
      <c r="EI29" s="462"/>
      <c r="EJ29" s="462"/>
      <c r="EK29" s="462"/>
      <c r="EL29" s="462"/>
      <c r="EM29" s="462"/>
      <c r="EN29" s="462"/>
      <c r="EO29" s="462"/>
      <c r="EP29" s="462"/>
      <c r="EQ29" s="462"/>
      <c r="ER29" s="462"/>
      <c r="ES29" s="462"/>
      <c r="ET29" s="462"/>
      <c r="EU29" s="462"/>
      <c r="EV29" s="462"/>
      <c r="EW29" s="462"/>
      <c r="EX29" s="462"/>
      <c r="EY29" s="462"/>
      <c r="EZ29" s="462"/>
      <c r="FA29" s="462"/>
      <c r="FB29" s="462"/>
      <c r="FC29" s="462"/>
      <c r="FD29" s="462"/>
      <c r="FE29" s="462"/>
      <c r="FF29" s="462"/>
      <c r="FG29" s="462"/>
    </row>
    <row r="30" spans="1:163" s="469" customFormat="1" ht="14.45" customHeight="1" x14ac:dyDescent="0.25">
      <c r="A30" s="461"/>
      <c r="B30" s="462"/>
      <c r="C30" s="482"/>
      <c r="D30" s="479" t="s">
        <v>266</v>
      </c>
      <c r="E30" s="483">
        <f>G15</f>
        <v>4.583333333333333E-2</v>
      </c>
      <c r="F30" s="485">
        <f>G12</f>
        <v>4.583333333333333E-2</v>
      </c>
      <c r="G30" s="466"/>
      <c r="H30" s="466"/>
      <c r="I30" s="466"/>
      <c r="J30" s="462"/>
      <c r="K30" s="482"/>
      <c r="L30" s="479" t="s">
        <v>269</v>
      </c>
      <c r="M30" s="483">
        <f>O15</f>
        <v>0</v>
      </c>
      <c r="N30" s="485">
        <f>O12</f>
        <v>0</v>
      </c>
      <c r="O30" s="486"/>
      <c r="P30" s="486"/>
      <c r="Q30" s="486"/>
      <c r="R30" s="462"/>
      <c r="S30" s="491"/>
      <c r="T30" s="491"/>
      <c r="U30" s="491"/>
      <c r="V30" s="461"/>
      <c r="W30" s="461"/>
      <c r="X30" s="461"/>
      <c r="Y30" s="52"/>
      <c r="Z30" s="461"/>
      <c r="AA30" s="461"/>
      <c r="AB30" s="461"/>
      <c r="AC30" s="462"/>
      <c r="AD30" s="462"/>
      <c r="AE30" s="462"/>
      <c r="AF30" s="462"/>
      <c r="AG30" s="462"/>
      <c r="AH30" s="462"/>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2"/>
      <c r="DV30" s="462"/>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row>
    <row r="31" spans="1:163" s="469" customFormat="1" ht="15.95" customHeight="1" x14ac:dyDescent="0.25">
      <c r="A31" s="461"/>
      <c r="B31" s="462"/>
      <c r="C31" s="482"/>
      <c r="D31" s="479" t="s">
        <v>267</v>
      </c>
      <c r="E31" s="483">
        <f>H15</f>
        <v>4.2808219178082189E-2</v>
      </c>
      <c r="F31" s="485">
        <f>H12</f>
        <v>4.2808219178082189E-2</v>
      </c>
      <c r="G31" s="466"/>
      <c r="H31" s="466"/>
      <c r="I31" s="466"/>
      <c r="J31" s="462"/>
      <c r="K31" s="482"/>
      <c r="L31" s="479" t="s">
        <v>270</v>
      </c>
      <c r="M31" s="483">
        <f>P15</f>
        <v>0</v>
      </c>
      <c r="N31" s="485">
        <f>P12</f>
        <v>0</v>
      </c>
      <c r="O31" s="486"/>
      <c r="P31" s="486"/>
      <c r="Q31" s="486"/>
      <c r="R31" s="461"/>
      <c r="S31" s="461"/>
      <c r="T31" s="461"/>
      <c r="U31" s="461"/>
      <c r="V31" s="461"/>
      <c r="W31" s="461"/>
      <c r="X31" s="461"/>
      <c r="Y31" s="52"/>
      <c r="Z31" s="461"/>
      <c r="AA31" s="461"/>
      <c r="AB31" s="461"/>
      <c r="AC31" s="462"/>
      <c r="AD31" s="462"/>
      <c r="AE31" s="462"/>
      <c r="AF31" s="462"/>
      <c r="AG31" s="462"/>
      <c r="AH31" s="462"/>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row>
    <row r="32" spans="1:163" s="469" customFormat="1" ht="14.45" customHeight="1" thickBot="1" x14ac:dyDescent="0.3">
      <c r="A32" s="461"/>
      <c r="B32" s="462"/>
      <c r="C32" s="492"/>
      <c r="D32" s="493" t="s">
        <v>268</v>
      </c>
      <c r="E32" s="494">
        <f>I15</f>
        <v>1.7013523006673692E-2</v>
      </c>
      <c r="F32" s="495">
        <f>I12</f>
        <v>2.195293291183702E-2</v>
      </c>
      <c r="G32" s="466"/>
      <c r="H32" s="466"/>
      <c r="I32" s="466"/>
      <c r="J32" s="462"/>
      <c r="K32" s="492"/>
      <c r="L32" s="493" t="s">
        <v>271</v>
      </c>
      <c r="M32" s="494">
        <f>Q15</f>
        <v>0</v>
      </c>
      <c r="N32" s="495">
        <f>Q12</f>
        <v>0</v>
      </c>
      <c r="O32" s="486"/>
      <c r="P32" s="486"/>
      <c r="Q32" s="486"/>
      <c r="R32" s="461"/>
      <c r="S32" s="461"/>
      <c r="T32" s="461"/>
      <c r="U32" s="461"/>
      <c r="V32" s="461"/>
      <c r="W32" s="461"/>
      <c r="X32" s="461"/>
      <c r="Y32" s="52"/>
      <c r="Z32" s="461"/>
      <c r="AA32" s="461"/>
      <c r="AB32" s="461"/>
      <c r="AC32" s="462"/>
      <c r="AD32" s="462"/>
      <c r="AE32" s="462"/>
      <c r="AF32" s="462"/>
      <c r="AG32" s="462"/>
      <c r="AH32" s="462"/>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row>
    <row r="33" spans="1:163" s="469" customFormat="1" ht="15.95" customHeight="1" x14ac:dyDescent="0.25">
      <c r="A33" s="461"/>
      <c r="B33" s="462"/>
      <c r="C33" s="462"/>
      <c r="D33" s="27"/>
      <c r="E33" s="26"/>
      <c r="F33" s="26"/>
      <c r="G33" s="462"/>
      <c r="H33" s="462"/>
      <c r="I33" s="462"/>
      <c r="J33" s="462"/>
      <c r="K33" s="496"/>
      <c r="L33" s="486"/>
      <c r="M33" s="486"/>
      <c r="N33" s="486"/>
      <c r="O33" s="486"/>
      <c r="P33" s="486"/>
      <c r="Q33" s="486"/>
      <c r="R33" s="462"/>
      <c r="S33" s="462"/>
      <c r="T33" s="462"/>
      <c r="U33" s="462"/>
      <c r="V33" s="462"/>
      <c r="W33" s="462"/>
      <c r="X33" s="462"/>
      <c r="Y33" s="52"/>
      <c r="Z33" s="461"/>
      <c r="AA33" s="461"/>
      <c r="AB33" s="461"/>
      <c r="AC33" s="462"/>
      <c r="AD33" s="462"/>
      <c r="AE33" s="462"/>
      <c r="AF33" s="462"/>
      <c r="AG33" s="462"/>
      <c r="AH33" s="462"/>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row>
    <row r="34" spans="1:163" s="462" customFormat="1" ht="14.1" customHeight="1" x14ac:dyDescent="0.25">
      <c r="B34" s="496"/>
      <c r="D34" s="27"/>
      <c r="E34" s="26"/>
      <c r="F34" s="26"/>
      <c r="Y34" s="52"/>
    </row>
    <row r="35" spans="1:163" s="462" customFormat="1" ht="14.1" customHeight="1" x14ac:dyDescent="0.25">
      <c r="B35" s="496"/>
      <c r="C35" s="52"/>
      <c r="D35" s="52"/>
      <c r="E35" s="52"/>
      <c r="F35" s="52"/>
      <c r="G35" s="52"/>
      <c r="H35" s="52"/>
      <c r="I35" s="52"/>
      <c r="J35" s="52"/>
      <c r="K35" s="52"/>
      <c r="L35" s="52"/>
      <c r="M35" s="52"/>
      <c r="N35" s="52"/>
      <c r="O35" s="52"/>
      <c r="P35" s="52"/>
      <c r="Q35" s="52"/>
      <c r="R35" s="52"/>
      <c r="S35" s="52"/>
      <c r="T35" s="52"/>
      <c r="U35" s="52"/>
      <c r="V35" s="52"/>
      <c r="W35" s="52"/>
      <c r="X35" s="52"/>
      <c r="Y35" s="52"/>
    </row>
    <row r="36" spans="1:163" s="462" customFormat="1" ht="15" x14ac:dyDescent="0.25">
      <c r="B36" s="496"/>
      <c r="C36" s="52"/>
      <c r="D36" s="52"/>
      <c r="E36" s="52"/>
      <c r="F36" s="52"/>
      <c r="G36" s="52"/>
      <c r="H36" s="52"/>
      <c r="I36" s="52"/>
      <c r="J36" s="52"/>
      <c r="K36" s="52"/>
      <c r="L36" s="52"/>
      <c r="M36" s="52"/>
      <c r="N36" s="52"/>
      <c r="O36" s="52"/>
      <c r="P36" s="52"/>
      <c r="Q36" s="52"/>
      <c r="R36" s="52"/>
      <c r="S36" s="52"/>
      <c r="T36" s="52"/>
      <c r="U36" s="52"/>
      <c r="V36" s="52"/>
      <c r="W36" s="52"/>
      <c r="X36" s="52"/>
      <c r="Y36" s="52"/>
    </row>
    <row r="37" spans="1:163" s="462" customFormat="1" ht="15" x14ac:dyDescent="0.25">
      <c r="B37" s="496"/>
      <c r="D37" s="496"/>
    </row>
    <row r="38" spans="1:163" s="462" customFormat="1" ht="15" x14ac:dyDescent="0.25">
      <c r="B38" s="496"/>
      <c r="D38" s="496"/>
    </row>
    <row r="39" spans="1:163" ht="15" x14ac:dyDescent="0.25">
      <c r="S39" s="462"/>
      <c r="AD39" s="26"/>
      <c r="AE39" s="26"/>
      <c r="AF39" s="26"/>
      <c r="AG39" s="26"/>
      <c r="AH39" s="26"/>
      <c r="AI39" s="26"/>
      <c r="AJ39" s="26"/>
    </row>
    <row r="40" spans="1:163" x14ac:dyDescent="0.25">
      <c r="AD40" s="26"/>
      <c r="AE40" s="26"/>
      <c r="AF40" s="26"/>
      <c r="AG40" s="26"/>
      <c r="AH40" s="26"/>
      <c r="AI40" s="26"/>
      <c r="AJ40" s="26"/>
    </row>
    <row r="41" spans="1:163" x14ac:dyDescent="0.25">
      <c r="AD41" s="26"/>
      <c r="AE41" s="26"/>
      <c r="AF41" s="26"/>
      <c r="AG41" s="26"/>
      <c r="AH41" s="26"/>
      <c r="AI41" s="26"/>
      <c r="AJ41" s="26"/>
    </row>
    <row r="42" spans="1:163" x14ac:dyDescent="0.25">
      <c r="AD42" s="26"/>
      <c r="AE42" s="26"/>
      <c r="AF42" s="26"/>
      <c r="AG42" s="26"/>
      <c r="AH42" s="26"/>
      <c r="AI42" s="26"/>
      <c r="AJ42" s="26"/>
    </row>
    <row r="43" spans="1:163" x14ac:dyDescent="0.25">
      <c r="AD43" s="26"/>
      <c r="AE43" s="26"/>
      <c r="AF43" s="26"/>
      <c r="AG43" s="26"/>
      <c r="AH43" s="26"/>
      <c r="AI43" s="26"/>
      <c r="AJ43" s="26"/>
    </row>
    <row r="44" spans="1:163" x14ac:dyDescent="0.25">
      <c r="AD44" s="26"/>
      <c r="AE44" s="26"/>
      <c r="AF44" s="26"/>
      <c r="AG44" s="26"/>
      <c r="AH44" s="26"/>
      <c r="AI44" s="26"/>
      <c r="AJ44" s="26"/>
    </row>
  </sheetData>
  <sheetProtection sheet="1" objects="1" scenarios="1" formatCells="0" formatColumns="0" formatRows="0" sort="0" autoFilter="0"/>
  <dataConsolidate/>
  <mergeCells count="22">
    <mergeCell ref="C8:C9"/>
    <mergeCell ref="D8:D9"/>
    <mergeCell ref="D13:D15"/>
    <mergeCell ref="K8:K9"/>
    <mergeCell ref="S8:S9"/>
    <mergeCell ref="L10:L12"/>
    <mergeCell ref="E8:E9"/>
    <mergeCell ref="D10:D12"/>
    <mergeCell ref="T10:T12"/>
    <mergeCell ref="L13:L15"/>
    <mergeCell ref="T13:T15"/>
    <mergeCell ref="L8:L9"/>
    <mergeCell ref="T8:T9"/>
    <mergeCell ref="K18:K22"/>
    <mergeCell ref="S18:S21"/>
    <mergeCell ref="S22:S25"/>
    <mergeCell ref="C23:C27"/>
    <mergeCell ref="K23:K27"/>
    <mergeCell ref="S26:S29"/>
    <mergeCell ref="C28:C32"/>
    <mergeCell ref="K28:K32"/>
    <mergeCell ref="C18:C22"/>
  </mergeCells>
  <conditionalFormatting sqref="E10:I15">
    <cfRule type="cellIs" dxfId="146" priority="25" operator="equal">
      <formula>0</formula>
    </cfRule>
    <cfRule type="cellIs" dxfId="145" priority="26" operator="greaterThan">
      <formula>10000</formula>
    </cfRule>
    <cfRule type="cellIs" dxfId="144" priority="27" operator="between">
      <formula>10</formula>
      <formula>9999.999</formula>
    </cfRule>
    <cfRule type="cellIs" dxfId="143" priority="28" operator="between">
      <formula>1</formula>
      <formula>9.999</formula>
    </cfRule>
    <cfRule type="cellIs" dxfId="142" priority="29" operator="between">
      <formula>0.1</formula>
      <formula>0.999</formula>
    </cfRule>
    <cfRule type="cellIs" dxfId="141" priority="30" operator="lessThan">
      <formula>0.1</formula>
    </cfRule>
  </conditionalFormatting>
  <conditionalFormatting sqref="M18:M22 M23:N32">
    <cfRule type="cellIs" dxfId="140" priority="7" operator="equal">
      <formula>0</formula>
    </cfRule>
    <cfRule type="cellIs" dxfId="139" priority="8" operator="greaterThan">
      <formula>10000</formula>
    </cfRule>
    <cfRule type="cellIs" dxfId="138" priority="9" operator="between">
      <formula>10</formula>
      <formula>9999.999</formula>
    </cfRule>
    <cfRule type="cellIs" dxfId="137" priority="10" operator="between">
      <formula>1</formula>
      <formula>9.999</formula>
    </cfRule>
    <cfRule type="cellIs" dxfId="136" priority="11" operator="between">
      <formula>0.1</formula>
      <formula>0.999</formula>
    </cfRule>
    <cfRule type="cellIs" dxfId="135" priority="12" operator="lessThan">
      <formula>0.1</formula>
    </cfRule>
  </conditionalFormatting>
  <conditionalFormatting sqref="M10:Q15">
    <cfRule type="cellIs" dxfId="134" priority="14" operator="greaterThan">
      <formula>10000</formula>
    </cfRule>
    <cfRule type="cellIs" dxfId="133" priority="15" operator="between">
      <formula>10</formula>
      <formula>9999.999</formula>
    </cfRule>
    <cfRule type="cellIs" dxfId="132" priority="16" operator="between">
      <formula>1</formula>
      <formula>9.999</formula>
    </cfRule>
    <cfRule type="cellIs" dxfId="131" priority="17" operator="between">
      <formula>0.1</formula>
      <formula>0.999</formula>
    </cfRule>
    <cfRule type="cellIs" dxfId="130" priority="18" operator="lessThan">
      <formula>0.1</formula>
    </cfRule>
    <cfRule type="cellIs" dxfId="129" priority="13" operator="equal">
      <formula>0</formula>
    </cfRule>
  </conditionalFormatting>
  <conditionalFormatting sqref="N18">
    <cfRule type="cellIs" dxfId="128" priority="1" operator="equal">
      <formula>0</formula>
    </cfRule>
    <cfRule type="cellIs" dxfId="127" priority="2" operator="greaterThan">
      <formula>10000</formula>
    </cfRule>
    <cfRule type="cellIs" dxfId="126" priority="3" operator="between">
      <formula>10</formula>
      <formula>9999.999</formula>
    </cfRule>
    <cfRule type="cellIs" dxfId="125" priority="4" operator="between">
      <formula>1</formula>
      <formula>9.999</formula>
    </cfRule>
    <cfRule type="cellIs" dxfId="124" priority="5" operator="between">
      <formula>0.1</formula>
      <formula>0.999</formula>
    </cfRule>
    <cfRule type="cellIs" dxfId="123" priority="6" operator="lessThan">
      <formula>0.1</formula>
    </cfRule>
  </conditionalFormatting>
  <conditionalFormatting sqref="U18:V29">
    <cfRule type="cellIs" dxfId="122" priority="37" operator="equal">
      <formula>0</formula>
    </cfRule>
    <cfRule type="cellIs" dxfId="121" priority="38" operator="greaterThan">
      <formula>10000</formula>
    </cfRule>
    <cfRule type="cellIs" dxfId="120" priority="39" operator="between">
      <formula>10</formula>
      <formula>9999.999</formula>
    </cfRule>
    <cfRule type="cellIs" dxfId="119" priority="40" operator="between">
      <formula>1</formula>
      <formula>9.999</formula>
    </cfRule>
    <cfRule type="cellIs" dxfId="118" priority="41" operator="between">
      <formula>0.1</formula>
      <formula>0.999</formula>
    </cfRule>
    <cfRule type="cellIs" dxfId="117" priority="42" operator="lessThan">
      <formula>0.1</formula>
    </cfRule>
  </conditionalFormatting>
  <conditionalFormatting sqref="U10:X15">
    <cfRule type="cellIs" dxfId="116" priority="31" operator="equal">
      <formula>0</formula>
    </cfRule>
    <cfRule type="cellIs" dxfId="115" priority="32" operator="greaterThan">
      <formula>10000</formula>
    </cfRule>
    <cfRule type="cellIs" dxfId="114" priority="33" operator="between">
      <formula>10</formula>
      <formula>9999.999</formula>
    </cfRule>
    <cfRule type="cellIs" dxfId="113" priority="34" operator="between">
      <formula>1</formula>
      <formula>9.999</formula>
    </cfRule>
    <cfRule type="cellIs" dxfId="112" priority="35" operator="between">
      <formula>0.1</formula>
      <formula>0.999</formula>
    </cfRule>
    <cfRule type="cellIs" dxfId="111" priority="36" operator="lessThan">
      <formula>0.1</formula>
    </cfRule>
  </conditionalFormatting>
  <dataValidations count="1">
    <dataValidation allowBlank="1" showErrorMessage="1" sqref="S15 C8 K8 C15 S8 G16:I32 E16:F16 K15" xr:uid="{48F37C27-EBD3-4C2D-BB00-A367E4149EE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3F0F86-9AC9-4DB1-9F07-D0F627B28BB6}">
          <x14:formula1>
            <xm:f>'List Values'!$B$2:$B$17</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B0BD-3A26-46B1-9811-A8C9CF09E75F}">
  <sheetPr codeName="Sheet13">
    <tabColor rgb="FF92D050"/>
  </sheetPr>
  <dimension ref="B1:AK204"/>
  <sheetViews>
    <sheetView topLeftCell="B1" zoomScale="85" zoomScaleNormal="85" workbookViewId="0">
      <selection activeCell="T104" sqref="T104"/>
    </sheetView>
  </sheetViews>
  <sheetFormatPr defaultColWidth="8.85546875" defaultRowHeight="12.75" x14ac:dyDescent="0.25"/>
  <cols>
    <col min="1" max="1" width="4.5703125" style="26" customWidth="1"/>
    <col min="2" max="2" width="4.5703125" style="27" bestFit="1" customWidth="1"/>
    <col min="3" max="3" width="56.140625" style="26" bestFit="1" customWidth="1"/>
    <col min="4" max="4" width="23" style="27" bestFit="1" customWidth="1"/>
    <col min="5" max="5" width="15.7109375" style="497" bestFit="1" customWidth="1"/>
    <col min="6" max="6" width="14.7109375" style="26" bestFit="1" customWidth="1"/>
    <col min="7" max="7" width="14" style="26" bestFit="1" customWidth="1"/>
    <col min="8" max="8" width="13.28515625" style="26" bestFit="1" customWidth="1"/>
    <col min="9" max="9" width="13.28515625" style="26" hidden="1" customWidth="1"/>
    <col min="10" max="10" width="17.28515625" style="26" bestFit="1" customWidth="1"/>
    <col min="11" max="11" width="16.5703125" style="26" bestFit="1" customWidth="1"/>
    <col min="12" max="12" width="18.7109375" style="26" bestFit="1" customWidth="1"/>
    <col min="13" max="13" width="19.85546875" style="26" hidden="1" customWidth="1"/>
    <col min="14" max="14" width="8.28515625" style="26" bestFit="1" customWidth="1"/>
    <col min="15" max="15" width="11.7109375" style="26" bestFit="1" customWidth="1"/>
    <col min="16" max="16" width="10" style="26" bestFit="1" customWidth="1"/>
    <col min="17" max="17" width="9.28515625" style="26" bestFit="1" customWidth="1"/>
    <col min="18" max="18" width="17" style="26" customWidth="1"/>
    <col min="19" max="19" width="8.85546875" style="26" customWidth="1"/>
    <col min="20" max="20" width="26.5703125" style="26" customWidth="1"/>
    <col min="21" max="21" width="16.85546875" style="26" customWidth="1"/>
    <col min="22" max="22" width="18.85546875" style="26" customWidth="1"/>
    <col min="23" max="23" width="22.140625" style="26" customWidth="1"/>
    <col min="24" max="24" width="25.85546875" style="26" bestFit="1" customWidth="1"/>
    <col min="25" max="28" width="20.42578125" style="26" customWidth="1"/>
    <col min="29" max="30" width="18.85546875" style="26" customWidth="1"/>
    <col min="31" max="31" width="28.42578125" style="113" customWidth="1"/>
    <col min="32" max="32" width="26.85546875" style="113" customWidth="1"/>
    <col min="33" max="33" width="15.140625" style="113" customWidth="1"/>
    <col min="34" max="34" width="17.85546875" style="113" customWidth="1"/>
    <col min="35" max="35" width="22.42578125" style="113" customWidth="1"/>
    <col min="36" max="36" width="21.85546875" style="113" customWidth="1"/>
    <col min="37" max="37" width="17.42578125" style="113" customWidth="1"/>
    <col min="38" max="38" width="14.5703125" style="26" customWidth="1"/>
    <col min="39" max="39" width="17.140625" style="26" customWidth="1"/>
    <col min="40" max="40" width="16" style="26" customWidth="1"/>
    <col min="41" max="41" width="24.140625" style="26" customWidth="1"/>
    <col min="42" max="42" width="15.5703125" style="26" customWidth="1"/>
    <col min="43" max="43" width="14.140625" style="26" customWidth="1"/>
    <col min="44" max="45" width="8.85546875" style="26"/>
    <col min="46" max="46" width="18.42578125" style="26" customWidth="1"/>
    <col min="47" max="47" width="15" style="26" customWidth="1"/>
    <col min="48" max="48" width="21.42578125" style="26" customWidth="1"/>
    <col min="49" max="49" width="15.42578125" style="26" customWidth="1"/>
    <col min="50" max="50" width="16.5703125" style="26" customWidth="1"/>
    <col min="51" max="52" width="8.85546875" style="26"/>
    <col min="53" max="53" width="17.85546875" style="26" customWidth="1"/>
    <col min="54" max="54" width="14.42578125" style="26" customWidth="1"/>
    <col min="55" max="55" width="18.5703125" style="26" customWidth="1"/>
    <col min="56" max="56" width="13.5703125" style="26" customWidth="1"/>
    <col min="57" max="57" width="15.140625" style="26" customWidth="1"/>
    <col min="58" max="59" width="8.85546875" style="26"/>
    <col min="60" max="60" width="16.140625" style="26" customWidth="1"/>
    <col min="61" max="61" width="12" style="26" customWidth="1"/>
    <col min="62" max="62" width="18" style="26" customWidth="1"/>
    <col min="63" max="63" width="16.140625" style="26" customWidth="1"/>
    <col min="64" max="64" width="14.140625" style="26" customWidth="1"/>
    <col min="65" max="65" width="10.140625" style="26" customWidth="1"/>
    <col min="66" max="16384" width="8.85546875" style="26"/>
  </cols>
  <sheetData>
    <row r="1" spans="3:37" x14ac:dyDescent="0.25">
      <c r="K1" s="28"/>
      <c r="L1" s="28"/>
      <c r="M1" s="28"/>
      <c r="N1" s="28"/>
      <c r="AE1" s="26"/>
      <c r="AF1" s="26"/>
      <c r="AG1" s="26"/>
      <c r="AH1" s="26"/>
      <c r="AI1" s="26"/>
      <c r="AJ1" s="26"/>
      <c r="AK1" s="26"/>
    </row>
    <row r="2" spans="3:37" ht="13.5" thickBot="1" x14ac:dyDescent="0.3">
      <c r="K2" s="28"/>
      <c r="L2" s="28"/>
      <c r="M2" s="28"/>
      <c r="N2" s="28"/>
      <c r="AE2" s="26"/>
      <c r="AF2" s="26"/>
      <c r="AG2" s="26"/>
      <c r="AH2" s="26"/>
      <c r="AI2" s="26"/>
      <c r="AJ2" s="26"/>
      <c r="AK2" s="26"/>
    </row>
    <row r="3" spans="3:37" ht="13.5" customHeight="1" thickBot="1" x14ac:dyDescent="0.3">
      <c r="C3" s="498"/>
      <c r="D3" s="498"/>
      <c r="E3" s="499"/>
      <c r="F3" s="500" t="s">
        <v>272</v>
      </c>
      <c r="G3" s="501"/>
      <c r="H3" s="501"/>
      <c r="I3" s="501"/>
      <c r="J3" s="500" t="s">
        <v>273</v>
      </c>
      <c r="K3" s="501"/>
      <c r="L3" s="501"/>
      <c r="M3" s="501"/>
      <c r="N3" s="501" t="s">
        <v>274</v>
      </c>
      <c r="O3" s="501"/>
      <c r="P3" s="501"/>
      <c r="Q3" s="502"/>
      <c r="AE3" s="26"/>
      <c r="AF3" s="26"/>
      <c r="AG3" s="26"/>
      <c r="AH3" s="26"/>
      <c r="AI3" s="26"/>
      <c r="AJ3" s="26"/>
      <c r="AK3" s="26"/>
    </row>
    <row r="4" spans="3:37" ht="29.25" customHeight="1" thickBot="1" x14ac:dyDescent="0.3">
      <c r="C4" s="503" t="s">
        <v>174</v>
      </c>
      <c r="D4" s="503" t="s">
        <v>275</v>
      </c>
      <c r="E4" s="504" t="s">
        <v>77</v>
      </c>
      <c r="F4" s="505" t="s">
        <v>83</v>
      </c>
      <c r="G4" s="505" t="s">
        <v>276</v>
      </c>
      <c r="H4" s="505" t="s">
        <v>85</v>
      </c>
      <c r="I4" s="505" t="s">
        <v>86</v>
      </c>
      <c r="J4" s="505" t="s">
        <v>277</v>
      </c>
      <c r="K4" s="505" t="s">
        <v>278</v>
      </c>
      <c r="L4" s="505" t="s">
        <v>279</v>
      </c>
      <c r="M4" s="505" t="s">
        <v>280</v>
      </c>
      <c r="N4" s="505" t="s">
        <v>281</v>
      </c>
      <c r="O4" s="505" t="s">
        <v>282</v>
      </c>
      <c r="P4" s="505" t="s">
        <v>283</v>
      </c>
      <c r="Q4" s="505" t="s">
        <v>284</v>
      </c>
      <c r="AE4" s="26"/>
      <c r="AF4" s="26"/>
      <c r="AG4" s="26"/>
      <c r="AH4" s="26"/>
      <c r="AI4" s="26"/>
      <c r="AJ4" s="26"/>
      <c r="AK4" s="26"/>
    </row>
    <row r="5" spans="3:37" ht="12.75" customHeight="1" x14ac:dyDescent="0.25">
      <c r="C5" s="506" t="str" cm="1">
        <f t="array" ref="C5">INDEX('List Values'!$B$2:$B$17,(1+ROUNDDOWN((ROW()-ROW($C$5))*1/6,2)))</f>
        <v>Manufacturing</v>
      </c>
      <c r="D5" s="507" t="s">
        <v>197</v>
      </c>
      <c r="E5" s="508" t="s">
        <v>90</v>
      </c>
      <c r="F5" s="509">
        <f>IF(E5="High-End",SUMIFS(Inhalation_Exp[24hr_High-End],Inhalation_Exp[OES],$C5,Inhalation_Exp[Worker Type],$D5),SUMIFS(Inhalation_Exp[24hr_Central Tendency],Inhalation_Exp[OES],$C5,Inhalation_Exp[Worker Type],$D5))</f>
        <v>0.125</v>
      </c>
      <c r="G5" s="278">
        <f>IF(E5="High-End",SUMIFS(Inhalation_Exp[Int_High-End],Inhalation_Exp[OES],$C5,Inhalation_Exp[Worker Type],$D5),SUMIFS(Inhalation_Exp[Int_Central Tendency],Inhalation_Exp[OES],$C5,Inhalation_Exp[Worker Type],$D5))</f>
        <v>9.166666666666666E-2</v>
      </c>
      <c r="H5" s="278">
        <f>IF(E5="High-End",SUMIFS(Inhalation_Exp[ADD_High-End],Inhalation_Exp[OES],$C5,Inhalation_Exp[Worker Type],$D5),SUMIFS(Inhalation_Exp[ADD_Central Tendency],Inhalation_Exp[OES],$C5,Inhalation_Exp[Worker Type],$D5))</f>
        <v>8.5616438356164379E-2</v>
      </c>
      <c r="I5" s="278">
        <f>IF(E5="High-End",SUMIFS(Inhalation_Exp[LADD_High-End],Inhalation_Exp[OES],$C5,Inhalation_Exp[Worker Type],$D5),SUMIFS(Inhalation_Exp[LADD_Central Tendency],Inhalation_Exp[OES],$C5,Inhalation_Exp[Worker Type],$D5))</f>
        <v>4.3905865823674041E-2</v>
      </c>
      <c r="J5" s="278">
        <f>IF($E5="High-End",SUMIFS(Dermal_Exp[High-End AD (mg/kg-day)],Dermal_Exp[Worker Type],$D5,Dermal_Exp[OES],$C5),SUMIFS(Dermal_Exp[Central Tendency AD (mg/kg-day)],Dermal_Exp[Worker Type],$D5,Dermal_Exp[OES],$C5))</f>
        <v>2.5100416666666665</v>
      </c>
      <c r="K5" s="510">
        <f>IF($E5="High-End",SUMIFS(Dermal_Exp[High-End IADD (mg/kg-day)],Dermal_Exp[Worker Type],$D5,Dermal_Exp[OES],$C5),SUMIFS(Dermal_Exp[Central Tendency IADD (mg/kg-day)],Dermal_Exp[Worker Type],$D5,Dermal_Exp[OES],$C5))</f>
        <v>1.840697222222222</v>
      </c>
      <c r="L5" s="510">
        <f>IF($E5="High-End",SUMIFS(Dermal_Exp[High-End ADD (mg/kg-day)],Dermal_Exp[Worker Type],$D5,Dermal_Exp[OES],$C5),SUMIFS(Dermal_Exp[Central Tendency ADD (mg/kg-day)],Dermal_Exp[Worker Type],$D5,Dermal_Exp[OES],$C5))</f>
        <v>1.719206621004566</v>
      </c>
      <c r="M5" s="510">
        <f>IF($E5="High-End",SUMIFS(Dermal_Exp[High-End LADD (mg/kg-day)],Dermal_Exp[Worker Type],$D5,Dermal_Exp[OES],$C5),SUMIFS(Dermal_Exp[Central Tendency LADD (mg/kg-day)],Dermal_Exp[Worker Type],$D5,Dermal_Exp[OES],$C5))</f>
        <v>0.88164442102798257</v>
      </c>
      <c r="N5" s="510">
        <f>F5+J5</f>
        <v>2.6350416666666665</v>
      </c>
      <c r="O5" s="510">
        <f>G5+K5</f>
        <v>1.9323638888888885</v>
      </c>
      <c r="P5" s="510">
        <f>H5+L5</f>
        <v>1.8048230593607304</v>
      </c>
      <c r="Q5" s="511">
        <f>I5+M5</f>
        <v>0.92555028685165663</v>
      </c>
      <c r="AE5" s="26"/>
      <c r="AF5" s="26"/>
      <c r="AG5" s="26"/>
      <c r="AH5" s="26"/>
      <c r="AI5" s="26"/>
      <c r="AJ5" s="26"/>
      <c r="AK5" s="26"/>
    </row>
    <row r="6" spans="3:37" ht="12.75" customHeight="1" x14ac:dyDescent="0.25">
      <c r="C6" s="512" t="str" cm="1">
        <f t="array" ref="C6">INDEX('List Values'!$B$2:$B$17,(1+ROUNDDOWN((ROW()-ROW($C$5))*1/6,2)))</f>
        <v>Manufacturing</v>
      </c>
      <c r="D6" s="513" t="s">
        <v>197</v>
      </c>
      <c r="E6" s="514" t="s">
        <v>91</v>
      </c>
      <c r="F6" s="515">
        <f>IF(E6="High-End",SUMIFS(Inhalation_Exp[24hr_High-End],Inhalation_Exp[OES],$C6,Inhalation_Exp[Worker Type],$D6),SUMIFS(Inhalation_Exp[24hr_Central Tendency],Inhalation_Exp[OES],$C6,Inhalation_Exp[Worker Type],$D6))</f>
        <v>6.25E-2</v>
      </c>
      <c r="G6" s="394">
        <f>IF(E6="High-End",SUMIFS(Inhalation_Exp[Int_High-End],Inhalation_Exp[OES],$C6,Inhalation_Exp[Worker Type],$D6),SUMIFS(Inhalation_Exp[Int_Central Tendency],Inhalation_Exp[OES],$C6,Inhalation_Exp[Worker Type],$D6))</f>
        <v>4.583333333333333E-2</v>
      </c>
      <c r="H6" s="394">
        <f>IF(E6="High-End",SUMIFS(Inhalation_Exp[ADD_High-End],Inhalation_Exp[OES],$C6,Inhalation_Exp[Worker Type],$D6),SUMIFS(Inhalation_Exp[ADD_Central Tendency],Inhalation_Exp[OES],$C6,Inhalation_Exp[Worker Type],$D6))</f>
        <v>4.2808219178082189E-2</v>
      </c>
      <c r="I6" s="394">
        <f>IF(E6="High-End",SUMIFS(Inhalation_Exp[LADD_High-End],Inhalation_Exp[OES],$C6,Inhalation_Exp[Worker Type],$D6),SUMIFS(Inhalation_Exp[LADD_Central Tendency],Inhalation_Exp[OES],$C6,Inhalation_Exp[Worker Type],$D6))</f>
        <v>1.7013523006673692E-2</v>
      </c>
      <c r="J6" s="394">
        <f>IF($E6="High-End",SUMIFS(Dermal_Exp[High-End AD (mg/kg-day)],Dermal_Exp[Worker Type],$D6,Dermal_Exp[OES],$C6),SUMIFS(Dermal_Exp[Central Tendency AD (mg/kg-day)],Dermal_Exp[Worker Type],$D6,Dermal_Exp[OES],$C6))</f>
        <v>1.2550208333333333</v>
      </c>
      <c r="K6" s="332">
        <f>IF($E6="High-End",SUMIFS(Dermal_Exp[High-End IADD (mg/kg-day)],Dermal_Exp[Worker Type],$D6,Dermal_Exp[OES],$C6),SUMIFS(Dermal_Exp[Central Tendency IADD (mg/kg-day)],Dermal_Exp[Worker Type],$D6,Dermal_Exp[OES],$C6))</f>
        <v>0.92034861111111099</v>
      </c>
      <c r="L6" s="332">
        <f>IF($E6="High-End",SUMIFS(Dermal_Exp[High-End ADD (mg/kg-day)],Dermal_Exp[Worker Type],$D6,Dermal_Exp[OES],$C6),SUMIFS(Dermal_Exp[Central Tendency ADD (mg/kg-day)],Dermal_Exp[Worker Type],$D6,Dermal_Exp[OES],$C6))</f>
        <v>0.859603310502283</v>
      </c>
      <c r="M6" s="332">
        <f>IF($E6="High-End",SUMIFS(Dermal_Exp[High-End LADD (mg/kg-day)],Dermal_Exp[Worker Type],$D6,Dermal_Exp[OES],$C6),SUMIFS(Dermal_Exp[Central Tendency LADD (mg/kg-day)],Dermal_Exp[Worker Type],$D6,Dermal_Exp[OES],$C6))</f>
        <v>0.34163721314834322</v>
      </c>
      <c r="N6" s="332">
        <f t="shared" ref="N6:N11" si="0">F6+J6</f>
        <v>1.3175208333333333</v>
      </c>
      <c r="O6" s="332">
        <f t="shared" ref="O6:Q10" si="1">G6+K6</f>
        <v>0.96618194444444427</v>
      </c>
      <c r="P6" s="332">
        <f t="shared" si="1"/>
        <v>0.9024115296803652</v>
      </c>
      <c r="Q6" s="516">
        <f t="shared" si="1"/>
        <v>0.35865073615501691</v>
      </c>
      <c r="AE6" s="26"/>
      <c r="AF6" s="26"/>
      <c r="AG6" s="26"/>
      <c r="AH6" s="26"/>
      <c r="AI6" s="26"/>
      <c r="AJ6" s="26"/>
      <c r="AK6" s="26"/>
    </row>
    <row r="7" spans="3:37" ht="12.75" customHeight="1" x14ac:dyDescent="0.25">
      <c r="C7" s="512" t="str" cm="1">
        <f t="array" ref="C7">INDEX('List Values'!$B$2:$B$17,(1+ROUNDDOWN((ROW()-ROW($C$5))*1/6,2)))</f>
        <v>Manufacturing</v>
      </c>
      <c r="D7" s="513" t="s">
        <v>72</v>
      </c>
      <c r="E7" s="514" t="s">
        <v>90</v>
      </c>
      <c r="F7" s="515">
        <f>IF(E7="High-End",SUMIFS(Inhalation_Exp[24hr_High-End],Inhalation_Exp[OES],$C7,Inhalation_Exp[Worker Type],$D7),SUMIFS(Inhalation_Exp[24hr_Central Tendency],Inhalation_Exp[OES],$C7,Inhalation_Exp[Worker Type],$D7))</f>
        <v>0.13807386952019329</v>
      </c>
      <c r="G7" s="394">
        <f>IF(E7="High-End",SUMIFS(Inhalation_Exp[Int_High-End],Inhalation_Exp[OES],$C7,Inhalation_Exp[Worker Type],$D7),SUMIFS(Inhalation_Exp[Int_Central Tendency],Inhalation_Exp[OES],$C7,Inhalation_Exp[Worker Type],$D7))</f>
        <v>0.10125417098147509</v>
      </c>
      <c r="H7" s="394">
        <f>IF(E7="High-End",SUMIFS(Inhalation_Exp[ADD_High-End],Inhalation_Exp[OES],$C7,Inhalation_Exp[Worker Type],$D7),SUMIFS(Inhalation_Exp[ADD_Central Tendency],Inhalation_Exp[OES],$C7,Inhalation_Exp[Worker Type],$D7))</f>
        <v>9.4571143506981703E-2</v>
      </c>
      <c r="I7" s="394">
        <f>IF(E7="High-End",SUMIFS(Inhalation_Exp[LADD_High-End],Inhalation_Exp[OES],$C7,Inhalation_Exp[Worker Type],$D7),SUMIFS(Inhalation_Exp[LADD_Central Tendency],Inhalation_Exp[OES],$C7,Inhalation_Exp[Worker Type],$D7))</f>
        <v>4.8498022311272669E-2</v>
      </c>
      <c r="J7" s="394">
        <f>IF($E7="High-End",SUMIFS(Dermal_Exp[High-End AD (mg/kg-day)],Dermal_Exp[Worker Type],$D7,Dermal_Exp[OES],$C7),SUMIFS(Dermal_Exp[Central Tendency AD (mg/kg-day)],Dermal_Exp[Worker Type],$D7,Dermal_Exp[OES],$C7))</f>
        <v>2.3069521178637196</v>
      </c>
      <c r="K7" s="332">
        <f>IF($E7="High-End",SUMIFS(Dermal_Exp[High-End IADD (mg/kg-day)],Dermal_Exp[Worker Type],$D7,Dermal_Exp[OES],$C7),SUMIFS(Dermal_Exp[Central Tendency IADD (mg/kg-day)],Dermal_Exp[Worker Type],$D7,Dermal_Exp[OES],$C7))</f>
        <v>1.6917648864333943</v>
      </c>
      <c r="L7" s="332">
        <f>IF($E7="High-End",SUMIFS(Dermal_Exp[High-End ADD (mg/kg-day)],Dermal_Exp[Worker Type],$D7,Dermal_Exp[OES],$C7),SUMIFS(Dermal_Exp[Central Tendency ADD (mg/kg-day)],Dermal_Exp[Worker Type],$D7,Dermal_Exp[OES],$C7))</f>
        <v>1.5801041903176161</v>
      </c>
      <c r="M7" s="332">
        <f>IF($E7="High-End",SUMIFS(Dermal_Exp[High-End LADD (mg/kg-day)],Dermal_Exp[Worker Type],$D7,Dermal_Exp[OES],$C7),SUMIFS(Dermal_Exp[Central Tendency LADD (mg/kg-day)],Dermal_Exp[Worker Type],$D7,Dermal_Exp[OES],$C7))</f>
        <v>0.81030984118852112</v>
      </c>
      <c r="N7" s="332">
        <f t="shared" si="0"/>
        <v>2.4450259873839126</v>
      </c>
      <c r="O7" s="332">
        <f t="shared" si="1"/>
        <v>1.7930190574148694</v>
      </c>
      <c r="P7" s="332">
        <f t="shared" si="1"/>
        <v>1.6746753338245979</v>
      </c>
      <c r="Q7" s="516">
        <f t="shared" si="1"/>
        <v>0.85880786349979377</v>
      </c>
      <c r="AE7" s="26"/>
      <c r="AF7" s="26"/>
      <c r="AG7" s="26"/>
      <c r="AH7" s="26"/>
      <c r="AI7" s="26"/>
      <c r="AJ7" s="26"/>
      <c r="AK7" s="26"/>
    </row>
    <row r="8" spans="3:37" ht="12.75" customHeight="1" x14ac:dyDescent="0.25">
      <c r="C8" s="512" t="str" cm="1">
        <f t="array" ref="C8">INDEX('List Values'!$B$2:$B$17,(1+ROUNDDOWN((ROW()-ROW($C$5))*1/6,2)))</f>
        <v>Manufacturing</v>
      </c>
      <c r="D8" s="513" t="s">
        <v>72</v>
      </c>
      <c r="E8" s="514" t="s">
        <v>91</v>
      </c>
      <c r="F8" s="515">
        <f>IF(E8="High-End",SUMIFS(Inhalation_Exp[24hr_High-End],Inhalation_Exp[OES],$C8,Inhalation_Exp[Worker Type],$D8),SUMIFS(Inhalation_Exp[24hr_Central Tendency],Inhalation_Exp[OES],$C8,Inhalation_Exp[Worker Type],$D8))</f>
        <v>6.9036934760096647E-2</v>
      </c>
      <c r="G8" s="394">
        <f>IF(E8="High-End",SUMIFS(Inhalation_Exp[Int_High-End],Inhalation_Exp[OES],$C8,Inhalation_Exp[Worker Type],$D8),SUMIFS(Inhalation_Exp[Int_Central Tendency],Inhalation_Exp[OES],$C8,Inhalation_Exp[Worker Type],$D8))</f>
        <v>5.0627085490737543E-2</v>
      </c>
      <c r="H8" s="394">
        <f>IF(E8="High-End",SUMIFS(Inhalation_Exp[ADD_High-End],Inhalation_Exp[OES],$C8,Inhalation_Exp[Worker Type],$D8),SUMIFS(Inhalation_Exp[ADD_Central Tendency],Inhalation_Exp[OES],$C8,Inhalation_Exp[Worker Type],$D8))</f>
        <v>4.7285571753490852E-2</v>
      </c>
      <c r="I8" s="394">
        <f>IF(E8="High-End",SUMIFS(Inhalation_Exp[LADD_High-End],Inhalation_Exp[OES],$C8,Inhalation_Exp[Worker Type],$D8),SUMIFS(Inhalation_Exp[LADD_Central Tendency],Inhalation_Exp[OES],$C8,Inhalation_Exp[Worker Type],$D8))</f>
        <v>1.8792983645618159E-2</v>
      </c>
      <c r="J8" s="394">
        <f>IF($E8="High-End",SUMIFS(Dermal_Exp[High-End AD (mg/kg-day)],Dermal_Exp[Worker Type],$D8,Dermal_Exp[OES],$C8),SUMIFS(Dermal_Exp[Central Tendency AD (mg/kg-day)],Dermal_Exp[Worker Type],$D8,Dermal_Exp[OES],$C8))</f>
        <v>1.1534760589318598</v>
      </c>
      <c r="K8" s="332">
        <f>IF($E8="High-End",SUMIFS(Dermal_Exp[High-End IADD (mg/kg-day)],Dermal_Exp[Worker Type],$D8,Dermal_Exp[OES],$C8),SUMIFS(Dermal_Exp[Central Tendency IADD (mg/kg-day)],Dermal_Exp[Worker Type],$D8,Dermal_Exp[OES],$C8))</f>
        <v>0.84588244321669714</v>
      </c>
      <c r="L8" s="332">
        <f>IF($E8="High-End",SUMIFS(Dermal_Exp[High-End ADD (mg/kg-day)],Dermal_Exp[Worker Type],$D8,Dermal_Exp[OES],$C8),SUMIFS(Dermal_Exp[Central Tendency ADD (mg/kg-day)],Dermal_Exp[Worker Type],$D8,Dermal_Exp[OES],$C8))</f>
        <v>0.79005209515880803</v>
      </c>
      <c r="M8" s="332">
        <f>IF($E8="High-End",SUMIFS(Dermal_Exp[High-End LADD (mg/kg-day)],Dermal_Exp[Worker Type],$D8,Dermal_Exp[OES],$C8),SUMIFS(Dermal_Exp[Central Tendency LADD (mg/kg-day)],Dermal_Exp[Worker Type],$D8,Dermal_Exp[OES],$C8))</f>
        <v>0.31399506346055195</v>
      </c>
      <c r="N8" s="332">
        <f t="shared" si="0"/>
        <v>1.2225129936919563</v>
      </c>
      <c r="O8" s="332">
        <f t="shared" si="1"/>
        <v>0.89650952870743472</v>
      </c>
      <c r="P8" s="332">
        <f t="shared" si="1"/>
        <v>0.83733766691229894</v>
      </c>
      <c r="Q8" s="516">
        <f t="shared" si="1"/>
        <v>0.3327880471061701</v>
      </c>
      <c r="AE8" s="26"/>
      <c r="AF8" s="26"/>
      <c r="AG8" s="26"/>
      <c r="AH8" s="26"/>
      <c r="AI8" s="26"/>
      <c r="AJ8" s="26"/>
      <c r="AK8" s="26"/>
    </row>
    <row r="9" spans="3:37" ht="12.75" customHeight="1" x14ac:dyDescent="0.25">
      <c r="C9" s="512" t="str" cm="1">
        <f t="array" ref="C9">INDEX('List Values'!$B$2:$B$17,(1+ROUNDDOWN((ROW()-ROW($C$5))*1/6,2)))</f>
        <v>Manufacturing</v>
      </c>
      <c r="D9" s="513" t="s">
        <v>92</v>
      </c>
      <c r="E9" s="514" t="s">
        <v>90</v>
      </c>
      <c r="F9" s="515">
        <f>IF(E9="High-End",SUMIFS(Inhalation_Exp[24hr_High-End],Inhalation_Exp[OES],$C9,Inhalation_Exp[Worker Type],$D9),SUMIFS(Inhalation_Exp[24hr_Central Tendency],Inhalation_Exp[OES],$C9,Inhalation_Exp[Worker Type],$D9))</f>
        <v>6.25E-2</v>
      </c>
      <c r="G9" s="394">
        <f>IF(E9="High-End",SUMIFS(Inhalation_Exp[Int_High-End],Inhalation_Exp[OES],$C9,Inhalation_Exp[Worker Type],$D9),SUMIFS(Inhalation_Exp[Int_Central Tendency],Inhalation_Exp[OES],$C9,Inhalation_Exp[Worker Type],$D9))</f>
        <v>4.583333333333333E-2</v>
      </c>
      <c r="H9" s="394">
        <f>IF(E9="High-End",SUMIFS(Inhalation_Exp[ADD_High-End],Inhalation_Exp[OES],$C9,Inhalation_Exp[Worker Type],$D9),SUMIFS(Inhalation_Exp[ADD_Central Tendency],Inhalation_Exp[OES],$C9,Inhalation_Exp[Worker Type],$D9))</f>
        <v>4.2808219178082189E-2</v>
      </c>
      <c r="I9" s="394">
        <f>IF(E9="High-End",SUMIFS(Inhalation_Exp[LADD_High-End],Inhalation_Exp[OES],$C9,Inhalation_Exp[Worker Type],$D9),SUMIFS(Inhalation_Exp[LADD_Central Tendency],Inhalation_Exp[OES],$C9,Inhalation_Exp[Worker Type],$D9))</f>
        <v>2.195293291183702E-2</v>
      </c>
      <c r="J9" s="394">
        <f>IF($E9="High-End",SUMIFS(Dermal_Exp[High-End AD (mg/kg-day)],Dermal_Exp[Worker Type],$D9,Dermal_Exp[OES],$C9),SUMIFS(Dermal_Exp[Central Tendency AD (mg/kg-day)],Dermal_Exp[Worker Type],$D9,Dermal_Exp[OES],$C9))</f>
        <v>0</v>
      </c>
      <c r="K9" s="332">
        <f>IF($E9="High-End",SUMIFS(Dermal_Exp[High-End IADD (mg/kg-day)],Dermal_Exp[Worker Type],$D9,Dermal_Exp[OES],$C9),SUMIFS(Dermal_Exp[Central Tendency IADD (mg/kg-day)],Dermal_Exp[Worker Type],$D9,Dermal_Exp[OES],$C9))</f>
        <v>0</v>
      </c>
      <c r="L9" s="332">
        <f>IF($E9="High-End",SUMIFS(Dermal_Exp[High-End ADD (mg/kg-day)],Dermal_Exp[Worker Type],$D9,Dermal_Exp[OES],$C9),SUMIFS(Dermal_Exp[Central Tendency ADD (mg/kg-day)],Dermal_Exp[Worker Type],$D9,Dermal_Exp[OES],$C9))</f>
        <v>0</v>
      </c>
      <c r="M9" s="332">
        <f>IF($E9="High-End",SUMIFS(Dermal_Exp[High-End LADD (mg/kg-day)],Dermal_Exp[Worker Type],$D9,Dermal_Exp[OES],$C9),SUMIFS(Dermal_Exp[Central Tendency LADD (mg/kg-day)],Dermal_Exp[Worker Type],$D9,Dermal_Exp[OES],$C9))</f>
        <v>0</v>
      </c>
      <c r="N9" s="332">
        <f t="shared" si="0"/>
        <v>6.25E-2</v>
      </c>
      <c r="O9" s="332">
        <f t="shared" si="1"/>
        <v>4.583333333333333E-2</v>
      </c>
      <c r="P9" s="332">
        <f t="shared" si="1"/>
        <v>4.2808219178082189E-2</v>
      </c>
      <c r="Q9" s="516">
        <f t="shared" si="1"/>
        <v>2.195293291183702E-2</v>
      </c>
      <c r="AE9" s="26"/>
      <c r="AF9" s="26"/>
      <c r="AG9" s="26"/>
      <c r="AH9" s="26"/>
      <c r="AI9" s="26"/>
      <c r="AJ9" s="26"/>
      <c r="AK9" s="26"/>
    </row>
    <row r="10" spans="3:37" ht="12.75" customHeight="1" x14ac:dyDescent="0.25">
      <c r="C10" s="512" t="str" cm="1">
        <f t="array" ref="C10">INDEX('List Values'!$B$2:$B$17,(1+ROUNDDOWN((ROW()-ROW($C$5))*1/6,2)))</f>
        <v>Manufacturing</v>
      </c>
      <c r="D10" s="513" t="s">
        <v>92</v>
      </c>
      <c r="E10" s="514" t="s">
        <v>91</v>
      </c>
      <c r="F10" s="515">
        <f>IF(E10="High-End",SUMIFS(Inhalation_Exp[24hr_High-End],Inhalation_Exp[OES],$C10,Inhalation_Exp[Worker Type],$D10),SUMIFS(Inhalation_Exp[24hr_Central Tendency],Inhalation_Exp[OES],$C10,Inhalation_Exp[Worker Type],$D10))</f>
        <v>6.25E-2</v>
      </c>
      <c r="G10" s="394">
        <f>IF(E10="High-End",SUMIFS(Inhalation_Exp[Int_High-End],Inhalation_Exp[OES],$C10,Inhalation_Exp[Worker Type],$D10),SUMIFS(Inhalation_Exp[Int_Central Tendency],Inhalation_Exp[OES],$C10,Inhalation_Exp[Worker Type],$D10))</f>
        <v>4.583333333333333E-2</v>
      </c>
      <c r="H10" s="394">
        <f>IF(E10="High-End",SUMIFS(Inhalation_Exp[ADD_High-End],Inhalation_Exp[OES],$C10,Inhalation_Exp[Worker Type],$D10),SUMIFS(Inhalation_Exp[ADD_Central Tendency],Inhalation_Exp[OES],$C10,Inhalation_Exp[Worker Type],$D10))</f>
        <v>4.2808219178082189E-2</v>
      </c>
      <c r="I10" s="394">
        <f>IF(E10="High-End",SUMIFS(Inhalation_Exp[LADD_High-End],Inhalation_Exp[OES],$C10,Inhalation_Exp[Worker Type],$D10),SUMIFS(Inhalation_Exp[LADD_Central Tendency],Inhalation_Exp[OES],$C10,Inhalation_Exp[Worker Type],$D10))</f>
        <v>1.7013523006673692E-2</v>
      </c>
      <c r="J10" s="394">
        <f>IF($E10="High-End",SUMIFS(Dermal_Exp[High-End AD (mg/kg-day)],Dermal_Exp[Worker Type],$D10,Dermal_Exp[OES],$C10),SUMIFS(Dermal_Exp[Central Tendency AD (mg/kg-day)],Dermal_Exp[Worker Type],$D10,Dermal_Exp[OES],$C10))</f>
        <v>0</v>
      </c>
      <c r="K10" s="332">
        <f>IF($E10="High-End",SUMIFS(Dermal_Exp[High-End IADD (mg/kg-day)],Dermal_Exp[Worker Type],$D10,Dermal_Exp[OES],$C10),SUMIFS(Dermal_Exp[Central Tendency IADD (mg/kg-day)],Dermal_Exp[Worker Type],$D10,Dermal_Exp[OES],$C10))</f>
        <v>0</v>
      </c>
      <c r="L10" s="332">
        <f>IF($E10="High-End",SUMIFS(Dermal_Exp[High-End ADD (mg/kg-day)],Dermal_Exp[Worker Type],$D10,Dermal_Exp[OES],$C10),SUMIFS(Dermal_Exp[Central Tendency ADD (mg/kg-day)],Dermal_Exp[Worker Type],$D10,Dermal_Exp[OES],$C10))</f>
        <v>0</v>
      </c>
      <c r="M10" s="332">
        <f>IF($E10="High-End",SUMIFS(Dermal_Exp[High-End LADD (mg/kg-day)],Dermal_Exp[Worker Type],$D10,Dermal_Exp[OES],$C10),SUMIFS(Dermal_Exp[Central Tendency LADD (mg/kg-day)],Dermal_Exp[Worker Type],$D10,Dermal_Exp[OES],$C10))</f>
        <v>0</v>
      </c>
      <c r="N10" s="332">
        <f t="shared" si="0"/>
        <v>6.25E-2</v>
      </c>
      <c r="O10" s="332">
        <f t="shared" si="1"/>
        <v>4.583333333333333E-2</v>
      </c>
      <c r="P10" s="332">
        <f t="shared" si="1"/>
        <v>4.2808219178082189E-2</v>
      </c>
      <c r="Q10" s="516">
        <f t="shared" si="1"/>
        <v>1.7013523006673692E-2</v>
      </c>
      <c r="AE10" s="26"/>
      <c r="AF10" s="26"/>
      <c r="AG10" s="26"/>
      <c r="AH10" s="26"/>
      <c r="AI10" s="26"/>
      <c r="AJ10" s="26"/>
      <c r="AK10" s="26"/>
    </row>
    <row r="11" spans="3:37" ht="12.75" customHeight="1" x14ac:dyDescent="0.25">
      <c r="C11" s="512" t="str" cm="1">
        <f t="array" ref="C11">INDEX('List Values'!$B$2:$B$17,(1+ROUNDDOWN((ROW()-ROW($C$5))*1/6,2)))</f>
        <v>Import and Repackaging</v>
      </c>
      <c r="D11" s="513" t="s">
        <v>197</v>
      </c>
      <c r="E11" s="514" t="s">
        <v>90</v>
      </c>
      <c r="F11" s="515">
        <f>IF(E11="High-End",SUMIFS(Inhalation_Exp[24hr_High-End],Inhalation_Exp[OES],$C11,Inhalation_Exp[Worker Type],$D11),SUMIFS(Inhalation_Exp[24hr_Central Tendency],Inhalation_Exp[OES],$C11,Inhalation_Exp[Worker Type],$D11))</f>
        <v>0.125</v>
      </c>
      <c r="G11" s="394">
        <f>IF(E11="High-End",SUMIFS(Inhalation_Exp[Int_High-End],Inhalation_Exp[OES],$C11,Inhalation_Exp[Worker Type],$D11),SUMIFS(Inhalation_Exp[Int_Central Tendency],Inhalation_Exp[OES],$C11,Inhalation_Exp[Worker Type],$D11))</f>
        <v>9.166666666666666E-2</v>
      </c>
      <c r="H11" s="394">
        <f>IF(E11="High-End",SUMIFS(Inhalation_Exp[ADD_High-End],Inhalation_Exp[OES],$C11,Inhalation_Exp[Worker Type],$D11),SUMIFS(Inhalation_Exp[ADD_Central Tendency],Inhalation_Exp[OES],$C11,Inhalation_Exp[Worker Type],$D11))</f>
        <v>8.5616438356164379E-2</v>
      </c>
      <c r="I11" s="394">
        <f>IF(E11="High-End",SUMIFS(Inhalation_Exp[LADD_High-End],Inhalation_Exp[OES],$C11,Inhalation_Exp[Worker Type],$D11),SUMIFS(Inhalation_Exp[LADD_Central Tendency],Inhalation_Exp[OES],$C11,Inhalation_Exp[Worker Type],$D11))</f>
        <v>4.3905865823674041E-2</v>
      </c>
      <c r="J11" s="394">
        <f>IF($E11="High-End",SUMIFS(Dermal_Exp[High-End AD (mg/kg-day)],Dermal_Exp[Worker Type],$D11,Dermal_Exp[OES],$C11),SUMIFS(Dermal_Exp[Central Tendency AD (mg/kg-day)],Dermal_Exp[Worker Type],$D11,Dermal_Exp[OES],$C11))</f>
        <v>2.5100416666666665</v>
      </c>
      <c r="K11" s="332">
        <f>IF($E11="High-End",SUMIFS(Dermal_Exp[High-End IADD (mg/kg-day)],Dermal_Exp[Worker Type],$D11,Dermal_Exp[OES],$C11),SUMIFS(Dermal_Exp[Central Tendency IADD (mg/kg-day)],Dermal_Exp[Worker Type],$D11,Dermal_Exp[OES],$C11))</f>
        <v>1.840697222222222</v>
      </c>
      <c r="L11" s="332">
        <f>IF($E11="High-End",SUMIFS(Dermal_Exp[High-End ADD (mg/kg-day)],Dermal_Exp[Worker Type],$D11,Dermal_Exp[OES],$C11),SUMIFS(Dermal_Exp[Central Tendency ADD (mg/kg-day)],Dermal_Exp[Worker Type],$D11,Dermal_Exp[OES],$C11))</f>
        <v>1.719206621004566</v>
      </c>
      <c r="M11" s="332">
        <f>IF($E11="High-End",SUMIFS(Dermal_Exp[High-End LADD (mg/kg-day)],Dermal_Exp[Worker Type],$D11,Dermal_Exp[OES],$C11),SUMIFS(Dermal_Exp[Central Tendency LADD (mg/kg-day)],Dermal_Exp[Worker Type],$D11,Dermal_Exp[OES],$C11))</f>
        <v>0.88164442102798257</v>
      </c>
      <c r="N11" s="332">
        <f t="shared" si="0"/>
        <v>2.6350416666666665</v>
      </c>
      <c r="O11" s="332">
        <f t="shared" ref="O11:O74" si="2">G11+K11</f>
        <v>1.9323638888888885</v>
      </c>
      <c r="P11" s="332">
        <f t="shared" ref="P11:P74" si="3">H11+L11</f>
        <v>1.8048230593607304</v>
      </c>
      <c r="Q11" s="516">
        <f t="shared" ref="Q11:Q74" si="4">I11+M11</f>
        <v>0.92555028685165663</v>
      </c>
      <c r="AE11" s="26"/>
      <c r="AF11" s="26"/>
      <c r="AG11" s="26"/>
      <c r="AH11" s="26"/>
      <c r="AI11" s="26"/>
      <c r="AJ11" s="26"/>
      <c r="AK11" s="26"/>
    </row>
    <row r="12" spans="3:37" ht="12.75" customHeight="1" x14ac:dyDescent="0.25">
      <c r="C12" s="512" t="str" cm="1">
        <f t="array" ref="C12">INDEX('List Values'!$B$2:$B$17,(1+ROUNDDOWN((ROW()-ROW($C$5))*1/6,2)))</f>
        <v>Import and Repackaging</v>
      </c>
      <c r="D12" s="513" t="s">
        <v>197</v>
      </c>
      <c r="E12" s="514" t="s">
        <v>91</v>
      </c>
      <c r="F12" s="515">
        <f>IF(E12="High-End",SUMIFS(Inhalation_Exp[24hr_High-End],Inhalation_Exp[OES],$C12,Inhalation_Exp[Worker Type],$D12),SUMIFS(Inhalation_Exp[24hr_Central Tendency],Inhalation_Exp[OES],$C12,Inhalation_Exp[Worker Type],$D12))</f>
        <v>6.25E-2</v>
      </c>
      <c r="G12" s="394">
        <f>IF(E12="High-End",SUMIFS(Inhalation_Exp[Int_High-End],Inhalation_Exp[OES],$C12,Inhalation_Exp[Worker Type],$D12),SUMIFS(Inhalation_Exp[Int_Central Tendency],Inhalation_Exp[OES],$C12,Inhalation_Exp[Worker Type],$D12))</f>
        <v>4.583333333333333E-2</v>
      </c>
      <c r="H12" s="394">
        <f>IF(E12="High-End",SUMIFS(Inhalation_Exp[ADD_High-End],Inhalation_Exp[OES],$C12,Inhalation_Exp[Worker Type],$D12),SUMIFS(Inhalation_Exp[ADD_Central Tendency],Inhalation_Exp[OES],$C12,Inhalation_Exp[Worker Type],$D12))</f>
        <v>4.2808219178082189E-2</v>
      </c>
      <c r="I12" s="394">
        <f>IF(E12="High-End",SUMIFS(Inhalation_Exp[LADD_High-End],Inhalation_Exp[OES],$C12,Inhalation_Exp[Worker Type],$D12),SUMIFS(Inhalation_Exp[LADD_Central Tendency],Inhalation_Exp[OES],$C12,Inhalation_Exp[Worker Type],$D12))</f>
        <v>1.7013523006673692E-2</v>
      </c>
      <c r="J12" s="394">
        <f>IF($E12="High-End",SUMIFS(Dermal_Exp[High-End AD (mg/kg-day)],Dermal_Exp[Worker Type],$D12,Dermal_Exp[OES],$C12),SUMIFS(Dermal_Exp[Central Tendency AD (mg/kg-day)],Dermal_Exp[Worker Type],$D12,Dermal_Exp[OES],$C12))</f>
        <v>1.2550208333333333</v>
      </c>
      <c r="K12" s="332">
        <f>IF($E12="High-End",SUMIFS(Dermal_Exp[High-End IADD (mg/kg-day)],Dermal_Exp[Worker Type],$D12,Dermal_Exp[OES],$C12),SUMIFS(Dermal_Exp[Central Tendency IADD (mg/kg-day)],Dermal_Exp[Worker Type],$D12,Dermal_Exp[OES],$C12))</f>
        <v>0.92034861111111099</v>
      </c>
      <c r="L12" s="332">
        <f>IF($E12="High-End",SUMIFS(Dermal_Exp[High-End ADD (mg/kg-day)],Dermal_Exp[Worker Type],$D12,Dermal_Exp[OES],$C12),SUMIFS(Dermal_Exp[Central Tendency ADD (mg/kg-day)],Dermal_Exp[Worker Type],$D12,Dermal_Exp[OES],$C12))</f>
        <v>0.859603310502283</v>
      </c>
      <c r="M12" s="332">
        <f>IF($E12="High-End",SUMIFS(Dermal_Exp[High-End LADD (mg/kg-day)],Dermal_Exp[Worker Type],$D12,Dermal_Exp[OES],$C12),SUMIFS(Dermal_Exp[Central Tendency LADD (mg/kg-day)],Dermal_Exp[Worker Type],$D12,Dermal_Exp[OES],$C12))</f>
        <v>0.34163721314834322</v>
      </c>
      <c r="N12" s="332">
        <f t="shared" ref="N12:N75" si="5">F12+J12</f>
        <v>1.3175208333333333</v>
      </c>
      <c r="O12" s="332">
        <f t="shared" si="2"/>
        <v>0.96618194444444427</v>
      </c>
      <c r="P12" s="332">
        <f t="shared" si="3"/>
        <v>0.9024115296803652</v>
      </c>
      <c r="Q12" s="516">
        <f t="shared" si="4"/>
        <v>0.35865073615501691</v>
      </c>
      <c r="AE12" s="26"/>
      <c r="AF12" s="26"/>
      <c r="AG12" s="26"/>
      <c r="AH12" s="26"/>
      <c r="AI12" s="26"/>
      <c r="AJ12" s="26"/>
      <c r="AK12" s="26"/>
    </row>
    <row r="13" spans="3:37" ht="12.75" customHeight="1" x14ac:dyDescent="0.25">
      <c r="C13" s="512" t="str" cm="1">
        <f t="array" ref="C13">INDEX('List Values'!$B$2:$B$17,(1+ROUNDDOWN((ROW()-ROW($C$5))*1/6,2)))</f>
        <v>Import and Repackaging</v>
      </c>
      <c r="D13" s="513" t="s">
        <v>72</v>
      </c>
      <c r="E13" s="514" t="s">
        <v>90</v>
      </c>
      <c r="F13" s="515">
        <f>IF(E13="High-End",SUMIFS(Inhalation_Exp[24hr_High-End],Inhalation_Exp[OES],$C13,Inhalation_Exp[Worker Type],$D13),SUMIFS(Inhalation_Exp[24hr_Central Tendency],Inhalation_Exp[OES],$C13,Inhalation_Exp[Worker Type],$D13))</f>
        <v>0.13807386952019329</v>
      </c>
      <c r="G13" s="394">
        <f>IF(E13="High-End",SUMIFS(Inhalation_Exp[Int_High-End],Inhalation_Exp[OES],$C13,Inhalation_Exp[Worker Type],$D13),SUMIFS(Inhalation_Exp[Int_Central Tendency],Inhalation_Exp[OES],$C13,Inhalation_Exp[Worker Type],$D13))</f>
        <v>0.10125417098147509</v>
      </c>
      <c r="H13" s="394">
        <f>IF(E13="High-End",SUMIFS(Inhalation_Exp[ADD_High-End],Inhalation_Exp[OES],$C13,Inhalation_Exp[Worker Type],$D13),SUMIFS(Inhalation_Exp[ADD_Central Tendency],Inhalation_Exp[OES],$C13,Inhalation_Exp[Worker Type],$D13))</f>
        <v>9.4571143506981703E-2</v>
      </c>
      <c r="I13" s="394">
        <f>IF(E13="High-End",SUMIFS(Inhalation_Exp[LADD_High-End],Inhalation_Exp[OES],$C13,Inhalation_Exp[Worker Type],$D13),SUMIFS(Inhalation_Exp[LADD_Central Tendency],Inhalation_Exp[OES],$C13,Inhalation_Exp[Worker Type],$D13))</f>
        <v>4.8498022311272669E-2</v>
      </c>
      <c r="J13" s="394">
        <f>IF($E13="High-End",SUMIFS(Dermal_Exp[High-End AD (mg/kg-day)],Dermal_Exp[Worker Type],$D13,Dermal_Exp[OES],$C13),SUMIFS(Dermal_Exp[Central Tendency AD (mg/kg-day)],Dermal_Exp[Worker Type],$D13,Dermal_Exp[OES],$C13))</f>
        <v>2.3069521178637196</v>
      </c>
      <c r="K13" s="332">
        <f>IF($E13="High-End",SUMIFS(Dermal_Exp[High-End IADD (mg/kg-day)],Dermal_Exp[Worker Type],$D13,Dermal_Exp[OES],$C13),SUMIFS(Dermal_Exp[Central Tendency IADD (mg/kg-day)],Dermal_Exp[Worker Type],$D13,Dermal_Exp[OES],$C13))</f>
        <v>1.6917648864333943</v>
      </c>
      <c r="L13" s="332">
        <f>IF($E13="High-End",SUMIFS(Dermal_Exp[High-End ADD (mg/kg-day)],Dermal_Exp[Worker Type],$D13,Dermal_Exp[OES],$C13),SUMIFS(Dermal_Exp[Central Tendency ADD (mg/kg-day)],Dermal_Exp[Worker Type],$D13,Dermal_Exp[OES],$C13))</f>
        <v>1.5801041903176161</v>
      </c>
      <c r="M13" s="332">
        <f>IF($E13="High-End",SUMIFS(Dermal_Exp[High-End LADD (mg/kg-day)],Dermal_Exp[Worker Type],$D13,Dermal_Exp[OES],$C13),SUMIFS(Dermal_Exp[Central Tendency LADD (mg/kg-day)],Dermal_Exp[Worker Type],$D13,Dermal_Exp[OES],$C13))</f>
        <v>0.81030984118852112</v>
      </c>
      <c r="N13" s="332">
        <f t="shared" si="5"/>
        <v>2.4450259873839126</v>
      </c>
      <c r="O13" s="332">
        <f t="shared" si="2"/>
        <v>1.7930190574148694</v>
      </c>
      <c r="P13" s="332">
        <f t="shared" si="3"/>
        <v>1.6746753338245979</v>
      </c>
      <c r="Q13" s="516">
        <f t="shared" si="4"/>
        <v>0.85880786349979377</v>
      </c>
      <c r="AE13" s="26"/>
      <c r="AF13" s="26"/>
      <c r="AG13" s="26"/>
      <c r="AH13" s="26"/>
      <c r="AI13" s="26"/>
      <c r="AJ13" s="26"/>
      <c r="AK13" s="26"/>
    </row>
    <row r="14" spans="3:37" ht="12.75" customHeight="1" x14ac:dyDescent="0.25">
      <c r="C14" s="512" t="str" cm="1">
        <f t="array" ref="C14">INDEX('List Values'!$B$2:$B$17,(1+ROUNDDOWN((ROW()-ROW($C$5))*1/6,2)))</f>
        <v>Import and Repackaging</v>
      </c>
      <c r="D14" s="513" t="s">
        <v>72</v>
      </c>
      <c r="E14" s="514" t="s">
        <v>91</v>
      </c>
      <c r="F14" s="515">
        <f>IF(E14="High-End",SUMIFS(Inhalation_Exp[24hr_High-End],Inhalation_Exp[OES],$C14,Inhalation_Exp[Worker Type],$D14),SUMIFS(Inhalation_Exp[24hr_Central Tendency],Inhalation_Exp[OES],$C14,Inhalation_Exp[Worker Type],$D14))</f>
        <v>6.9036934760096647E-2</v>
      </c>
      <c r="G14" s="394">
        <f>IF(E14="High-End",SUMIFS(Inhalation_Exp[Int_High-End],Inhalation_Exp[OES],$C14,Inhalation_Exp[Worker Type],$D14),SUMIFS(Inhalation_Exp[Int_Central Tendency],Inhalation_Exp[OES],$C14,Inhalation_Exp[Worker Type],$D14))</f>
        <v>5.0627085490737543E-2</v>
      </c>
      <c r="H14" s="394">
        <f>IF(E14="High-End",SUMIFS(Inhalation_Exp[ADD_High-End],Inhalation_Exp[OES],$C14,Inhalation_Exp[Worker Type],$D14),SUMIFS(Inhalation_Exp[ADD_Central Tendency],Inhalation_Exp[OES],$C14,Inhalation_Exp[Worker Type],$D14))</f>
        <v>4.7285571753490852E-2</v>
      </c>
      <c r="I14" s="394">
        <f>IF(E14="High-End",SUMIFS(Inhalation_Exp[LADD_High-End],Inhalation_Exp[OES],$C14,Inhalation_Exp[Worker Type],$D14),SUMIFS(Inhalation_Exp[LADD_Central Tendency],Inhalation_Exp[OES],$C14,Inhalation_Exp[Worker Type],$D14))</f>
        <v>1.8792983645618159E-2</v>
      </c>
      <c r="J14" s="394">
        <f>IF($E14="High-End",SUMIFS(Dermal_Exp[High-End AD (mg/kg-day)],Dermal_Exp[Worker Type],$D14,Dermal_Exp[OES],$C14),SUMIFS(Dermal_Exp[Central Tendency AD (mg/kg-day)],Dermal_Exp[Worker Type],$D14,Dermal_Exp[OES],$C14))</f>
        <v>1.1534760589318598</v>
      </c>
      <c r="K14" s="332">
        <f>IF($E14="High-End",SUMIFS(Dermal_Exp[High-End IADD (mg/kg-day)],Dermal_Exp[Worker Type],$D14,Dermal_Exp[OES],$C14),SUMIFS(Dermal_Exp[Central Tendency IADD (mg/kg-day)],Dermal_Exp[Worker Type],$D14,Dermal_Exp[OES],$C14))</f>
        <v>0.84588244321669714</v>
      </c>
      <c r="L14" s="332">
        <f>IF($E14="High-End",SUMIFS(Dermal_Exp[High-End ADD (mg/kg-day)],Dermal_Exp[Worker Type],$D14,Dermal_Exp[OES],$C14),SUMIFS(Dermal_Exp[Central Tendency ADD (mg/kg-day)],Dermal_Exp[Worker Type],$D14,Dermal_Exp[OES],$C14))</f>
        <v>0.79005209515880803</v>
      </c>
      <c r="M14" s="332">
        <f>IF($E14="High-End",SUMIFS(Dermal_Exp[High-End LADD (mg/kg-day)],Dermal_Exp[Worker Type],$D14,Dermal_Exp[OES],$C14),SUMIFS(Dermal_Exp[Central Tendency LADD (mg/kg-day)],Dermal_Exp[Worker Type],$D14,Dermal_Exp[OES],$C14))</f>
        <v>0.31399506346055195</v>
      </c>
      <c r="N14" s="332">
        <f t="shared" si="5"/>
        <v>1.2225129936919563</v>
      </c>
      <c r="O14" s="332">
        <f t="shared" si="2"/>
        <v>0.89650952870743472</v>
      </c>
      <c r="P14" s="332">
        <f t="shared" si="3"/>
        <v>0.83733766691229894</v>
      </c>
      <c r="Q14" s="516">
        <f t="shared" si="4"/>
        <v>0.3327880471061701</v>
      </c>
      <c r="AE14" s="26"/>
      <c r="AF14" s="26"/>
      <c r="AG14" s="26"/>
      <c r="AH14" s="26"/>
      <c r="AI14" s="26"/>
      <c r="AJ14" s="26"/>
      <c r="AK14" s="26"/>
    </row>
    <row r="15" spans="3:37" ht="12.75" customHeight="1" x14ac:dyDescent="0.25">
      <c r="C15" s="512" t="str" cm="1">
        <f t="array" ref="C15">INDEX('List Values'!$B$2:$B$17,(1+ROUNDDOWN((ROW()-ROW($C$5))*1/6,2)))</f>
        <v>Import and Repackaging</v>
      </c>
      <c r="D15" s="513" t="s">
        <v>92</v>
      </c>
      <c r="E15" s="514" t="s">
        <v>90</v>
      </c>
      <c r="F15" s="515">
        <f>IF(E15="High-End",SUMIFS(Inhalation_Exp[24hr_High-End],Inhalation_Exp[OES],$C15,Inhalation_Exp[Worker Type],$D15),SUMIFS(Inhalation_Exp[24hr_Central Tendency],Inhalation_Exp[OES],$C15,Inhalation_Exp[Worker Type],$D15))</f>
        <v>6.25E-2</v>
      </c>
      <c r="G15" s="394">
        <f>IF(E15="High-End",SUMIFS(Inhalation_Exp[Int_High-End],Inhalation_Exp[OES],$C15,Inhalation_Exp[Worker Type],$D15),SUMIFS(Inhalation_Exp[Int_Central Tendency],Inhalation_Exp[OES],$C15,Inhalation_Exp[Worker Type],$D15))</f>
        <v>4.583333333333333E-2</v>
      </c>
      <c r="H15" s="394">
        <f>IF(E15="High-End",SUMIFS(Inhalation_Exp[ADD_High-End],Inhalation_Exp[OES],$C15,Inhalation_Exp[Worker Type],$D15),SUMIFS(Inhalation_Exp[ADD_Central Tendency],Inhalation_Exp[OES],$C15,Inhalation_Exp[Worker Type],$D15))</f>
        <v>4.2808219178082189E-2</v>
      </c>
      <c r="I15" s="394">
        <f>IF(E15="High-End",SUMIFS(Inhalation_Exp[LADD_High-End],Inhalation_Exp[OES],$C15,Inhalation_Exp[Worker Type],$D15),SUMIFS(Inhalation_Exp[LADD_Central Tendency],Inhalation_Exp[OES],$C15,Inhalation_Exp[Worker Type],$D15))</f>
        <v>2.195293291183702E-2</v>
      </c>
      <c r="J15" s="394">
        <f>IF($E15="High-End",SUMIFS(Dermal_Exp[High-End AD (mg/kg-day)],Dermal_Exp[Worker Type],$D15,Dermal_Exp[OES],$C15),SUMIFS(Dermal_Exp[Central Tendency AD (mg/kg-day)],Dermal_Exp[Worker Type],$D15,Dermal_Exp[OES],$C15))</f>
        <v>0</v>
      </c>
      <c r="K15" s="332">
        <f>IF($E15="High-End",SUMIFS(Dermal_Exp[High-End IADD (mg/kg-day)],Dermal_Exp[Worker Type],$D15,Dermal_Exp[OES],$C15),SUMIFS(Dermal_Exp[Central Tendency IADD (mg/kg-day)],Dermal_Exp[Worker Type],$D15,Dermal_Exp[OES],$C15))</f>
        <v>0</v>
      </c>
      <c r="L15" s="332">
        <f>IF($E15="High-End",SUMIFS(Dermal_Exp[High-End ADD (mg/kg-day)],Dermal_Exp[Worker Type],$D15,Dermal_Exp[OES],$C15),SUMIFS(Dermal_Exp[Central Tendency ADD (mg/kg-day)],Dermal_Exp[Worker Type],$D15,Dermal_Exp[OES],$C15))</f>
        <v>0</v>
      </c>
      <c r="M15" s="332">
        <f>IF($E15="High-End",SUMIFS(Dermal_Exp[High-End LADD (mg/kg-day)],Dermal_Exp[Worker Type],$D15,Dermal_Exp[OES],$C15),SUMIFS(Dermal_Exp[Central Tendency LADD (mg/kg-day)],Dermal_Exp[Worker Type],$D15,Dermal_Exp[OES],$C15))</f>
        <v>0</v>
      </c>
      <c r="N15" s="332">
        <f t="shared" si="5"/>
        <v>6.25E-2</v>
      </c>
      <c r="O15" s="332">
        <f t="shared" si="2"/>
        <v>4.583333333333333E-2</v>
      </c>
      <c r="P15" s="332">
        <f t="shared" si="3"/>
        <v>4.2808219178082189E-2</v>
      </c>
      <c r="Q15" s="516">
        <f t="shared" si="4"/>
        <v>2.195293291183702E-2</v>
      </c>
      <c r="AE15" s="26"/>
      <c r="AF15" s="26"/>
      <c r="AG15" s="26"/>
      <c r="AH15" s="26"/>
      <c r="AI15" s="26"/>
      <c r="AJ15" s="26"/>
      <c r="AK15" s="26"/>
    </row>
    <row r="16" spans="3:37" ht="12.75" customHeight="1" x14ac:dyDescent="0.25">
      <c r="C16" s="512" t="str" cm="1">
        <f t="array" ref="C16">INDEX('List Values'!$B$2:$B$17,(1+ROUNDDOWN((ROW()-ROW($C$5))*1/6,2)))</f>
        <v>Import and Repackaging</v>
      </c>
      <c r="D16" s="513" t="s">
        <v>92</v>
      </c>
      <c r="E16" s="514" t="s">
        <v>91</v>
      </c>
      <c r="F16" s="515">
        <f>IF(E16="High-End",SUMIFS(Inhalation_Exp[24hr_High-End],Inhalation_Exp[OES],$C16,Inhalation_Exp[Worker Type],$D16),SUMIFS(Inhalation_Exp[24hr_Central Tendency],Inhalation_Exp[OES],$C16,Inhalation_Exp[Worker Type],$D16))</f>
        <v>6.25E-2</v>
      </c>
      <c r="G16" s="394">
        <f>IF(E16="High-End",SUMIFS(Inhalation_Exp[Int_High-End],Inhalation_Exp[OES],$C16,Inhalation_Exp[Worker Type],$D16),SUMIFS(Inhalation_Exp[Int_Central Tendency],Inhalation_Exp[OES],$C16,Inhalation_Exp[Worker Type],$D16))</f>
        <v>4.583333333333333E-2</v>
      </c>
      <c r="H16" s="394">
        <f>IF(E16="High-End",SUMIFS(Inhalation_Exp[ADD_High-End],Inhalation_Exp[OES],$C16,Inhalation_Exp[Worker Type],$D16),SUMIFS(Inhalation_Exp[ADD_Central Tendency],Inhalation_Exp[OES],$C16,Inhalation_Exp[Worker Type],$D16))</f>
        <v>4.2808219178082189E-2</v>
      </c>
      <c r="I16" s="394">
        <f>IF(E16="High-End",SUMIFS(Inhalation_Exp[LADD_High-End],Inhalation_Exp[OES],$C16,Inhalation_Exp[Worker Type],$D16),SUMIFS(Inhalation_Exp[LADD_Central Tendency],Inhalation_Exp[OES],$C16,Inhalation_Exp[Worker Type],$D16))</f>
        <v>1.7013523006673692E-2</v>
      </c>
      <c r="J16" s="394">
        <f>IF($E16="High-End",SUMIFS(Dermal_Exp[High-End AD (mg/kg-day)],Dermal_Exp[Worker Type],$D16,Dermal_Exp[OES],$C16),SUMIFS(Dermal_Exp[Central Tendency AD (mg/kg-day)],Dermal_Exp[Worker Type],$D16,Dermal_Exp[OES],$C16))</f>
        <v>0</v>
      </c>
      <c r="K16" s="332">
        <f>IF($E16="High-End",SUMIFS(Dermal_Exp[High-End IADD (mg/kg-day)],Dermal_Exp[Worker Type],$D16,Dermal_Exp[OES],$C16),SUMIFS(Dermal_Exp[Central Tendency IADD (mg/kg-day)],Dermal_Exp[Worker Type],$D16,Dermal_Exp[OES],$C16))</f>
        <v>0</v>
      </c>
      <c r="L16" s="332">
        <f>IF($E16="High-End",SUMIFS(Dermal_Exp[High-End ADD (mg/kg-day)],Dermal_Exp[Worker Type],$D16,Dermal_Exp[OES],$C16),SUMIFS(Dermal_Exp[Central Tendency ADD (mg/kg-day)],Dermal_Exp[Worker Type],$D16,Dermal_Exp[OES],$C16))</f>
        <v>0</v>
      </c>
      <c r="M16" s="332">
        <f>IF($E16="High-End",SUMIFS(Dermal_Exp[High-End LADD (mg/kg-day)],Dermal_Exp[Worker Type],$D16,Dermal_Exp[OES],$C16),SUMIFS(Dermal_Exp[Central Tendency LADD (mg/kg-day)],Dermal_Exp[Worker Type],$D16,Dermal_Exp[OES],$C16))</f>
        <v>0</v>
      </c>
      <c r="N16" s="332">
        <f t="shared" si="5"/>
        <v>6.25E-2</v>
      </c>
      <c r="O16" s="332">
        <f t="shared" si="2"/>
        <v>4.583333333333333E-2</v>
      </c>
      <c r="P16" s="332">
        <f t="shared" si="3"/>
        <v>4.2808219178082189E-2</v>
      </c>
      <c r="Q16" s="516">
        <f t="shared" si="4"/>
        <v>1.7013523006673692E-2</v>
      </c>
      <c r="AE16" s="26"/>
      <c r="AF16" s="26"/>
      <c r="AG16" s="26"/>
      <c r="AH16" s="26"/>
      <c r="AI16" s="26"/>
      <c r="AJ16" s="26"/>
      <c r="AK16" s="26"/>
    </row>
    <row r="17" spans="3:37" ht="12.75" customHeight="1" x14ac:dyDescent="0.25">
      <c r="C17" s="512" t="str" cm="1">
        <f t="array" ref="C17">INDEX('List Values'!$B$2:$B$17,(1+ROUNDDOWN((ROW()-ROW($C$5))*1/6,2)))</f>
        <v>Incorporation into Formulations, Mixtures, or Reaction Products</v>
      </c>
      <c r="D17" s="513" t="s">
        <v>197</v>
      </c>
      <c r="E17" s="514" t="s">
        <v>90</v>
      </c>
      <c r="F17" s="515">
        <f>IF(E17="High-End",SUMIFS(Inhalation_Exp[24hr_High-End],Inhalation_Exp[OES],$C17,Inhalation_Exp[Worker Type],$D17),SUMIFS(Inhalation_Exp[24hr_Central Tendency],Inhalation_Exp[OES],$C17,Inhalation_Exp[Worker Type],$D17))</f>
        <v>0.125</v>
      </c>
      <c r="G17" s="394">
        <f>IF(E17="High-End",SUMIFS(Inhalation_Exp[Int_High-End],Inhalation_Exp[OES],$C17,Inhalation_Exp[Worker Type],$D17),SUMIFS(Inhalation_Exp[Int_Central Tendency],Inhalation_Exp[OES],$C17,Inhalation_Exp[Worker Type],$D17))</f>
        <v>9.166666666666666E-2</v>
      </c>
      <c r="H17" s="394">
        <f>IF(E17="High-End",SUMIFS(Inhalation_Exp[ADD_High-End],Inhalation_Exp[OES],$C17,Inhalation_Exp[Worker Type],$D17),SUMIFS(Inhalation_Exp[ADD_Central Tendency],Inhalation_Exp[OES],$C17,Inhalation_Exp[Worker Type],$D17))</f>
        <v>8.5616438356164379E-2</v>
      </c>
      <c r="I17" s="394">
        <f>IF(E17="High-End",SUMIFS(Inhalation_Exp[LADD_High-End],Inhalation_Exp[OES],$C17,Inhalation_Exp[Worker Type],$D17),SUMIFS(Inhalation_Exp[LADD_Central Tendency],Inhalation_Exp[OES],$C17,Inhalation_Exp[Worker Type],$D17))</f>
        <v>4.3905865823674041E-2</v>
      </c>
      <c r="J17" s="394">
        <f>IF($E17="High-End",SUMIFS(Dermal_Exp[High-End AD (mg/kg-day)],Dermal_Exp[Worker Type],$D17,Dermal_Exp[OES],$C17),SUMIFS(Dermal_Exp[Central Tendency AD (mg/kg-day)],Dermal_Exp[Worker Type],$D17,Dermal_Exp[OES],$C17))</f>
        <v>2.5100416666666665</v>
      </c>
      <c r="K17" s="332">
        <f>IF($E17="High-End",SUMIFS(Dermal_Exp[High-End IADD (mg/kg-day)],Dermal_Exp[Worker Type],$D17,Dermal_Exp[OES],$C17),SUMIFS(Dermal_Exp[Central Tendency IADD (mg/kg-day)],Dermal_Exp[Worker Type],$D17,Dermal_Exp[OES],$C17))</f>
        <v>1.840697222222222</v>
      </c>
      <c r="L17" s="332">
        <f>IF($E17="High-End",SUMIFS(Dermal_Exp[High-End ADD (mg/kg-day)],Dermal_Exp[Worker Type],$D17,Dermal_Exp[OES],$C17),SUMIFS(Dermal_Exp[Central Tendency ADD (mg/kg-day)],Dermal_Exp[Worker Type],$D17,Dermal_Exp[OES],$C17))</f>
        <v>1.719206621004566</v>
      </c>
      <c r="M17" s="332">
        <f>IF($E17="High-End",SUMIFS(Dermal_Exp[High-End LADD (mg/kg-day)],Dermal_Exp[Worker Type],$D17,Dermal_Exp[OES],$C17),SUMIFS(Dermal_Exp[Central Tendency LADD (mg/kg-day)],Dermal_Exp[Worker Type],$D17,Dermal_Exp[OES],$C17))</f>
        <v>0.88164442102798257</v>
      </c>
      <c r="N17" s="332">
        <f t="shared" si="5"/>
        <v>2.6350416666666665</v>
      </c>
      <c r="O17" s="332">
        <f t="shared" si="2"/>
        <v>1.9323638888888885</v>
      </c>
      <c r="P17" s="332">
        <f t="shared" si="3"/>
        <v>1.8048230593607304</v>
      </c>
      <c r="Q17" s="516">
        <f t="shared" si="4"/>
        <v>0.92555028685165663</v>
      </c>
      <c r="AE17" s="26"/>
      <c r="AF17" s="26"/>
      <c r="AG17" s="26"/>
      <c r="AH17" s="26"/>
      <c r="AI17" s="26"/>
      <c r="AJ17" s="26"/>
      <c r="AK17" s="26"/>
    </row>
    <row r="18" spans="3:37" ht="12.75" customHeight="1" x14ac:dyDescent="0.25">
      <c r="C18" s="512" t="str" cm="1">
        <f t="array" ref="C18">INDEX('List Values'!$B$2:$B$17,(1+ROUNDDOWN((ROW()-ROW($C$5))*1/6,2)))</f>
        <v>Incorporation into Formulations, Mixtures, or Reaction Products</v>
      </c>
      <c r="D18" s="513" t="s">
        <v>197</v>
      </c>
      <c r="E18" s="514" t="s">
        <v>91</v>
      </c>
      <c r="F18" s="515">
        <f>IF(E18="High-End",SUMIFS(Inhalation_Exp[24hr_High-End],Inhalation_Exp[OES],$C18,Inhalation_Exp[Worker Type],$D18),SUMIFS(Inhalation_Exp[24hr_Central Tendency],Inhalation_Exp[OES],$C18,Inhalation_Exp[Worker Type],$D18))</f>
        <v>6.25E-2</v>
      </c>
      <c r="G18" s="394">
        <f>IF(E18="High-End",SUMIFS(Inhalation_Exp[Int_High-End],Inhalation_Exp[OES],$C18,Inhalation_Exp[Worker Type],$D18),SUMIFS(Inhalation_Exp[Int_Central Tendency],Inhalation_Exp[OES],$C18,Inhalation_Exp[Worker Type],$D18))</f>
        <v>4.583333333333333E-2</v>
      </c>
      <c r="H18" s="394">
        <f>IF(E18="High-End",SUMIFS(Inhalation_Exp[ADD_High-End],Inhalation_Exp[OES],$C18,Inhalation_Exp[Worker Type],$D18),SUMIFS(Inhalation_Exp[ADD_Central Tendency],Inhalation_Exp[OES],$C18,Inhalation_Exp[Worker Type],$D18))</f>
        <v>4.2808219178082189E-2</v>
      </c>
      <c r="I18" s="394">
        <f>IF(E18="High-End",SUMIFS(Inhalation_Exp[LADD_High-End],Inhalation_Exp[OES],$C18,Inhalation_Exp[Worker Type],$D18),SUMIFS(Inhalation_Exp[LADD_Central Tendency],Inhalation_Exp[OES],$C18,Inhalation_Exp[Worker Type],$D18))</f>
        <v>1.7013523006673692E-2</v>
      </c>
      <c r="J18" s="394">
        <f>IF($E18="High-End",SUMIFS(Dermal_Exp[High-End AD (mg/kg-day)],Dermal_Exp[Worker Type],$D18,Dermal_Exp[OES],$C18),SUMIFS(Dermal_Exp[Central Tendency AD (mg/kg-day)],Dermal_Exp[Worker Type],$D18,Dermal_Exp[OES],$C18))</f>
        <v>1.2550208333333333</v>
      </c>
      <c r="K18" s="332">
        <f>IF($E18="High-End",SUMIFS(Dermal_Exp[High-End IADD (mg/kg-day)],Dermal_Exp[Worker Type],$D18,Dermal_Exp[OES],$C18),SUMIFS(Dermal_Exp[Central Tendency IADD (mg/kg-day)],Dermal_Exp[Worker Type],$D18,Dermal_Exp[OES],$C18))</f>
        <v>0.92034861111111099</v>
      </c>
      <c r="L18" s="332">
        <f>IF($E18="High-End",SUMIFS(Dermal_Exp[High-End ADD (mg/kg-day)],Dermal_Exp[Worker Type],$D18,Dermal_Exp[OES],$C18),SUMIFS(Dermal_Exp[Central Tendency ADD (mg/kg-day)],Dermal_Exp[Worker Type],$D18,Dermal_Exp[OES],$C18))</f>
        <v>0.859603310502283</v>
      </c>
      <c r="M18" s="332">
        <f>IF($E18="High-End",SUMIFS(Dermal_Exp[High-End LADD (mg/kg-day)],Dermal_Exp[Worker Type],$D18,Dermal_Exp[OES],$C18),SUMIFS(Dermal_Exp[Central Tendency LADD (mg/kg-day)],Dermal_Exp[Worker Type],$D18,Dermal_Exp[OES],$C18))</f>
        <v>0.34163721314834322</v>
      </c>
      <c r="N18" s="332">
        <f t="shared" si="5"/>
        <v>1.3175208333333333</v>
      </c>
      <c r="O18" s="332">
        <f t="shared" si="2"/>
        <v>0.96618194444444427</v>
      </c>
      <c r="P18" s="332">
        <f t="shared" si="3"/>
        <v>0.9024115296803652</v>
      </c>
      <c r="Q18" s="516">
        <f t="shared" si="4"/>
        <v>0.35865073615501691</v>
      </c>
      <c r="AE18" s="26"/>
      <c r="AF18" s="26"/>
      <c r="AG18" s="26"/>
      <c r="AH18" s="26"/>
      <c r="AI18" s="26"/>
      <c r="AJ18" s="26"/>
      <c r="AK18" s="26"/>
    </row>
    <row r="19" spans="3:37" ht="12.75" customHeight="1" x14ac:dyDescent="0.25">
      <c r="C19" s="512" t="str" cm="1">
        <f t="array" ref="C19">INDEX('List Values'!$B$2:$B$17,(1+ROUNDDOWN((ROW()-ROW($C$5))*1/6,2)))</f>
        <v>Incorporation into Formulations, Mixtures, or Reaction Products</v>
      </c>
      <c r="D19" s="513" t="s">
        <v>72</v>
      </c>
      <c r="E19" s="514" t="s">
        <v>90</v>
      </c>
      <c r="F19" s="515">
        <f>IF(E19="High-End",SUMIFS(Inhalation_Exp[24hr_High-End],Inhalation_Exp[OES],$C19,Inhalation_Exp[Worker Type],$D19),SUMIFS(Inhalation_Exp[24hr_Central Tendency],Inhalation_Exp[OES],$C19,Inhalation_Exp[Worker Type],$D19))</f>
        <v>0.13807386952019329</v>
      </c>
      <c r="G19" s="394">
        <f>IF(E19="High-End",SUMIFS(Inhalation_Exp[Int_High-End],Inhalation_Exp[OES],$C19,Inhalation_Exp[Worker Type],$D19),SUMIFS(Inhalation_Exp[Int_Central Tendency],Inhalation_Exp[OES],$C19,Inhalation_Exp[Worker Type],$D19))</f>
        <v>0.10125417098147509</v>
      </c>
      <c r="H19" s="394">
        <f>IF(E19="High-End",SUMIFS(Inhalation_Exp[ADD_High-End],Inhalation_Exp[OES],$C19,Inhalation_Exp[Worker Type],$D19),SUMIFS(Inhalation_Exp[ADD_Central Tendency],Inhalation_Exp[OES],$C19,Inhalation_Exp[Worker Type],$D19))</f>
        <v>9.4571143506981703E-2</v>
      </c>
      <c r="I19" s="394">
        <f>IF(E19="High-End",SUMIFS(Inhalation_Exp[LADD_High-End],Inhalation_Exp[OES],$C19,Inhalation_Exp[Worker Type],$D19),SUMIFS(Inhalation_Exp[LADD_Central Tendency],Inhalation_Exp[OES],$C19,Inhalation_Exp[Worker Type],$D19))</f>
        <v>4.8498022311272669E-2</v>
      </c>
      <c r="J19" s="394">
        <f>IF($E19="High-End",SUMIFS(Dermal_Exp[High-End AD (mg/kg-day)],Dermal_Exp[Worker Type],$D19,Dermal_Exp[OES],$C19),SUMIFS(Dermal_Exp[Central Tendency AD (mg/kg-day)],Dermal_Exp[Worker Type],$D19,Dermal_Exp[OES],$C19))</f>
        <v>2.3069521178637196</v>
      </c>
      <c r="K19" s="332">
        <f>IF($E19="High-End",SUMIFS(Dermal_Exp[High-End IADD (mg/kg-day)],Dermal_Exp[Worker Type],$D19,Dermal_Exp[OES],$C19),SUMIFS(Dermal_Exp[Central Tendency IADD (mg/kg-day)],Dermal_Exp[Worker Type],$D19,Dermal_Exp[OES],$C19))</f>
        <v>1.6917648864333943</v>
      </c>
      <c r="L19" s="332">
        <f>IF($E19="High-End",SUMIFS(Dermal_Exp[High-End ADD (mg/kg-day)],Dermal_Exp[Worker Type],$D19,Dermal_Exp[OES],$C19),SUMIFS(Dermal_Exp[Central Tendency ADD (mg/kg-day)],Dermal_Exp[Worker Type],$D19,Dermal_Exp[OES],$C19))</f>
        <v>1.5801041903176161</v>
      </c>
      <c r="M19" s="332">
        <f>IF($E19="High-End",SUMIFS(Dermal_Exp[High-End LADD (mg/kg-day)],Dermal_Exp[Worker Type],$D19,Dermal_Exp[OES],$C19),SUMIFS(Dermal_Exp[Central Tendency LADD (mg/kg-day)],Dermal_Exp[Worker Type],$D19,Dermal_Exp[OES],$C19))</f>
        <v>0.81030984118852112</v>
      </c>
      <c r="N19" s="332">
        <f t="shared" si="5"/>
        <v>2.4450259873839126</v>
      </c>
      <c r="O19" s="332">
        <f t="shared" si="2"/>
        <v>1.7930190574148694</v>
      </c>
      <c r="P19" s="332">
        <f t="shared" si="3"/>
        <v>1.6746753338245979</v>
      </c>
      <c r="Q19" s="516">
        <f t="shared" si="4"/>
        <v>0.85880786349979377</v>
      </c>
      <c r="AE19" s="26"/>
      <c r="AF19" s="26"/>
      <c r="AG19" s="26"/>
      <c r="AH19" s="26"/>
      <c r="AI19" s="26"/>
      <c r="AJ19" s="26"/>
      <c r="AK19" s="26"/>
    </row>
    <row r="20" spans="3:37" ht="12.75" customHeight="1" x14ac:dyDescent="0.25">
      <c r="C20" s="512" t="str" cm="1">
        <f t="array" ref="C20">INDEX('List Values'!$B$2:$B$17,(1+ROUNDDOWN((ROW()-ROW($C$5))*1/6,2)))</f>
        <v>Incorporation into Formulations, Mixtures, or Reaction Products</v>
      </c>
      <c r="D20" s="513" t="s">
        <v>72</v>
      </c>
      <c r="E20" s="514" t="s">
        <v>91</v>
      </c>
      <c r="F20" s="515">
        <f>IF(E20="High-End",SUMIFS(Inhalation_Exp[24hr_High-End],Inhalation_Exp[OES],$C20,Inhalation_Exp[Worker Type],$D20),SUMIFS(Inhalation_Exp[24hr_Central Tendency],Inhalation_Exp[OES],$C20,Inhalation_Exp[Worker Type],$D20))</f>
        <v>6.9036934760096647E-2</v>
      </c>
      <c r="G20" s="394">
        <f>IF(E20="High-End",SUMIFS(Inhalation_Exp[Int_High-End],Inhalation_Exp[OES],$C20,Inhalation_Exp[Worker Type],$D20),SUMIFS(Inhalation_Exp[Int_Central Tendency],Inhalation_Exp[OES],$C20,Inhalation_Exp[Worker Type],$D20))</f>
        <v>5.0627085490737543E-2</v>
      </c>
      <c r="H20" s="394">
        <f>IF(E20="High-End",SUMIFS(Inhalation_Exp[ADD_High-End],Inhalation_Exp[OES],$C20,Inhalation_Exp[Worker Type],$D20),SUMIFS(Inhalation_Exp[ADD_Central Tendency],Inhalation_Exp[OES],$C20,Inhalation_Exp[Worker Type],$D20))</f>
        <v>4.7285571753490852E-2</v>
      </c>
      <c r="I20" s="394">
        <f>IF(E20="High-End",SUMIFS(Inhalation_Exp[LADD_High-End],Inhalation_Exp[OES],$C20,Inhalation_Exp[Worker Type],$D20),SUMIFS(Inhalation_Exp[LADD_Central Tendency],Inhalation_Exp[OES],$C20,Inhalation_Exp[Worker Type],$D20))</f>
        <v>1.8792983645618159E-2</v>
      </c>
      <c r="J20" s="394">
        <f>IF($E20="High-End",SUMIFS(Dermal_Exp[High-End AD (mg/kg-day)],Dermal_Exp[Worker Type],$D20,Dermal_Exp[OES],$C20),SUMIFS(Dermal_Exp[Central Tendency AD (mg/kg-day)],Dermal_Exp[Worker Type],$D20,Dermal_Exp[OES],$C20))</f>
        <v>1.1534760589318598</v>
      </c>
      <c r="K20" s="332">
        <f>IF($E20="High-End",SUMIFS(Dermal_Exp[High-End IADD (mg/kg-day)],Dermal_Exp[Worker Type],$D20,Dermal_Exp[OES],$C20),SUMIFS(Dermal_Exp[Central Tendency IADD (mg/kg-day)],Dermal_Exp[Worker Type],$D20,Dermal_Exp[OES],$C20))</f>
        <v>0.84588244321669714</v>
      </c>
      <c r="L20" s="332">
        <f>IF($E20="High-End",SUMIFS(Dermal_Exp[High-End ADD (mg/kg-day)],Dermal_Exp[Worker Type],$D20,Dermal_Exp[OES],$C20),SUMIFS(Dermal_Exp[Central Tendency ADD (mg/kg-day)],Dermal_Exp[Worker Type],$D20,Dermal_Exp[OES],$C20))</f>
        <v>0.79005209515880803</v>
      </c>
      <c r="M20" s="332">
        <f>IF($E20="High-End",SUMIFS(Dermal_Exp[High-End LADD (mg/kg-day)],Dermal_Exp[Worker Type],$D20,Dermal_Exp[OES],$C20),SUMIFS(Dermal_Exp[Central Tendency LADD (mg/kg-day)],Dermal_Exp[Worker Type],$D20,Dermal_Exp[OES],$C20))</f>
        <v>0.31399506346055195</v>
      </c>
      <c r="N20" s="332">
        <f t="shared" si="5"/>
        <v>1.2225129936919563</v>
      </c>
      <c r="O20" s="332">
        <f t="shared" si="2"/>
        <v>0.89650952870743472</v>
      </c>
      <c r="P20" s="332">
        <f t="shared" si="3"/>
        <v>0.83733766691229894</v>
      </c>
      <c r="Q20" s="516">
        <f t="shared" si="4"/>
        <v>0.3327880471061701</v>
      </c>
      <c r="AE20" s="26"/>
      <c r="AF20" s="26"/>
      <c r="AG20" s="26"/>
      <c r="AH20" s="26"/>
      <c r="AI20" s="26"/>
      <c r="AJ20" s="26"/>
      <c r="AK20" s="26"/>
    </row>
    <row r="21" spans="3:37" ht="12.75" customHeight="1" x14ac:dyDescent="0.25">
      <c r="C21" s="512" t="str" cm="1">
        <f t="array" ref="C21">INDEX('List Values'!$B$2:$B$17,(1+ROUNDDOWN((ROW()-ROW($C$5))*1/6,2)))</f>
        <v>Incorporation into Formulations, Mixtures, or Reaction Products</v>
      </c>
      <c r="D21" s="513" t="s">
        <v>92</v>
      </c>
      <c r="E21" s="514" t="s">
        <v>90</v>
      </c>
      <c r="F21" s="515">
        <f>IF(E21="High-End",SUMIFS(Inhalation_Exp[24hr_High-End],Inhalation_Exp[OES],$C21,Inhalation_Exp[Worker Type],$D21),SUMIFS(Inhalation_Exp[24hr_Central Tendency],Inhalation_Exp[OES],$C21,Inhalation_Exp[Worker Type],$D21))</f>
        <v>6.25E-2</v>
      </c>
      <c r="G21" s="394">
        <f>IF(E21="High-End",SUMIFS(Inhalation_Exp[Int_High-End],Inhalation_Exp[OES],$C21,Inhalation_Exp[Worker Type],$D21),SUMIFS(Inhalation_Exp[Int_Central Tendency],Inhalation_Exp[OES],$C21,Inhalation_Exp[Worker Type],$D21))</f>
        <v>4.583333333333333E-2</v>
      </c>
      <c r="H21" s="394">
        <f>IF(E21="High-End",SUMIFS(Inhalation_Exp[ADD_High-End],Inhalation_Exp[OES],$C21,Inhalation_Exp[Worker Type],$D21),SUMIFS(Inhalation_Exp[ADD_Central Tendency],Inhalation_Exp[OES],$C21,Inhalation_Exp[Worker Type],$D21))</f>
        <v>4.2808219178082189E-2</v>
      </c>
      <c r="I21" s="394">
        <f>IF(E21="High-End",SUMIFS(Inhalation_Exp[LADD_High-End],Inhalation_Exp[OES],$C21,Inhalation_Exp[Worker Type],$D21),SUMIFS(Inhalation_Exp[LADD_Central Tendency],Inhalation_Exp[OES],$C21,Inhalation_Exp[Worker Type],$D21))</f>
        <v>2.195293291183702E-2</v>
      </c>
      <c r="J21" s="394">
        <f>IF($E21="High-End",SUMIFS(Dermal_Exp[High-End AD (mg/kg-day)],Dermal_Exp[Worker Type],$D21,Dermal_Exp[OES],$C21),SUMIFS(Dermal_Exp[Central Tendency AD (mg/kg-day)],Dermal_Exp[Worker Type],$D21,Dermal_Exp[OES],$C21))</f>
        <v>0</v>
      </c>
      <c r="K21" s="332">
        <f>IF($E21="High-End",SUMIFS(Dermal_Exp[High-End IADD (mg/kg-day)],Dermal_Exp[Worker Type],$D21,Dermal_Exp[OES],$C21),SUMIFS(Dermal_Exp[Central Tendency IADD (mg/kg-day)],Dermal_Exp[Worker Type],$D21,Dermal_Exp[OES],$C21))</f>
        <v>0</v>
      </c>
      <c r="L21" s="332">
        <f>IF($E21="High-End",SUMIFS(Dermal_Exp[High-End ADD (mg/kg-day)],Dermal_Exp[Worker Type],$D21,Dermal_Exp[OES],$C21),SUMIFS(Dermal_Exp[Central Tendency ADD (mg/kg-day)],Dermal_Exp[Worker Type],$D21,Dermal_Exp[OES],$C21))</f>
        <v>0</v>
      </c>
      <c r="M21" s="332">
        <f>IF($E21="High-End",SUMIFS(Dermal_Exp[High-End LADD (mg/kg-day)],Dermal_Exp[Worker Type],$D21,Dermal_Exp[OES],$C21),SUMIFS(Dermal_Exp[Central Tendency LADD (mg/kg-day)],Dermal_Exp[Worker Type],$D21,Dermal_Exp[OES],$C21))</f>
        <v>0</v>
      </c>
      <c r="N21" s="332">
        <f t="shared" si="5"/>
        <v>6.25E-2</v>
      </c>
      <c r="O21" s="332">
        <f t="shared" si="2"/>
        <v>4.583333333333333E-2</v>
      </c>
      <c r="P21" s="332">
        <f t="shared" si="3"/>
        <v>4.2808219178082189E-2</v>
      </c>
      <c r="Q21" s="516">
        <f t="shared" si="4"/>
        <v>2.195293291183702E-2</v>
      </c>
      <c r="AE21" s="26"/>
      <c r="AF21" s="26"/>
      <c r="AG21" s="26"/>
      <c r="AH21" s="26"/>
      <c r="AI21" s="26"/>
      <c r="AJ21" s="26"/>
      <c r="AK21" s="26"/>
    </row>
    <row r="22" spans="3:37" ht="12.75" customHeight="1" x14ac:dyDescent="0.25">
      <c r="C22" s="512" t="str" cm="1">
        <f t="array" ref="C22">INDEX('List Values'!$B$2:$B$17,(1+ROUNDDOWN((ROW()-ROW($C$5))*1/6,2)))</f>
        <v>Incorporation into Formulations, Mixtures, or Reaction Products</v>
      </c>
      <c r="D22" s="513" t="s">
        <v>92</v>
      </c>
      <c r="E22" s="514" t="s">
        <v>91</v>
      </c>
      <c r="F22" s="515">
        <f>IF(E22="High-End",SUMIFS(Inhalation_Exp[24hr_High-End],Inhalation_Exp[OES],$C22,Inhalation_Exp[Worker Type],$D22),SUMIFS(Inhalation_Exp[24hr_Central Tendency],Inhalation_Exp[OES],$C22,Inhalation_Exp[Worker Type],$D22))</f>
        <v>6.25E-2</v>
      </c>
      <c r="G22" s="394">
        <f>IF(E22="High-End",SUMIFS(Inhalation_Exp[Int_High-End],Inhalation_Exp[OES],$C22,Inhalation_Exp[Worker Type],$D22),SUMIFS(Inhalation_Exp[Int_Central Tendency],Inhalation_Exp[OES],$C22,Inhalation_Exp[Worker Type],$D22))</f>
        <v>4.583333333333333E-2</v>
      </c>
      <c r="H22" s="394">
        <f>IF(E22="High-End",SUMIFS(Inhalation_Exp[ADD_High-End],Inhalation_Exp[OES],$C22,Inhalation_Exp[Worker Type],$D22),SUMIFS(Inhalation_Exp[ADD_Central Tendency],Inhalation_Exp[OES],$C22,Inhalation_Exp[Worker Type],$D22))</f>
        <v>4.2808219178082189E-2</v>
      </c>
      <c r="I22" s="394">
        <f>IF(E22="High-End",SUMIFS(Inhalation_Exp[LADD_High-End],Inhalation_Exp[OES],$C22,Inhalation_Exp[Worker Type],$D22),SUMIFS(Inhalation_Exp[LADD_Central Tendency],Inhalation_Exp[OES],$C22,Inhalation_Exp[Worker Type],$D22))</f>
        <v>1.7013523006673692E-2</v>
      </c>
      <c r="J22" s="394">
        <f>IF($E22="High-End",SUMIFS(Dermal_Exp[High-End AD (mg/kg-day)],Dermal_Exp[Worker Type],$D22,Dermal_Exp[OES],$C22),SUMIFS(Dermal_Exp[Central Tendency AD (mg/kg-day)],Dermal_Exp[Worker Type],$D22,Dermal_Exp[OES],$C22))</f>
        <v>0</v>
      </c>
      <c r="K22" s="332">
        <f>IF($E22="High-End",SUMIFS(Dermal_Exp[High-End IADD (mg/kg-day)],Dermal_Exp[Worker Type],$D22,Dermal_Exp[OES],$C22),SUMIFS(Dermal_Exp[Central Tendency IADD (mg/kg-day)],Dermal_Exp[Worker Type],$D22,Dermal_Exp[OES],$C22))</f>
        <v>0</v>
      </c>
      <c r="L22" s="332">
        <f>IF($E22="High-End",SUMIFS(Dermal_Exp[High-End ADD (mg/kg-day)],Dermal_Exp[Worker Type],$D22,Dermal_Exp[OES],$C22),SUMIFS(Dermal_Exp[Central Tendency ADD (mg/kg-day)],Dermal_Exp[Worker Type],$D22,Dermal_Exp[OES],$C22))</f>
        <v>0</v>
      </c>
      <c r="M22" s="332">
        <f>IF($E22="High-End",SUMIFS(Dermal_Exp[High-End LADD (mg/kg-day)],Dermal_Exp[Worker Type],$D22,Dermal_Exp[OES],$C22),SUMIFS(Dermal_Exp[Central Tendency LADD (mg/kg-day)],Dermal_Exp[Worker Type],$D22,Dermal_Exp[OES],$C22))</f>
        <v>0</v>
      </c>
      <c r="N22" s="332">
        <f t="shared" si="5"/>
        <v>6.25E-2</v>
      </c>
      <c r="O22" s="332">
        <f t="shared" si="2"/>
        <v>4.583333333333333E-2</v>
      </c>
      <c r="P22" s="332">
        <f t="shared" si="3"/>
        <v>4.2808219178082189E-2</v>
      </c>
      <c r="Q22" s="516">
        <f t="shared" si="4"/>
        <v>1.7013523006673692E-2</v>
      </c>
      <c r="AE22" s="26"/>
      <c r="AF22" s="26"/>
      <c r="AG22" s="26"/>
      <c r="AH22" s="26"/>
      <c r="AI22" s="26"/>
      <c r="AJ22" s="26"/>
      <c r="AK22" s="26"/>
    </row>
    <row r="23" spans="3:37" ht="12.75" customHeight="1" x14ac:dyDescent="0.25">
      <c r="C23" s="512" t="str" cm="1">
        <f t="array" ref="C23">INDEX('List Values'!$B$2:$B$17,(1+ROUNDDOWN((ROW()-ROW($C$5))*1/6,2)))</f>
        <v>PVC Plastics Compounding</v>
      </c>
      <c r="D23" s="513" t="s">
        <v>197</v>
      </c>
      <c r="E23" s="514" t="s">
        <v>90</v>
      </c>
      <c r="F23" s="515">
        <f>IF(E23="High-End",SUMIFS(Inhalation_Exp[24hr_High-End],Inhalation_Exp[OES],$C23,Inhalation_Exp[Worker Type],$D23),SUMIFS(Inhalation_Exp[24hr_Central Tendency],Inhalation_Exp[OES],$C23,Inhalation_Exp[Worker Type],$D23))</f>
        <v>0.35812500000000003</v>
      </c>
      <c r="G23" s="394">
        <f>IF(E23="High-End",SUMIFS(Inhalation_Exp[Int_High-End],Inhalation_Exp[OES],$C23,Inhalation_Exp[Worker Type],$D23),SUMIFS(Inhalation_Exp[Int_Central Tendency],Inhalation_Exp[OES],$C23,Inhalation_Exp[Worker Type],$D23))</f>
        <v>0.262625</v>
      </c>
      <c r="H23" s="394">
        <f>IF(E23="High-End",SUMIFS(Inhalation_Exp[ADD_High-End],Inhalation_Exp[OES],$C23,Inhalation_Exp[Worker Type],$D23),SUMIFS(Inhalation_Exp[ADD_Central Tendency],Inhalation_Exp[OES],$C23,Inhalation_Exp[Worker Type],$D23))</f>
        <v>0.24529109589041095</v>
      </c>
      <c r="I23" s="394">
        <f>IF(E23="High-End",SUMIFS(Inhalation_Exp[LADD_High-End],Inhalation_Exp[OES],$C23,Inhalation_Exp[Worker Type],$D23),SUMIFS(Inhalation_Exp[LADD_Central Tendency],Inhalation_Exp[OES],$C23,Inhalation_Exp[Worker Type],$D23))</f>
        <v>0.12579030558482612</v>
      </c>
      <c r="J23" s="394">
        <f>IF($E23="High-End",SUMIFS(Dermal_Exp[High-End AD (mg/kg-day)],Dermal_Exp[Worker Type],$D23,Dermal_Exp[OES],$C23),SUMIFS(Dermal_Exp[Central Tendency AD (mg/kg-day)],Dermal_Exp[Worker Type],$D23,Dermal_Exp[OES],$C23))</f>
        <v>2.5439284269167772</v>
      </c>
      <c r="K23" s="332">
        <f>IF($E23="High-End",SUMIFS(Dermal_Exp[High-End IADD (mg/kg-day)],Dermal_Exp[Worker Type],$D23,Dermal_Exp[OES],$C23),SUMIFS(Dermal_Exp[Central Tendency IADD (mg/kg-day)],Dermal_Exp[Worker Type],$D23,Dermal_Exp[OES],$C23))</f>
        <v>1.8655475130723034</v>
      </c>
      <c r="L23" s="332">
        <f>IF($E23="High-End",SUMIFS(Dermal_Exp[High-End ADD (mg/kg-day)],Dermal_Exp[Worker Type],$D23,Dermal_Exp[OES],$C23),SUMIFS(Dermal_Exp[Central Tendency ADD (mg/kg-day)],Dermal_Exp[Worker Type],$D23,Dermal_Exp[OES],$C23))</f>
        <v>1.7424167307649159</v>
      </c>
      <c r="M23" s="332">
        <f>IF($E23="High-End",SUMIFS(Dermal_Exp[High-End LADD (mg/kg-day)],Dermal_Exp[Worker Type],$D23,Dermal_Exp[OES],$C23),SUMIFS(Dermal_Exp[Central Tendency LADD (mg/kg-day)],Dermal_Exp[Worker Type],$D23,Dermal_Exp[OES],$C23))</f>
        <v>0.89354704141790564</v>
      </c>
      <c r="N23" s="332">
        <f t="shared" si="5"/>
        <v>2.902053426916777</v>
      </c>
      <c r="O23" s="332">
        <f t="shared" si="2"/>
        <v>2.1281725130723035</v>
      </c>
      <c r="P23" s="332">
        <f t="shared" si="3"/>
        <v>1.9877078266553267</v>
      </c>
      <c r="Q23" s="516">
        <f t="shared" si="4"/>
        <v>1.0193373470027318</v>
      </c>
      <c r="AE23" s="26"/>
      <c r="AF23" s="26"/>
      <c r="AG23" s="26"/>
      <c r="AH23" s="26"/>
      <c r="AI23" s="26"/>
      <c r="AJ23" s="26"/>
      <c r="AK23" s="26"/>
    </row>
    <row r="24" spans="3:37" ht="12.75" customHeight="1" x14ac:dyDescent="0.25">
      <c r="C24" s="512" t="str" cm="1">
        <f t="array" ref="C24">INDEX('List Values'!$B$2:$B$17,(1+ROUNDDOWN((ROW()-ROW($C$5))*1/6,2)))</f>
        <v>PVC Plastics Compounding</v>
      </c>
      <c r="D24" s="513" t="s">
        <v>197</v>
      </c>
      <c r="E24" s="514" t="s">
        <v>91</v>
      </c>
      <c r="F24" s="515">
        <f>IF(E24="High-End",SUMIFS(Inhalation_Exp[24hr_High-End],Inhalation_Exp[OES],$C24,Inhalation_Exp[Worker Type],$D24),SUMIFS(Inhalation_Exp[24hr_Central Tendency],Inhalation_Exp[OES],$C24,Inhalation_Exp[Worker Type],$D24))</f>
        <v>4.2937500000000003E-2</v>
      </c>
      <c r="G24" s="394">
        <f>IF(E24="High-End",SUMIFS(Inhalation_Exp[Int_High-End],Inhalation_Exp[OES],$C24,Inhalation_Exp[Worker Type],$D24),SUMIFS(Inhalation_Exp[Int_Central Tendency],Inhalation_Exp[OES],$C24,Inhalation_Exp[Worker Type],$D24))</f>
        <v>3.1487500000000002E-2</v>
      </c>
      <c r="H24" s="394">
        <f>IF(E24="High-End",SUMIFS(Inhalation_Exp[ADD_High-End],Inhalation_Exp[OES],$C24,Inhalation_Exp[Worker Type],$D24),SUMIFS(Inhalation_Exp[ADD_Central Tendency],Inhalation_Exp[OES],$C24,Inhalation_Exp[Worker Type],$D24))</f>
        <v>2.9409246575342465E-2</v>
      </c>
      <c r="I24" s="394">
        <f>IF(E24="High-End",SUMIFS(Inhalation_Exp[LADD_High-End],Inhalation_Exp[OES],$C24,Inhalation_Exp[Worker Type],$D24),SUMIFS(Inhalation_Exp[LADD_Central Tendency],Inhalation_Exp[OES],$C24,Inhalation_Exp[Worker Type],$D24))</f>
        <v>1.1688290305584825E-2</v>
      </c>
      <c r="J24" s="394">
        <f>IF($E24="High-End",SUMIFS(Dermal_Exp[High-End AD (mg/kg-day)],Dermal_Exp[Worker Type],$D24,Dermal_Exp[OES],$C24),SUMIFS(Dermal_Exp[Central Tendency AD (mg/kg-day)],Dermal_Exp[Worker Type],$D24,Dermal_Exp[OES],$C24))</f>
        <v>1.2719642134583886</v>
      </c>
      <c r="K24" s="332">
        <f>IF($E24="High-End",SUMIFS(Dermal_Exp[High-End IADD (mg/kg-day)],Dermal_Exp[Worker Type],$D24,Dermal_Exp[OES],$C24),SUMIFS(Dermal_Exp[Central Tendency IADD (mg/kg-day)],Dermal_Exp[Worker Type],$D24,Dermal_Exp[OES],$C24))</f>
        <v>0.93277375653615169</v>
      </c>
      <c r="L24" s="332">
        <f>IF($E24="High-End",SUMIFS(Dermal_Exp[High-End ADD (mg/kg-day)],Dermal_Exp[Worker Type],$D24,Dermal_Exp[OES],$C24),SUMIFS(Dermal_Exp[Central Tendency ADD (mg/kg-day)],Dermal_Exp[Worker Type],$D24,Dermal_Exp[OES],$C24))</f>
        <v>0.87120836538245794</v>
      </c>
      <c r="M24" s="332">
        <f>IF($E24="High-End",SUMIFS(Dermal_Exp[High-End LADD (mg/kg-day)],Dermal_Exp[Worker Type],$D24,Dermal_Exp[OES],$C24),SUMIFS(Dermal_Exp[Central Tendency LADD (mg/kg-day)],Dermal_Exp[Worker Type],$D24,Dermal_Exp[OES],$C24))</f>
        <v>0.34624947854943844</v>
      </c>
      <c r="N24" s="332">
        <f t="shared" si="5"/>
        <v>1.3149017134583887</v>
      </c>
      <c r="O24" s="332">
        <f t="shared" si="2"/>
        <v>0.96426125653615169</v>
      </c>
      <c r="P24" s="332">
        <f t="shared" si="3"/>
        <v>0.90061761195780043</v>
      </c>
      <c r="Q24" s="516">
        <f t="shared" si="4"/>
        <v>0.35793776885502326</v>
      </c>
      <c r="AE24" s="26"/>
      <c r="AF24" s="26"/>
      <c r="AG24" s="26"/>
      <c r="AH24" s="26"/>
      <c r="AI24" s="26"/>
      <c r="AJ24" s="26"/>
      <c r="AK24" s="26"/>
    </row>
    <row r="25" spans="3:37" ht="12.75" customHeight="1" x14ac:dyDescent="0.25">
      <c r="C25" s="512" t="str" cm="1">
        <f t="array" ref="C25">INDEX('List Values'!$B$2:$B$17,(1+ROUNDDOWN((ROW()-ROW($C$5))*1/6,2)))</f>
        <v>PVC Plastics Compounding</v>
      </c>
      <c r="D25" s="513" t="s">
        <v>72</v>
      </c>
      <c r="E25" s="514" t="s">
        <v>90</v>
      </c>
      <c r="F25" s="515">
        <f>IF(E25="High-End",SUMIFS(Inhalation_Exp[24hr_High-End],Inhalation_Exp[OES],$C25,Inhalation_Exp[Worker Type],$D25),SUMIFS(Inhalation_Exp[24hr_Central Tendency],Inhalation_Exp[OES],$C25,Inhalation_Exp[Worker Type],$D25))</f>
        <v>0.3955816361753538</v>
      </c>
      <c r="G25" s="394">
        <f>IF(E25="High-End",SUMIFS(Inhalation_Exp[Int_High-End],Inhalation_Exp[OES],$C25,Inhalation_Exp[Worker Type],$D25),SUMIFS(Inhalation_Exp[Int_Central Tendency],Inhalation_Exp[OES],$C25,Inhalation_Exp[Worker Type],$D25))</f>
        <v>0.29009319986192611</v>
      </c>
      <c r="H25" s="394">
        <f>IF(E25="High-End",SUMIFS(Inhalation_Exp[ADD_High-End],Inhalation_Exp[OES],$C25,Inhalation_Exp[Worker Type],$D25),SUMIFS(Inhalation_Exp[ADD_Central Tendency],Inhalation_Exp[OES],$C25,Inhalation_Exp[Worker Type],$D25))</f>
        <v>0.27094632614750264</v>
      </c>
      <c r="I25" s="394">
        <f>IF(E25="High-End",SUMIFS(Inhalation_Exp[LADD_High-End],Inhalation_Exp[OES],$C25,Inhalation_Exp[Worker Type],$D25),SUMIFS(Inhalation_Exp[LADD_Central Tendency],Inhalation_Exp[OES],$C25,Inhalation_Exp[Worker Type],$D25))</f>
        <v>0.13894683392179621</v>
      </c>
      <c r="J25" s="394">
        <f>IF($E25="High-End",SUMIFS(Dermal_Exp[High-End AD (mg/kg-day)],Dermal_Exp[Worker Type],$D25,Dermal_Exp[OES],$C25),SUMIFS(Dermal_Exp[Central Tendency AD (mg/kg-day)],Dermal_Exp[Worker Type],$D25,Dermal_Exp[OES],$C25))</f>
        <v>2.3380970722940377</v>
      </c>
      <c r="K25" s="332">
        <f>IF($E25="High-End",SUMIFS(Dermal_Exp[High-End IADD (mg/kg-day)],Dermal_Exp[Worker Type],$D25,Dermal_Exp[OES],$C25),SUMIFS(Dermal_Exp[Central Tendency IADD (mg/kg-day)],Dermal_Exp[Worker Type],$D25,Dermal_Exp[OES],$C25))</f>
        <v>1.7146045196822943</v>
      </c>
      <c r="L25" s="332">
        <f>IF($E25="High-End",SUMIFS(Dermal_Exp[High-End ADD (mg/kg-day)],Dermal_Exp[Worker Type],$D25,Dermal_Exp[OES],$C25),SUMIFS(Dermal_Exp[Central Tendency ADD (mg/kg-day)],Dermal_Exp[Worker Type],$D25,Dermal_Exp[OES],$C25))</f>
        <v>1.6014363508863274</v>
      </c>
      <c r="M25" s="332">
        <f>IF($E25="High-End",SUMIFS(Dermal_Exp[High-End LADD (mg/kg-day)],Dermal_Exp[Worker Type],$D25,Dermal_Exp[OES],$C25),SUMIFS(Dermal_Exp[Central Tendency LADD (mg/kg-day)],Dermal_Exp[Worker Type],$D25,Dermal_Exp[OES],$C25))</f>
        <v>0.82124941071093716</v>
      </c>
      <c r="N25" s="332">
        <f t="shared" si="5"/>
        <v>2.7336787084693914</v>
      </c>
      <c r="O25" s="332">
        <f t="shared" si="2"/>
        <v>2.0046977195442204</v>
      </c>
      <c r="P25" s="332">
        <f t="shared" si="3"/>
        <v>1.8723826770338301</v>
      </c>
      <c r="Q25" s="516">
        <f t="shared" si="4"/>
        <v>0.96019624463273334</v>
      </c>
      <c r="AE25" s="26"/>
      <c r="AF25" s="26"/>
      <c r="AG25" s="26"/>
      <c r="AH25" s="26"/>
      <c r="AI25" s="26"/>
      <c r="AJ25" s="26"/>
      <c r="AK25" s="26"/>
    </row>
    <row r="26" spans="3:37" ht="12.75" customHeight="1" x14ac:dyDescent="0.25">
      <c r="C26" s="512" t="str" cm="1">
        <f t="array" ref="C26">INDEX('List Values'!$B$2:$B$17,(1+ROUNDDOWN((ROW()-ROW($C$5))*1/6,2)))</f>
        <v>PVC Plastics Compounding</v>
      </c>
      <c r="D26" s="513" t="s">
        <v>72</v>
      </c>
      <c r="E26" s="514" t="s">
        <v>91</v>
      </c>
      <c r="F26" s="515">
        <f>IF(E26="High-End",SUMIFS(Inhalation_Exp[24hr_High-End],Inhalation_Exp[OES],$C26,Inhalation_Exp[Worker Type],$D26),SUMIFS(Inhalation_Exp[24hr_Central Tendency],Inhalation_Exp[OES],$C26,Inhalation_Exp[Worker Type],$D26))</f>
        <v>4.7428374180186396E-2</v>
      </c>
      <c r="G26" s="394">
        <f>IF(E26="High-End",SUMIFS(Inhalation_Exp[Int_High-End],Inhalation_Exp[OES],$C26,Inhalation_Exp[Worker Type],$D26),SUMIFS(Inhalation_Exp[Int_Central Tendency],Inhalation_Exp[OES],$C26,Inhalation_Exp[Worker Type],$D26))</f>
        <v>3.4780807732136688E-2</v>
      </c>
      <c r="H26" s="394">
        <f>IF(E26="High-End",SUMIFS(Inhalation_Exp[ADD_High-End],Inhalation_Exp[OES],$C26,Inhalation_Exp[Worker Type],$D26),SUMIFS(Inhalation_Exp[ADD_Central Tendency],Inhalation_Exp[OES],$C26,Inhalation_Exp[Worker Type],$D26))</f>
        <v>3.2485187794648214E-2</v>
      </c>
      <c r="I26" s="394">
        <f>IF(E26="High-End",SUMIFS(Inhalation_Exp[LADD_High-End],Inhalation_Exp[OES],$C26,Inhalation_Exp[Worker Type],$D26),SUMIFS(Inhalation_Exp[LADD_Central Tendency],Inhalation_Exp[OES],$C26,Inhalation_Exp[Worker Type],$D26))</f>
        <v>1.2910779764539675E-2</v>
      </c>
      <c r="J26" s="394">
        <f>IF($E26="High-End",SUMIFS(Dermal_Exp[High-End AD (mg/kg-day)],Dermal_Exp[Worker Type],$D26,Dermal_Exp[OES],$C26),SUMIFS(Dermal_Exp[Central Tendency AD (mg/kg-day)],Dermal_Exp[Worker Type],$D26,Dermal_Exp[OES],$C26))</f>
        <v>1.1690485361470189</v>
      </c>
      <c r="K26" s="332">
        <f>IF($E26="High-End",SUMIFS(Dermal_Exp[High-End IADD (mg/kg-day)],Dermal_Exp[Worker Type],$D26,Dermal_Exp[OES],$C26),SUMIFS(Dermal_Exp[Central Tendency IADD (mg/kg-day)],Dermal_Exp[Worker Type],$D26,Dermal_Exp[OES],$C26))</f>
        <v>0.85730225984114716</v>
      </c>
      <c r="L26" s="332">
        <f>IF($E26="High-End",SUMIFS(Dermal_Exp[High-End ADD (mg/kg-day)],Dermal_Exp[Worker Type],$D26,Dermal_Exp[OES],$C26),SUMIFS(Dermal_Exp[Central Tendency ADD (mg/kg-day)],Dermal_Exp[Worker Type],$D26,Dermal_Exp[OES],$C26))</f>
        <v>0.80071817544316359</v>
      </c>
      <c r="M26" s="332">
        <f>IF($E26="High-End",SUMIFS(Dermal_Exp[High-End LADD (mg/kg-day)],Dermal_Exp[Worker Type],$D26,Dermal_Exp[OES],$C26),SUMIFS(Dermal_Exp[Central Tendency LADD (mg/kg-day)],Dermal_Exp[Worker Type],$D26,Dermal_Exp[OES],$C26))</f>
        <v>0.3182341466504881</v>
      </c>
      <c r="N26" s="332">
        <f t="shared" si="5"/>
        <v>1.2164769103272053</v>
      </c>
      <c r="O26" s="332">
        <f t="shared" si="2"/>
        <v>0.89208306757328382</v>
      </c>
      <c r="P26" s="332">
        <f t="shared" si="3"/>
        <v>0.83320336323781186</v>
      </c>
      <c r="Q26" s="516">
        <f t="shared" si="4"/>
        <v>0.3311449264150278</v>
      </c>
      <c r="AE26" s="26"/>
      <c r="AF26" s="26"/>
      <c r="AG26" s="26"/>
      <c r="AH26" s="26"/>
      <c r="AI26" s="26"/>
      <c r="AJ26" s="26"/>
      <c r="AK26" s="26"/>
    </row>
    <row r="27" spans="3:37" ht="12.75" customHeight="1" x14ac:dyDescent="0.25">
      <c r="C27" s="512" t="str" cm="1">
        <f t="array" ref="C27">INDEX('List Values'!$B$2:$B$17,(1+ROUNDDOWN((ROW()-ROW($C$5))*1/6,2)))</f>
        <v>PVC Plastics Compounding</v>
      </c>
      <c r="D27" s="513" t="s">
        <v>92</v>
      </c>
      <c r="E27" s="514" t="s">
        <v>90</v>
      </c>
      <c r="F27" s="515">
        <f>IF(E27="High-End",SUMIFS(Inhalation_Exp[24hr_High-End],Inhalation_Exp[OES],$C27,Inhalation_Exp[Worker Type],$D27),SUMIFS(Inhalation_Exp[24hr_Central Tendency],Inhalation_Exp[OES],$C27,Inhalation_Exp[Worker Type],$D27))</f>
        <v>4.2937500000000003E-2</v>
      </c>
      <c r="G27" s="394">
        <f>IF(E27="High-End",SUMIFS(Inhalation_Exp[Int_High-End],Inhalation_Exp[OES],$C27,Inhalation_Exp[Worker Type],$D27),SUMIFS(Inhalation_Exp[Int_Central Tendency],Inhalation_Exp[OES],$C27,Inhalation_Exp[Worker Type],$D27))</f>
        <v>3.1487500000000002E-2</v>
      </c>
      <c r="H27" s="394">
        <f>IF(E27="High-End",SUMIFS(Inhalation_Exp[ADD_High-End],Inhalation_Exp[OES],$C27,Inhalation_Exp[Worker Type],$D27),SUMIFS(Inhalation_Exp[ADD_Central Tendency],Inhalation_Exp[OES],$C27,Inhalation_Exp[Worker Type],$D27))</f>
        <v>2.9409246575342465E-2</v>
      </c>
      <c r="I27" s="394">
        <f>IF(E27="High-End",SUMIFS(Inhalation_Exp[LADD_High-End],Inhalation_Exp[OES],$C27,Inhalation_Exp[Worker Type],$D27),SUMIFS(Inhalation_Exp[LADD_Central Tendency],Inhalation_Exp[OES],$C27,Inhalation_Exp[Worker Type],$D27))</f>
        <v>1.5081664910432033E-2</v>
      </c>
      <c r="J27" s="394">
        <f>IF($E27="High-End",SUMIFS(Dermal_Exp[High-End AD (mg/kg-day)],Dermal_Exp[Worker Type],$D27,Dermal_Exp[OES],$C27),SUMIFS(Dermal_Exp[Central Tendency AD (mg/kg-day)],Dermal_Exp[Worker Type],$D27,Dermal_Exp[OES],$C27))</f>
        <v>1.6943380125055349E-2</v>
      </c>
      <c r="K27" s="332">
        <f>IF($E27="High-End",SUMIFS(Dermal_Exp[High-End IADD (mg/kg-day)],Dermal_Exp[Worker Type],$D27,Dermal_Exp[OES],$C27),SUMIFS(Dermal_Exp[Central Tendency IADD (mg/kg-day)],Dermal_Exp[Worker Type],$D27,Dermal_Exp[OES],$C27))</f>
        <v>1.2425145425040588E-2</v>
      </c>
      <c r="L27" s="332">
        <f>IF($E27="High-End",SUMIFS(Dermal_Exp[High-End ADD (mg/kg-day)],Dermal_Exp[Worker Type],$D27,Dermal_Exp[OES],$C27),SUMIFS(Dermal_Exp[Central Tendency ADD (mg/kg-day)],Dermal_Exp[Worker Type],$D27,Dermal_Exp[OES],$C27))</f>
        <v>1.1605054880174895E-2</v>
      </c>
      <c r="M27" s="332">
        <f>IF($E27="High-End",SUMIFS(Dermal_Exp[High-End LADD (mg/kg-day)],Dermal_Exp[Worker Type],$D27,Dermal_Exp[OES],$C27),SUMIFS(Dermal_Exp[Central Tendency LADD (mg/kg-day)],Dermal_Exp[Worker Type],$D27,Dermal_Exp[OES],$C27))</f>
        <v>5.9513101949614849E-3</v>
      </c>
      <c r="N27" s="332">
        <f t="shared" si="5"/>
        <v>5.9880880125055352E-2</v>
      </c>
      <c r="O27" s="332">
        <f t="shared" si="2"/>
        <v>4.3912645425040586E-2</v>
      </c>
      <c r="P27" s="332">
        <f t="shared" si="3"/>
        <v>4.1014301455517363E-2</v>
      </c>
      <c r="Q27" s="516">
        <f t="shared" si="4"/>
        <v>2.1032975105393519E-2</v>
      </c>
      <c r="AE27" s="26"/>
      <c r="AF27" s="26"/>
      <c r="AG27" s="26"/>
      <c r="AH27" s="26"/>
      <c r="AI27" s="26"/>
      <c r="AJ27" s="26"/>
      <c r="AK27" s="26"/>
    </row>
    <row r="28" spans="3:37" ht="12.75" customHeight="1" x14ac:dyDescent="0.25">
      <c r="C28" s="512" t="str" cm="1">
        <f t="array" ref="C28">INDEX('List Values'!$B$2:$B$17,(1+ROUNDDOWN((ROW()-ROW($C$5))*1/6,2)))</f>
        <v>PVC Plastics Compounding</v>
      </c>
      <c r="D28" s="513" t="s">
        <v>92</v>
      </c>
      <c r="E28" s="514" t="s">
        <v>91</v>
      </c>
      <c r="F28" s="515">
        <f>IF(E28="High-End",SUMIFS(Inhalation_Exp[24hr_High-End],Inhalation_Exp[OES],$C28,Inhalation_Exp[Worker Type],$D28),SUMIFS(Inhalation_Exp[24hr_Central Tendency],Inhalation_Exp[OES],$C28,Inhalation_Exp[Worker Type],$D28))</f>
        <v>4.2937500000000003E-2</v>
      </c>
      <c r="G28" s="394">
        <f>IF(E28="High-End",SUMIFS(Inhalation_Exp[Int_High-End],Inhalation_Exp[OES],$C28,Inhalation_Exp[Worker Type],$D28),SUMIFS(Inhalation_Exp[Int_Central Tendency],Inhalation_Exp[OES],$C28,Inhalation_Exp[Worker Type],$D28))</f>
        <v>3.1487500000000002E-2</v>
      </c>
      <c r="H28" s="394">
        <f>IF(E28="High-End",SUMIFS(Inhalation_Exp[ADD_High-End],Inhalation_Exp[OES],$C28,Inhalation_Exp[Worker Type],$D28),SUMIFS(Inhalation_Exp[ADD_Central Tendency],Inhalation_Exp[OES],$C28,Inhalation_Exp[Worker Type],$D28))</f>
        <v>2.9409246575342465E-2</v>
      </c>
      <c r="I28" s="394">
        <f>IF(E28="High-End",SUMIFS(Inhalation_Exp[LADD_High-End],Inhalation_Exp[OES],$C28,Inhalation_Exp[Worker Type],$D28),SUMIFS(Inhalation_Exp[LADD_Central Tendency],Inhalation_Exp[OES],$C28,Inhalation_Exp[Worker Type],$D28))</f>
        <v>1.1688290305584825E-2</v>
      </c>
      <c r="J28" s="394">
        <f>IF($E28="High-End",SUMIFS(Dermal_Exp[High-End AD (mg/kg-day)],Dermal_Exp[Worker Type],$D28,Dermal_Exp[OES],$C28),SUMIFS(Dermal_Exp[Central Tendency AD (mg/kg-day)],Dermal_Exp[Worker Type],$D28,Dermal_Exp[OES],$C28))</f>
        <v>1.6943380125055349E-2</v>
      </c>
      <c r="K28" s="332">
        <f>IF($E28="High-End",SUMIFS(Dermal_Exp[High-End IADD (mg/kg-day)],Dermal_Exp[Worker Type],$D28,Dermal_Exp[OES],$C28),SUMIFS(Dermal_Exp[Central Tendency IADD (mg/kg-day)],Dermal_Exp[Worker Type],$D28,Dermal_Exp[OES],$C28))</f>
        <v>1.2425145425040588E-2</v>
      </c>
      <c r="L28" s="332">
        <f>IF($E28="High-End",SUMIFS(Dermal_Exp[High-End ADD (mg/kg-day)],Dermal_Exp[Worker Type],$D28,Dermal_Exp[OES],$C28),SUMIFS(Dermal_Exp[Central Tendency ADD (mg/kg-day)],Dermal_Exp[Worker Type],$D28,Dermal_Exp[OES],$C28))</f>
        <v>1.1605054880174897E-2</v>
      </c>
      <c r="M28" s="332">
        <f>IF($E28="High-End",SUMIFS(Dermal_Exp[High-End LADD (mg/kg-day)],Dermal_Exp[Worker Type],$D28,Dermal_Exp[OES],$C28),SUMIFS(Dermal_Exp[Central Tendency LADD (mg/kg-day)],Dermal_Exp[Worker Type],$D28,Dermal_Exp[OES],$C28))</f>
        <v>4.612265401095151E-3</v>
      </c>
      <c r="N28" s="332">
        <f t="shared" si="5"/>
        <v>5.9880880125055352E-2</v>
      </c>
      <c r="O28" s="332">
        <f t="shared" si="2"/>
        <v>4.3912645425040586E-2</v>
      </c>
      <c r="P28" s="332">
        <f t="shared" si="3"/>
        <v>4.1014301455517363E-2</v>
      </c>
      <c r="Q28" s="516">
        <f t="shared" si="4"/>
        <v>1.6300555706679976E-2</v>
      </c>
      <c r="AE28" s="26"/>
      <c r="AF28" s="26"/>
      <c r="AG28" s="26"/>
      <c r="AH28" s="26"/>
      <c r="AI28" s="26"/>
      <c r="AJ28" s="26"/>
      <c r="AK28" s="26"/>
    </row>
    <row r="29" spans="3:37" ht="12.75" customHeight="1" x14ac:dyDescent="0.25">
      <c r="C29" s="512" t="str" cm="1">
        <f t="array" ref="C29">INDEX('List Values'!$B$2:$B$17,(1+ROUNDDOWN((ROW()-ROW($C$5))*1/6,2)))</f>
        <v>PVC Plastics Converting</v>
      </c>
      <c r="D29" s="513" t="s">
        <v>197</v>
      </c>
      <c r="E29" s="514" t="s">
        <v>90</v>
      </c>
      <c r="F29" s="515">
        <f>IF(E29="High-End",SUMIFS(Inhalation_Exp[24hr_High-End],Inhalation_Exp[OES],$C29,Inhalation_Exp[Worker Type],$D29),SUMIFS(Inhalation_Exp[24hr_Central Tendency],Inhalation_Exp[OES],$C29,Inhalation_Exp[Worker Type],$D29))</f>
        <v>0.35812500000000003</v>
      </c>
      <c r="G29" s="394">
        <f>IF(E29="High-End",SUMIFS(Inhalation_Exp[Int_High-End],Inhalation_Exp[OES],$C29,Inhalation_Exp[Worker Type],$D29),SUMIFS(Inhalation_Exp[Int_Central Tendency],Inhalation_Exp[OES],$C29,Inhalation_Exp[Worker Type],$D29))</f>
        <v>0.262625</v>
      </c>
      <c r="H29" s="394">
        <f>IF(E29="High-End",SUMIFS(Inhalation_Exp[ADD_High-End],Inhalation_Exp[OES],$C29,Inhalation_Exp[Worker Type],$D29),SUMIFS(Inhalation_Exp[ADD_Central Tendency],Inhalation_Exp[OES],$C29,Inhalation_Exp[Worker Type],$D29))</f>
        <v>0.24529109589041095</v>
      </c>
      <c r="I29" s="394">
        <f>IF(E29="High-End",SUMIFS(Inhalation_Exp[LADD_High-End],Inhalation_Exp[OES],$C29,Inhalation_Exp[Worker Type],$D29),SUMIFS(Inhalation_Exp[LADD_Central Tendency],Inhalation_Exp[OES],$C29,Inhalation_Exp[Worker Type],$D29))</f>
        <v>0.12579030558482612</v>
      </c>
      <c r="J29" s="394">
        <f>IF($E29="High-End",SUMIFS(Dermal_Exp[High-End AD (mg/kg-day)],Dermal_Exp[Worker Type],$D29,Dermal_Exp[OES],$C29),SUMIFS(Dermal_Exp[Central Tendency AD (mg/kg-day)],Dermal_Exp[Worker Type],$D29,Dermal_Exp[OES],$C29))</f>
        <v>3.3886760250110698E-2</v>
      </c>
      <c r="K29" s="332">
        <f>IF($E29="High-End",SUMIFS(Dermal_Exp[High-End IADD (mg/kg-day)],Dermal_Exp[Worker Type],$D29,Dermal_Exp[OES],$C29),SUMIFS(Dermal_Exp[Central Tendency IADD (mg/kg-day)],Dermal_Exp[Worker Type],$D29,Dermal_Exp[OES],$C29))</f>
        <v>2.4850290850081176E-2</v>
      </c>
      <c r="L29" s="332">
        <f>IF($E29="High-End",SUMIFS(Dermal_Exp[High-End ADD (mg/kg-day)],Dermal_Exp[Worker Type],$D29,Dermal_Exp[OES],$C29),SUMIFS(Dermal_Exp[Central Tendency ADD (mg/kg-day)],Dermal_Exp[Worker Type],$D29,Dermal_Exp[OES],$C29))</f>
        <v>2.321010976034979E-2</v>
      </c>
      <c r="M29" s="332">
        <f>IF($E29="High-End",SUMIFS(Dermal_Exp[High-End LADD (mg/kg-day)],Dermal_Exp[Worker Type],$D29,Dermal_Exp[OES],$C29),SUMIFS(Dermal_Exp[Central Tendency LADD (mg/kg-day)],Dermal_Exp[Worker Type],$D29,Dermal_Exp[OES],$C29))</f>
        <v>1.190262038992297E-2</v>
      </c>
      <c r="N29" s="332">
        <f t="shared" si="5"/>
        <v>0.39201176025011075</v>
      </c>
      <c r="O29" s="332">
        <f t="shared" si="2"/>
        <v>0.28747529085008117</v>
      </c>
      <c r="P29" s="332">
        <f t="shared" si="3"/>
        <v>0.26850120565076074</v>
      </c>
      <c r="Q29" s="516">
        <f t="shared" si="4"/>
        <v>0.13769292597474908</v>
      </c>
      <c r="AE29" s="26"/>
      <c r="AF29" s="26"/>
      <c r="AG29" s="26"/>
      <c r="AH29" s="26"/>
      <c r="AI29" s="26"/>
      <c r="AJ29" s="26"/>
      <c r="AK29" s="26"/>
    </row>
    <row r="30" spans="3:37" ht="12.75" customHeight="1" x14ac:dyDescent="0.25">
      <c r="C30" s="512" t="str" cm="1">
        <f t="array" ref="C30">INDEX('List Values'!$B$2:$B$17,(1+ROUNDDOWN((ROW()-ROW($C$5))*1/6,2)))</f>
        <v>PVC Plastics Converting</v>
      </c>
      <c r="D30" s="513" t="s">
        <v>197</v>
      </c>
      <c r="E30" s="514" t="s">
        <v>91</v>
      </c>
      <c r="F30" s="515">
        <f>IF(E30="High-End",SUMIFS(Inhalation_Exp[24hr_High-End],Inhalation_Exp[OES],$C30,Inhalation_Exp[Worker Type],$D30),SUMIFS(Inhalation_Exp[24hr_Central Tendency],Inhalation_Exp[OES],$C30,Inhalation_Exp[Worker Type],$D30))</f>
        <v>4.2937500000000003E-2</v>
      </c>
      <c r="G30" s="394">
        <f>IF(E30="High-End",SUMIFS(Inhalation_Exp[Int_High-End],Inhalation_Exp[OES],$C30,Inhalation_Exp[Worker Type],$D30),SUMIFS(Inhalation_Exp[Int_Central Tendency],Inhalation_Exp[OES],$C30,Inhalation_Exp[Worker Type],$D30))</f>
        <v>3.1487500000000002E-2</v>
      </c>
      <c r="H30" s="394">
        <f>IF(E30="High-End",SUMIFS(Inhalation_Exp[ADD_High-End],Inhalation_Exp[OES],$C30,Inhalation_Exp[Worker Type],$D30),SUMIFS(Inhalation_Exp[ADD_Central Tendency],Inhalation_Exp[OES],$C30,Inhalation_Exp[Worker Type],$D30))</f>
        <v>2.9409246575342465E-2</v>
      </c>
      <c r="I30" s="394">
        <f>IF(E30="High-End",SUMIFS(Inhalation_Exp[LADD_High-End],Inhalation_Exp[OES],$C30,Inhalation_Exp[Worker Type],$D30),SUMIFS(Inhalation_Exp[LADD_Central Tendency],Inhalation_Exp[OES],$C30,Inhalation_Exp[Worker Type],$D30))</f>
        <v>1.1688290305584825E-2</v>
      </c>
      <c r="J30" s="394">
        <f>IF($E30="High-End",SUMIFS(Dermal_Exp[High-End AD (mg/kg-day)],Dermal_Exp[Worker Type],$D30,Dermal_Exp[OES],$C30),SUMIFS(Dermal_Exp[Central Tendency AD (mg/kg-day)],Dermal_Exp[Worker Type],$D30,Dermal_Exp[OES],$C30))</f>
        <v>1.6943380125055349E-2</v>
      </c>
      <c r="K30" s="332">
        <f>IF($E30="High-End",SUMIFS(Dermal_Exp[High-End IADD (mg/kg-day)],Dermal_Exp[Worker Type],$D30,Dermal_Exp[OES],$C30),SUMIFS(Dermal_Exp[Central Tendency IADD (mg/kg-day)],Dermal_Exp[Worker Type],$D30,Dermal_Exp[OES],$C30))</f>
        <v>1.2425145425040588E-2</v>
      </c>
      <c r="L30" s="332">
        <f>IF($E30="High-End",SUMIFS(Dermal_Exp[High-End ADD (mg/kg-day)],Dermal_Exp[Worker Type],$D30,Dermal_Exp[OES],$C30),SUMIFS(Dermal_Exp[Central Tendency ADD (mg/kg-day)],Dermal_Exp[Worker Type],$D30,Dermal_Exp[OES],$C30))</f>
        <v>1.1605054880174897E-2</v>
      </c>
      <c r="M30" s="332">
        <f>IF($E30="High-End",SUMIFS(Dermal_Exp[High-End LADD (mg/kg-day)],Dermal_Exp[Worker Type],$D30,Dermal_Exp[OES],$C30),SUMIFS(Dermal_Exp[Central Tendency LADD (mg/kg-day)],Dermal_Exp[Worker Type],$D30,Dermal_Exp[OES],$C30))</f>
        <v>4.612265401095151E-3</v>
      </c>
      <c r="N30" s="332">
        <f t="shared" si="5"/>
        <v>5.9880880125055352E-2</v>
      </c>
      <c r="O30" s="332">
        <f t="shared" si="2"/>
        <v>4.3912645425040586E-2</v>
      </c>
      <c r="P30" s="332">
        <f t="shared" si="3"/>
        <v>4.1014301455517363E-2</v>
      </c>
      <c r="Q30" s="516">
        <f t="shared" si="4"/>
        <v>1.6300555706679976E-2</v>
      </c>
      <c r="AE30" s="26"/>
      <c r="AF30" s="26"/>
      <c r="AG30" s="26"/>
      <c r="AH30" s="26"/>
      <c r="AI30" s="26"/>
      <c r="AJ30" s="26"/>
      <c r="AK30" s="26"/>
    </row>
    <row r="31" spans="3:37" ht="12.75" customHeight="1" x14ac:dyDescent="0.25">
      <c r="C31" s="512" t="str" cm="1">
        <f t="array" ref="C31">INDEX('List Values'!$B$2:$B$17,(1+ROUNDDOWN((ROW()-ROW($C$5))*1/6,2)))</f>
        <v>PVC Plastics Converting</v>
      </c>
      <c r="D31" s="513" t="s">
        <v>72</v>
      </c>
      <c r="E31" s="514" t="s">
        <v>90</v>
      </c>
      <c r="F31" s="515">
        <f>IF(E31="High-End",SUMIFS(Inhalation_Exp[24hr_High-End],Inhalation_Exp[OES],$C31,Inhalation_Exp[Worker Type],$D31),SUMIFS(Inhalation_Exp[24hr_Central Tendency],Inhalation_Exp[OES],$C31,Inhalation_Exp[Worker Type],$D31))</f>
        <v>0.3955816361753538</v>
      </c>
      <c r="G31" s="394">
        <f>IF(E31="High-End",SUMIFS(Inhalation_Exp[Int_High-End],Inhalation_Exp[OES],$C31,Inhalation_Exp[Worker Type],$D31),SUMIFS(Inhalation_Exp[Int_Central Tendency],Inhalation_Exp[OES],$C31,Inhalation_Exp[Worker Type],$D31))</f>
        <v>0.29009319986192611</v>
      </c>
      <c r="H31" s="394">
        <f>IF(E31="High-End",SUMIFS(Inhalation_Exp[ADD_High-End],Inhalation_Exp[OES],$C31,Inhalation_Exp[Worker Type],$D31),SUMIFS(Inhalation_Exp[ADD_Central Tendency],Inhalation_Exp[OES],$C31,Inhalation_Exp[Worker Type],$D31))</f>
        <v>0.27094632614750264</v>
      </c>
      <c r="I31" s="394">
        <f>IF(E31="High-End",SUMIFS(Inhalation_Exp[LADD_High-End],Inhalation_Exp[OES],$C31,Inhalation_Exp[Worker Type],$D31),SUMIFS(Inhalation_Exp[LADD_Central Tendency],Inhalation_Exp[OES],$C31,Inhalation_Exp[Worker Type],$D31))</f>
        <v>0.13894683392179621</v>
      </c>
      <c r="J31" s="394">
        <f>IF($E31="High-End",SUMIFS(Dermal_Exp[High-End AD (mg/kg-day)],Dermal_Exp[Worker Type],$D31,Dermal_Exp[OES],$C31),SUMIFS(Dermal_Exp[Central Tendency AD (mg/kg-day)],Dermal_Exp[Worker Type],$D31,Dermal_Exp[OES],$C31))</f>
        <v>3.1144954430318089E-2</v>
      </c>
      <c r="K31" s="332">
        <f>IF($E31="High-End",SUMIFS(Dermal_Exp[High-End IADD (mg/kg-day)],Dermal_Exp[Worker Type],$D31,Dermal_Exp[OES],$C31),SUMIFS(Dermal_Exp[Central Tendency IADD (mg/kg-day)],Dermal_Exp[Worker Type],$D31,Dermal_Exp[OES],$C31))</f>
        <v>2.2839633248899933E-2</v>
      </c>
      <c r="L31" s="332">
        <f>IF($E31="High-End",SUMIFS(Dermal_Exp[High-End ADD (mg/kg-day)],Dermal_Exp[Worker Type],$D31,Dermal_Exp[OES],$C31),SUMIFS(Dermal_Exp[Central Tendency ADD (mg/kg-day)],Dermal_Exp[Worker Type],$D31,Dermal_Exp[OES],$C31))</f>
        <v>2.1332160568711022E-2</v>
      </c>
      <c r="M31" s="332">
        <f>IF($E31="High-End",SUMIFS(Dermal_Exp[High-End LADD (mg/kg-day)],Dermal_Exp[Worker Type],$D31,Dermal_Exp[OES],$C31),SUMIFS(Dermal_Exp[Central Tendency LADD (mg/kg-day)],Dermal_Exp[Worker Type],$D31,Dermal_Exp[OES],$C31))</f>
        <v>1.0939569522415909E-2</v>
      </c>
      <c r="N31" s="332">
        <f t="shared" si="5"/>
        <v>0.42672659060567186</v>
      </c>
      <c r="O31" s="332">
        <f t="shared" si="2"/>
        <v>0.31293283311082604</v>
      </c>
      <c r="P31" s="332">
        <f t="shared" si="3"/>
        <v>0.29227848671621365</v>
      </c>
      <c r="Q31" s="516">
        <f t="shared" si="4"/>
        <v>0.14988640344421211</v>
      </c>
      <c r="AE31" s="26"/>
      <c r="AF31" s="26"/>
      <c r="AG31" s="26"/>
      <c r="AH31" s="26"/>
      <c r="AI31" s="26"/>
      <c r="AJ31" s="26"/>
      <c r="AK31" s="26"/>
    </row>
    <row r="32" spans="3:37" ht="12.75" customHeight="1" x14ac:dyDescent="0.25">
      <c r="C32" s="512" t="str" cm="1">
        <f t="array" ref="C32">INDEX('List Values'!$B$2:$B$17,(1+ROUNDDOWN((ROW()-ROW($C$5))*1/6,2)))</f>
        <v>PVC Plastics Converting</v>
      </c>
      <c r="D32" s="513" t="s">
        <v>72</v>
      </c>
      <c r="E32" s="514" t="s">
        <v>91</v>
      </c>
      <c r="F32" s="515">
        <f>IF(E32="High-End",SUMIFS(Inhalation_Exp[24hr_High-End],Inhalation_Exp[OES],$C32,Inhalation_Exp[Worker Type],$D32),SUMIFS(Inhalation_Exp[24hr_Central Tendency],Inhalation_Exp[OES],$C32,Inhalation_Exp[Worker Type],$D32))</f>
        <v>4.7428374180186396E-2</v>
      </c>
      <c r="G32" s="394">
        <f>IF(E32="High-End",SUMIFS(Inhalation_Exp[Int_High-End],Inhalation_Exp[OES],$C32,Inhalation_Exp[Worker Type],$D32),SUMIFS(Inhalation_Exp[Int_Central Tendency],Inhalation_Exp[OES],$C32,Inhalation_Exp[Worker Type],$D32))</f>
        <v>3.4780807732136688E-2</v>
      </c>
      <c r="H32" s="394">
        <f>IF(E32="High-End",SUMIFS(Inhalation_Exp[ADD_High-End],Inhalation_Exp[OES],$C32,Inhalation_Exp[Worker Type],$D32),SUMIFS(Inhalation_Exp[ADD_Central Tendency],Inhalation_Exp[OES],$C32,Inhalation_Exp[Worker Type],$D32))</f>
        <v>3.2485187794648214E-2</v>
      </c>
      <c r="I32" s="394">
        <f>IF(E32="High-End",SUMIFS(Inhalation_Exp[LADD_High-End],Inhalation_Exp[OES],$C32,Inhalation_Exp[Worker Type],$D32),SUMIFS(Inhalation_Exp[LADD_Central Tendency],Inhalation_Exp[OES],$C32,Inhalation_Exp[Worker Type],$D32))</f>
        <v>1.2910779764539675E-2</v>
      </c>
      <c r="J32" s="394">
        <f>IF($E32="High-End",SUMIFS(Dermal_Exp[High-End AD (mg/kg-day)],Dermal_Exp[Worker Type],$D32,Dermal_Exp[OES],$C32),SUMIFS(Dermal_Exp[Central Tendency AD (mg/kg-day)],Dermal_Exp[Worker Type],$D32,Dermal_Exp[OES],$C32))</f>
        <v>1.5572477215159045E-2</v>
      </c>
      <c r="K32" s="332">
        <f>IF($E32="High-End",SUMIFS(Dermal_Exp[High-End IADD (mg/kg-day)],Dermal_Exp[Worker Type],$D32,Dermal_Exp[OES],$C32),SUMIFS(Dermal_Exp[Central Tendency IADD (mg/kg-day)],Dermal_Exp[Worker Type],$D32,Dermal_Exp[OES],$C32))</f>
        <v>1.1419816624449967E-2</v>
      </c>
      <c r="L32" s="332">
        <f>IF($E32="High-End",SUMIFS(Dermal_Exp[High-End ADD (mg/kg-day)],Dermal_Exp[Worker Type],$D32,Dermal_Exp[OES],$C32),SUMIFS(Dermal_Exp[Central Tendency ADD (mg/kg-day)],Dermal_Exp[Worker Type],$D32,Dermal_Exp[OES],$C32))</f>
        <v>1.0666080284355511E-2</v>
      </c>
      <c r="M32" s="332">
        <f>IF($E32="High-End",SUMIFS(Dermal_Exp[High-End LADD (mg/kg-day)],Dermal_Exp[Worker Type],$D32,Dermal_Exp[OES],$C32),SUMIFS(Dermal_Exp[Central Tendency LADD (mg/kg-day)],Dermal_Exp[Worker Type],$D32,Dermal_Exp[OES],$C32))</f>
        <v>4.2390831899361643E-3</v>
      </c>
      <c r="N32" s="332">
        <f t="shared" si="5"/>
        <v>6.3000851395345447E-2</v>
      </c>
      <c r="O32" s="332">
        <f t="shared" si="2"/>
        <v>4.6200624356586659E-2</v>
      </c>
      <c r="P32" s="332">
        <f t="shared" si="3"/>
        <v>4.3151268079003727E-2</v>
      </c>
      <c r="Q32" s="516">
        <f t="shared" si="4"/>
        <v>1.714986295447584E-2</v>
      </c>
      <c r="AE32" s="26"/>
      <c r="AF32" s="26"/>
      <c r="AG32" s="26"/>
      <c r="AH32" s="26"/>
      <c r="AI32" s="26"/>
      <c r="AJ32" s="26"/>
      <c r="AK32" s="26"/>
    </row>
    <row r="33" spans="3:37" ht="12.75" customHeight="1" x14ac:dyDescent="0.25">
      <c r="C33" s="512" t="str" cm="1">
        <f t="array" ref="C33">INDEX('List Values'!$B$2:$B$17,(1+ROUNDDOWN((ROW()-ROW($C$5))*1/6,2)))</f>
        <v>PVC Plastics Converting</v>
      </c>
      <c r="D33" s="513" t="s">
        <v>92</v>
      </c>
      <c r="E33" s="514" t="s">
        <v>90</v>
      </c>
      <c r="F33" s="515">
        <f>IF(E33="High-End",SUMIFS(Inhalation_Exp[24hr_High-End],Inhalation_Exp[OES],$C33,Inhalation_Exp[Worker Type],$D33),SUMIFS(Inhalation_Exp[24hr_Central Tendency],Inhalation_Exp[OES],$C33,Inhalation_Exp[Worker Type],$D33))</f>
        <v>4.2937500000000003E-2</v>
      </c>
      <c r="G33" s="394">
        <f>IF(E33="High-End",SUMIFS(Inhalation_Exp[Int_High-End],Inhalation_Exp[OES],$C33,Inhalation_Exp[Worker Type],$D33),SUMIFS(Inhalation_Exp[Int_Central Tendency],Inhalation_Exp[OES],$C33,Inhalation_Exp[Worker Type],$D33))</f>
        <v>3.1487500000000002E-2</v>
      </c>
      <c r="H33" s="394">
        <f>IF(E33="High-End",SUMIFS(Inhalation_Exp[ADD_High-End],Inhalation_Exp[OES],$C33,Inhalation_Exp[Worker Type],$D33),SUMIFS(Inhalation_Exp[ADD_Central Tendency],Inhalation_Exp[OES],$C33,Inhalation_Exp[Worker Type],$D33))</f>
        <v>2.9409246575342465E-2</v>
      </c>
      <c r="I33" s="394">
        <f>IF(E33="High-End",SUMIFS(Inhalation_Exp[LADD_High-End],Inhalation_Exp[OES],$C33,Inhalation_Exp[Worker Type],$D33),SUMIFS(Inhalation_Exp[LADD_Central Tendency],Inhalation_Exp[OES],$C33,Inhalation_Exp[Worker Type],$D33))</f>
        <v>1.5081664910432033E-2</v>
      </c>
      <c r="J33" s="394">
        <f>IF($E33="High-End",SUMIFS(Dermal_Exp[High-End AD (mg/kg-day)],Dermal_Exp[Worker Type],$D33,Dermal_Exp[OES],$C33),SUMIFS(Dermal_Exp[Central Tendency AD (mg/kg-day)],Dermal_Exp[Worker Type],$D33,Dermal_Exp[OES],$C33))</f>
        <v>1.6943380125055349E-2</v>
      </c>
      <c r="K33" s="332">
        <f>IF($E33="High-End",SUMIFS(Dermal_Exp[High-End IADD (mg/kg-day)],Dermal_Exp[Worker Type],$D33,Dermal_Exp[OES],$C33),SUMIFS(Dermal_Exp[Central Tendency IADD (mg/kg-day)],Dermal_Exp[Worker Type],$D33,Dermal_Exp[OES],$C33))</f>
        <v>1.2425145425040588E-2</v>
      </c>
      <c r="L33" s="332">
        <f>IF($E33="High-End",SUMIFS(Dermal_Exp[High-End ADD (mg/kg-day)],Dermal_Exp[Worker Type],$D33,Dermal_Exp[OES],$C33),SUMIFS(Dermal_Exp[Central Tendency ADD (mg/kg-day)],Dermal_Exp[Worker Type],$D33,Dermal_Exp[OES],$C33))</f>
        <v>1.1605054880174895E-2</v>
      </c>
      <c r="M33" s="332">
        <f>IF($E33="High-End",SUMIFS(Dermal_Exp[High-End LADD (mg/kg-day)],Dermal_Exp[Worker Type],$D33,Dermal_Exp[OES],$C33),SUMIFS(Dermal_Exp[Central Tendency LADD (mg/kg-day)],Dermal_Exp[Worker Type],$D33,Dermal_Exp[OES],$C33))</f>
        <v>5.9513101949614849E-3</v>
      </c>
      <c r="N33" s="332">
        <f t="shared" si="5"/>
        <v>5.9880880125055352E-2</v>
      </c>
      <c r="O33" s="332">
        <f t="shared" si="2"/>
        <v>4.3912645425040586E-2</v>
      </c>
      <c r="P33" s="332">
        <f t="shared" si="3"/>
        <v>4.1014301455517363E-2</v>
      </c>
      <c r="Q33" s="516">
        <f t="shared" si="4"/>
        <v>2.1032975105393519E-2</v>
      </c>
      <c r="AE33" s="26"/>
      <c r="AF33" s="26"/>
      <c r="AG33" s="26"/>
      <c r="AH33" s="26"/>
      <c r="AI33" s="26"/>
      <c r="AJ33" s="26"/>
      <c r="AK33" s="26"/>
    </row>
    <row r="34" spans="3:37" ht="12.75" customHeight="1" x14ac:dyDescent="0.25">
      <c r="C34" s="512" t="str" cm="1">
        <f t="array" ref="C34">INDEX('List Values'!$B$2:$B$17,(1+ROUNDDOWN((ROW()-ROW($C$5))*1/6,2)))</f>
        <v>PVC Plastics Converting</v>
      </c>
      <c r="D34" s="513" t="s">
        <v>92</v>
      </c>
      <c r="E34" s="514" t="s">
        <v>91</v>
      </c>
      <c r="F34" s="515">
        <f>IF(E34="High-End",SUMIFS(Inhalation_Exp[24hr_High-End],Inhalation_Exp[OES],$C34,Inhalation_Exp[Worker Type],$D34),SUMIFS(Inhalation_Exp[24hr_Central Tendency],Inhalation_Exp[OES],$C34,Inhalation_Exp[Worker Type],$D34))</f>
        <v>4.2937500000000003E-2</v>
      </c>
      <c r="G34" s="394">
        <f>IF(E34="High-End",SUMIFS(Inhalation_Exp[Int_High-End],Inhalation_Exp[OES],$C34,Inhalation_Exp[Worker Type],$D34),SUMIFS(Inhalation_Exp[Int_Central Tendency],Inhalation_Exp[OES],$C34,Inhalation_Exp[Worker Type],$D34))</f>
        <v>3.1487500000000002E-2</v>
      </c>
      <c r="H34" s="394">
        <f>IF(E34="High-End",SUMIFS(Inhalation_Exp[ADD_High-End],Inhalation_Exp[OES],$C34,Inhalation_Exp[Worker Type],$D34),SUMIFS(Inhalation_Exp[ADD_Central Tendency],Inhalation_Exp[OES],$C34,Inhalation_Exp[Worker Type],$D34))</f>
        <v>2.9409246575342465E-2</v>
      </c>
      <c r="I34" s="394">
        <f>IF(E34="High-End",SUMIFS(Inhalation_Exp[LADD_High-End],Inhalation_Exp[OES],$C34,Inhalation_Exp[Worker Type],$D34),SUMIFS(Inhalation_Exp[LADD_Central Tendency],Inhalation_Exp[OES],$C34,Inhalation_Exp[Worker Type],$D34))</f>
        <v>1.1688290305584825E-2</v>
      </c>
      <c r="J34" s="394">
        <f>IF($E34="High-End",SUMIFS(Dermal_Exp[High-End AD (mg/kg-day)],Dermal_Exp[Worker Type],$D34,Dermal_Exp[OES],$C34),SUMIFS(Dermal_Exp[Central Tendency AD (mg/kg-day)],Dermal_Exp[Worker Type],$D34,Dermal_Exp[OES],$C34))</f>
        <v>1.6943380125055349E-2</v>
      </c>
      <c r="K34" s="332">
        <f>IF($E34="High-End",SUMIFS(Dermal_Exp[High-End IADD (mg/kg-day)],Dermal_Exp[Worker Type],$D34,Dermal_Exp[OES],$C34),SUMIFS(Dermal_Exp[Central Tendency IADD (mg/kg-day)],Dermal_Exp[Worker Type],$D34,Dermal_Exp[OES],$C34))</f>
        <v>1.2425145425040588E-2</v>
      </c>
      <c r="L34" s="332">
        <f>IF($E34="High-End",SUMIFS(Dermal_Exp[High-End ADD (mg/kg-day)],Dermal_Exp[Worker Type],$D34,Dermal_Exp[OES],$C34),SUMIFS(Dermal_Exp[Central Tendency ADD (mg/kg-day)],Dermal_Exp[Worker Type],$D34,Dermal_Exp[OES],$C34))</f>
        <v>1.1605054880174897E-2</v>
      </c>
      <c r="M34" s="332">
        <f>IF($E34="High-End",SUMIFS(Dermal_Exp[High-End LADD (mg/kg-day)],Dermal_Exp[Worker Type],$D34,Dermal_Exp[OES],$C34),SUMIFS(Dermal_Exp[Central Tendency LADD (mg/kg-day)],Dermal_Exp[Worker Type],$D34,Dermal_Exp[OES],$C34))</f>
        <v>4.612265401095151E-3</v>
      </c>
      <c r="N34" s="332">
        <f t="shared" si="5"/>
        <v>5.9880880125055352E-2</v>
      </c>
      <c r="O34" s="332">
        <f t="shared" si="2"/>
        <v>4.3912645425040586E-2</v>
      </c>
      <c r="P34" s="332">
        <f t="shared" si="3"/>
        <v>4.1014301455517363E-2</v>
      </c>
      <c r="Q34" s="516">
        <f t="shared" si="4"/>
        <v>1.6300555706679976E-2</v>
      </c>
      <c r="AE34" s="26"/>
      <c r="AF34" s="26"/>
      <c r="AG34" s="26"/>
      <c r="AH34" s="26"/>
      <c r="AI34" s="26"/>
      <c r="AJ34" s="26"/>
      <c r="AK34" s="26"/>
    </row>
    <row r="35" spans="3:37" ht="12.75" customHeight="1" x14ac:dyDescent="0.25">
      <c r="C35" s="512" t="str" cm="1">
        <f t="array" ref="C35">INDEX('List Values'!$B$2:$B$17,(1+ROUNDDOWN((ROW()-ROW($C$5))*1/6,2)))</f>
        <v>Non-PVC Materials Manufacturing (Compounding and Converting)</v>
      </c>
      <c r="D35" s="513" t="s">
        <v>197</v>
      </c>
      <c r="E35" s="514" t="s">
        <v>90</v>
      </c>
      <c r="F35" s="515">
        <f>IF(E35="High-End",SUMIFS(Inhalation_Exp[24hr_High-End],Inhalation_Exp[OES],$C35,Inhalation_Exp[Worker Type],$D35),SUMIFS(Inhalation_Exp[24hr_Central Tendency],Inhalation_Exp[OES],$C35,Inhalation_Exp[Worker Type],$D35))</f>
        <v>0.21124999999999999</v>
      </c>
      <c r="G35" s="394">
        <f>IF(E35="High-End",SUMIFS(Inhalation_Exp[Int_High-End],Inhalation_Exp[OES],$C35,Inhalation_Exp[Worker Type],$D35),SUMIFS(Inhalation_Exp[Int_Central Tendency],Inhalation_Exp[OES],$C35,Inhalation_Exp[Worker Type],$D35))</f>
        <v>0.15491666666666667</v>
      </c>
      <c r="H35" s="394">
        <f>IF(E35="High-End",SUMIFS(Inhalation_Exp[ADD_High-End],Inhalation_Exp[OES],$C35,Inhalation_Exp[Worker Type],$D35),SUMIFS(Inhalation_Exp[ADD_Central Tendency],Inhalation_Exp[OES],$C35,Inhalation_Exp[Worker Type],$D35))</f>
        <v>0.1446917808219178</v>
      </c>
      <c r="I35" s="394">
        <f>IF(E35="High-End",SUMIFS(Inhalation_Exp[LADD_High-End],Inhalation_Exp[OES],$C35,Inhalation_Exp[Worker Type],$D35),SUMIFS(Inhalation_Exp[LADD_Central Tendency],Inhalation_Exp[OES],$C35,Inhalation_Exp[Worker Type],$D35))</f>
        <v>7.4200913242009128E-2</v>
      </c>
      <c r="J35" s="394">
        <f>IF($E35="High-End",SUMIFS(Dermal_Exp[High-End AD (mg/kg-day)],Dermal_Exp[Worker Type],$D35,Dermal_Exp[OES],$C35),SUMIFS(Dermal_Exp[Central Tendency AD (mg/kg-day)],Dermal_Exp[Worker Type],$D35,Dermal_Exp[OES],$C35))</f>
        <v>2.5439284269167772</v>
      </c>
      <c r="K35" s="332">
        <f>IF($E35="High-End",SUMIFS(Dermal_Exp[High-End IADD (mg/kg-day)],Dermal_Exp[Worker Type],$D35,Dermal_Exp[OES],$C35),SUMIFS(Dermal_Exp[Central Tendency IADD (mg/kg-day)],Dermal_Exp[Worker Type],$D35,Dermal_Exp[OES],$C35))</f>
        <v>1.8655475130723034</v>
      </c>
      <c r="L35" s="332">
        <f>IF($E35="High-End",SUMIFS(Dermal_Exp[High-End ADD (mg/kg-day)],Dermal_Exp[Worker Type],$D35,Dermal_Exp[OES],$C35),SUMIFS(Dermal_Exp[Central Tendency ADD (mg/kg-day)],Dermal_Exp[Worker Type],$D35,Dermal_Exp[OES],$C35))</f>
        <v>1.7424167307649159</v>
      </c>
      <c r="M35" s="332">
        <f>IF($E35="High-End",SUMIFS(Dermal_Exp[High-End LADD (mg/kg-day)],Dermal_Exp[Worker Type],$D35,Dermal_Exp[OES],$C35),SUMIFS(Dermal_Exp[Central Tendency LADD (mg/kg-day)],Dermal_Exp[Worker Type],$D35,Dermal_Exp[OES],$C35))</f>
        <v>0.89354704141790564</v>
      </c>
      <c r="N35" s="332">
        <f t="shared" si="5"/>
        <v>2.7551784269167774</v>
      </c>
      <c r="O35" s="332">
        <f t="shared" si="2"/>
        <v>2.02046417973897</v>
      </c>
      <c r="P35" s="332">
        <f t="shared" si="3"/>
        <v>1.8871085115868338</v>
      </c>
      <c r="Q35" s="516">
        <f t="shared" si="4"/>
        <v>0.96774795465991481</v>
      </c>
      <c r="AE35" s="26"/>
      <c r="AF35" s="26"/>
      <c r="AG35" s="26"/>
      <c r="AH35" s="26"/>
      <c r="AI35" s="26"/>
      <c r="AJ35" s="26"/>
      <c r="AK35" s="26"/>
    </row>
    <row r="36" spans="3:37" ht="12.75" customHeight="1" x14ac:dyDescent="0.25">
      <c r="C36" s="512" t="str" cm="1">
        <f t="array" ref="C36">INDEX('List Values'!$B$2:$B$17,(1+ROUNDDOWN((ROW()-ROW($C$5))*1/6,2)))</f>
        <v>Non-PVC Materials Manufacturing (Compounding and Converting)</v>
      </c>
      <c r="D36" s="513" t="s">
        <v>197</v>
      </c>
      <c r="E36" s="514" t="s">
        <v>91</v>
      </c>
      <c r="F36" s="515">
        <f>IF(E36="High-End",SUMIFS(Inhalation_Exp[24hr_High-End],Inhalation_Exp[OES],$C36,Inhalation_Exp[Worker Type],$D36),SUMIFS(Inhalation_Exp[24hr_Central Tendency],Inhalation_Exp[OES],$C36,Inhalation_Exp[Worker Type],$D36))</f>
        <v>3.5749999999999997E-2</v>
      </c>
      <c r="G36" s="394">
        <f>IF(E36="High-End",SUMIFS(Inhalation_Exp[Int_High-End],Inhalation_Exp[OES],$C36,Inhalation_Exp[Worker Type],$D36),SUMIFS(Inhalation_Exp[Int_Central Tendency],Inhalation_Exp[OES],$C36,Inhalation_Exp[Worker Type],$D36))</f>
        <v>2.6216666666666666E-2</v>
      </c>
      <c r="H36" s="394">
        <f>IF(E36="High-End",SUMIFS(Inhalation_Exp[ADD_High-End],Inhalation_Exp[OES],$C36,Inhalation_Exp[Worker Type],$D36),SUMIFS(Inhalation_Exp[ADD_Central Tendency],Inhalation_Exp[OES],$C36,Inhalation_Exp[Worker Type],$D36))</f>
        <v>2.4486301369863014E-2</v>
      </c>
      <c r="I36" s="394">
        <f>IF(E36="High-End",SUMIFS(Inhalation_Exp[LADD_High-End],Inhalation_Exp[OES],$C36,Inhalation_Exp[Worker Type],$D36),SUMIFS(Inhalation_Exp[LADD_Central Tendency],Inhalation_Exp[OES],$C36,Inhalation_Exp[Worker Type],$D36))</f>
        <v>9.7317351598173521E-3</v>
      </c>
      <c r="J36" s="394">
        <f>IF($E36="High-End",SUMIFS(Dermal_Exp[High-End AD (mg/kg-day)],Dermal_Exp[Worker Type],$D36,Dermal_Exp[OES],$C36),SUMIFS(Dermal_Exp[Central Tendency AD (mg/kg-day)],Dermal_Exp[Worker Type],$D36,Dermal_Exp[OES],$C36))</f>
        <v>1.2719642134583886</v>
      </c>
      <c r="K36" s="332">
        <f>IF($E36="High-End",SUMIFS(Dermal_Exp[High-End IADD (mg/kg-day)],Dermal_Exp[Worker Type],$D36,Dermal_Exp[OES],$C36),SUMIFS(Dermal_Exp[Central Tendency IADD (mg/kg-day)],Dermal_Exp[Worker Type],$D36,Dermal_Exp[OES],$C36))</f>
        <v>0.93277375653615169</v>
      </c>
      <c r="L36" s="332">
        <f>IF($E36="High-End",SUMIFS(Dermal_Exp[High-End ADD (mg/kg-day)],Dermal_Exp[Worker Type],$D36,Dermal_Exp[OES],$C36),SUMIFS(Dermal_Exp[Central Tendency ADD (mg/kg-day)],Dermal_Exp[Worker Type],$D36,Dermal_Exp[OES],$C36))</f>
        <v>0.87120836538245794</v>
      </c>
      <c r="M36" s="332">
        <f>IF($E36="High-End",SUMIFS(Dermal_Exp[High-End LADD (mg/kg-day)],Dermal_Exp[Worker Type],$D36,Dermal_Exp[OES],$C36),SUMIFS(Dermal_Exp[Central Tendency LADD (mg/kg-day)],Dermal_Exp[Worker Type],$D36,Dermal_Exp[OES],$C36))</f>
        <v>0.34624947854943844</v>
      </c>
      <c r="N36" s="332">
        <f t="shared" si="5"/>
        <v>1.3077142134583886</v>
      </c>
      <c r="O36" s="332">
        <f t="shared" si="2"/>
        <v>0.95899042320281835</v>
      </c>
      <c r="P36" s="332">
        <f t="shared" si="3"/>
        <v>0.8956946667523209</v>
      </c>
      <c r="Q36" s="516">
        <f t="shared" si="4"/>
        <v>0.35598121370925578</v>
      </c>
      <c r="AE36" s="26"/>
      <c r="AF36" s="26"/>
      <c r="AG36" s="26"/>
      <c r="AH36" s="26"/>
      <c r="AI36" s="26"/>
      <c r="AJ36" s="26"/>
      <c r="AK36" s="26"/>
    </row>
    <row r="37" spans="3:37" ht="12.75" customHeight="1" x14ac:dyDescent="0.25">
      <c r="C37" s="512" t="str" cm="1">
        <f t="array" ref="C37">INDEX('List Values'!$B$2:$B$17,(1+ROUNDDOWN((ROW()-ROW($C$5))*1/6,2)))</f>
        <v>Non-PVC Materials Manufacturing (Compounding and Converting)</v>
      </c>
      <c r="D37" s="513" t="s">
        <v>72</v>
      </c>
      <c r="E37" s="514" t="s">
        <v>90</v>
      </c>
      <c r="F37" s="515">
        <f>IF(E37="High-End",SUMIFS(Inhalation_Exp[24hr_High-End],Inhalation_Exp[OES],$C37,Inhalation_Exp[Worker Type],$D37),SUMIFS(Inhalation_Exp[24hr_Central Tendency],Inhalation_Exp[OES],$C37,Inhalation_Exp[Worker Type],$D37))</f>
        <v>0.23334483948912663</v>
      </c>
      <c r="G37" s="394">
        <f>IF(E37="High-End",SUMIFS(Inhalation_Exp[Int_High-End],Inhalation_Exp[OES],$C37,Inhalation_Exp[Worker Type],$D37),SUMIFS(Inhalation_Exp[Int_Central Tendency],Inhalation_Exp[OES],$C37,Inhalation_Exp[Worker Type],$D37))</f>
        <v>0.17111954895869286</v>
      </c>
      <c r="H37" s="394">
        <f>IF(E37="High-End",SUMIFS(Inhalation_Exp[ADD_High-End],Inhalation_Exp[OES],$C37,Inhalation_Exp[Worker Type],$D37),SUMIFS(Inhalation_Exp[ADD_Central Tendency],Inhalation_Exp[OES],$C37,Inhalation_Exp[Worker Type],$D37))</f>
        <v>0.15982523252679906</v>
      </c>
      <c r="I37" s="394">
        <f>IF(E37="High-End",SUMIFS(Inhalation_Exp[LADD_High-End],Inhalation_Exp[OES],$C37,Inhalation_Exp[Worker Type],$D37),SUMIFS(Inhalation_Exp[LADD_Central Tendency],Inhalation_Exp[OES],$C37,Inhalation_Exp[Worker Type],$D37))</f>
        <v>8.1961657706050794E-2</v>
      </c>
      <c r="J37" s="394">
        <f>IF($E37="High-End",SUMIFS(Dermal_Exp[High-End AD (mg/kg-day)],Dermal_Exp[Worker Type],$D37,Dermal_Exp[OES],$C37),SUMIFS(Dermal_Exp[Central Tendency AD (mg/kg-day)],Dermal_Exp[Worker Type],$D37,Dermal_Exp[OES],$C37))</f>
        <v>2.3380970722940377</v>
      </c>
      <c r="K37" s="332">
        <f>IF($E37="High-End",SUMIFS(Dermal_Exp[High-End IADD (mg/kg-day)],Dermal_Exp[Worker Type],$D37,Dermal_Exp[OES],$C37),SUMIFS(Dermal_Exp[Central Tendency IADD (mg/kg-day)],Dermal_Exp[Worker Type],$D37,Dermal_Exp[OES],$C37))</f>
        <v>1.7146045196822943</v>
      </c>
      <c r="L37" s="332">
        <f>IF($E37="High-End",SUMIFS(Dermal_Exp[High-End ADD (mg/kg-day)],Dermal_Exp[Worker Type],$D37,Dermal_Exp[OES],$C37),SUMIFS(Dermal_Exp[Central Tendency ADD (mg/kg-day)],Dermal_Exp[Worker Type],$D37,Dermal_Exp[OES],$C37))</f>
        <v>1.6014363508863274</v>
      </c>
      <c r="M37" s="332">
        <f>IF($E37="High-End",SUMIFS(Dermal_Exp[High-End LADD (mg/kg-day)],Dermal_Exp[Worker Type],$D37,Dermal_Exp[OES],$C37),SUMIFS(Dermal_Exp[Central Tendency LADD (mg/kg-day)],Dermal_Exp[Worker Type],$D37,Dermal_Exp[OES],$C37))</f>
        <v>0.82124941071093716</v>
      </c>
      <c r="N37" s="332">
        <f t="shared" si="5"/>
        <v>2.5714419117831642</v>
      </c>
      <c r="O37" s="332">
        <f t="shared" si="2"/>
        <v>1.8857240686409873</v>
      </c>
      <c r="P37" s="332">
        <f t="shared" si="3"/>
        <v>1.7612615834131264</v>
      </c>
      <c r="Q37" s="516">
        <f t="shared" si="4"/>
        <v>0.90321106841698795</v>
      </c>
      <c r="AE37" s="26"/>
      <c r="AF37" s="26"/>
      <c r="AG37" s="26"/>
      <c r="AH37" s="26"/>
      <c r="AI37" s="26"/>
      <c r="AJ37" s="26"/>
      <c r="AK37" s="26"/>
    </row>
    <row r="38" spans="3:37" ht="12.75" customHeight="1" x14ac:dyDescent="0.25">
      <c r="C38" s="512" t="str" cm="1">
        <f t="array" ref="C38">INDEX('List Values'!$B$2:$B$17,(1+ROUNDDOWN((ROW()-ROW($C$5))*1/6,2)))</f>
        <v>Non-PVC Materials Manufacturing (Compounding and Converting)</v>
      </c>
      <c r="D38" s="513" t="s">
        <v>72</v>
      </c>
      <c r="E38" s="514" t="s">
        <v>91</v>
      </c>
      <c r="F38" s="515">
        <f>IF(E38="High-End",SUMIFS(Inhalation_Exp[24hr_High-End],Inhalation_Exp[OES],$C38,Inhalation_Exp[Worker Type],$D38),SUMIFS(Inhalation_Exp[24hr_Central Tendency],Inhalation_Exp[OES],$C38,Inhalation_Exp[Worker Type],$D38))</f>
        <v>3.948912668277528E-2</v>
      </c>
      <c r="G38" s="394">
        <f>IF(E38="High-End",SUMIFS(Inhalation_Exp[Int_High-End],Inhalation_Exp[OES],$C38,Inhalation_Exp[Worker Type],$D38),SUMIFS(Inhalation_Exp[Int_Central Tendency],Inhalation_Exp[OES],$C38,Inhalation_Exp[Worker Type],$D38))</f>
        <v>2.8958692900701872E-2</v>
      </c>
      <c r="H38" s="394">
        <f>IF(E38="High-End",SUMIFS(Inhalation_Exp[ADD_High-End],Inhalation_Exp[OES],$C38,Inhalation_Exp[Worker Type],$D38),SUMIFS(Inhalation_Exp[ADD_Central Tendency],Inhalation_Exp[OES],$C38,Inhalation_Exp[Worker Type],$D38))</f>
        <v>2.7047347042996765E-2</v>
      </c>
      <c r="I38" s="394">
        <f>IF(E38="High-End",SUMIFS(Inhalation_Exp[LADD_High-End],Inhalation_Exp[OES],$C38,Inhalation_Exp[Worker Type],$D38),SUMIFS(Inhalation_Exp[LADD_Central Tendency],Inhalation_Exp[OES],$C38,Inhalation_Exp[Worker Type],$D38))</f>
        <v>1.0749586645293586E-2</v>
      </c>
      <c r="J38" s="394">
        <f>IF($E38="High-End",SUMIFS(Dermal_Exp[High-End AD (mg/kg-day)],Dermal_Exp[Worker Type],$D38,Dermal_Exp[OES],$C38),SUMIFS(Dermal_Exp[Central Tendency AD (mg/kg-day)],Dermal_Exp[Worker Type],$D38,Dermal_Exp[OES],$C38))</f>
        <v>1.1690485361470189</v>
      </c>
      <c r="K38" s="332">
        <f>IF($E38="High-End",SUMIFS(Dermal_Exp[High-End IADD (mg/kg-day)],Dermal_Exp[Worker Type],$D38,Dermal_Exp[OES],$C38),SUMIFS(Dermal_Exp[Central Tendency IADD (mg/kg-day)],Dermal_Exp[Worker Type],$D38,Dermal_Exp[OES],$C38))</f>
        <v>0.85730225984114716</v>
      </c>
      <c r="L38" s="332">
        <f>IF($E38="High-End",SUMIFS(Dermal_Exp[High-End ADD (mg/kg-day)],Dermal_Exp[Worker Type],$D38,Dermal_Exp[OES],$C38),SUMIFS(Dermal_Exp[Central Tendency ADD (mg/kg-day)],Dermal_Exp[Worker Type],$D38,Dermal_Exp[OES],$C38))</f>
        <v>0.80071817544316359</v>
      </c>
      <c r="M38" s="332">
        <f>IF($E38="High-End",SUMIFS(Dermal_Exp[High-End LADD (mg/kg-day)],Dermal_Exp[Worker Type],$D38,Dermal_Exp[OES],$C38),SUMIFS(Dermal_Exp[Central Tendency LADD (mg/kg-day)],Dermal_Exp[Worker Type],$D38,Dermal_Exp[OES],$C38))</f>
        <v>0.3182341466504881</v>
      </c>
      <c r="N38" s="332">
        <f t="shared" si="5"/>
        <v>1.2085376628297941</v>
      </c>
      <c r="O38" s="332">
        <f t="shared" si="2"/>
        <v>0.88626095274184902</v>
      </c>
      <c r="P38" s="332">
        <f t="shared" si="3"/>
        <v>0.82776552248616031</v>
      </c>
      <c r="Q38" s="516">
        <f t="shared" si="4"/>
        <v>0.32898373329578168</v>
      </c>
      <c r="AE38" s="26"/>
      <c r="AF38" s="26"/>
      <c r="AG38" s="26"/>
      <c r="AH38" s="26"/>
      <c r="AI38" s="26"/>
      <c r="AJ38" s="26"/>
      <c r="AK38" s="26"/>
    </row>
    <row r="39" spans="3:37" ht="12.75" customHeight="1" x14ac:dyDescent="0.25">
      <c r="C39" s="512" t="str" cm="1">
        <f t="array" ref="C39">INDEX('List Values'!$B$2:$B$17,(1+ROUNDDOWN((ROW()-ROW($C$5))*1/6,2)))</f>
        <v>Non-PVC Materials Manufacturing (Compounding and Converting)</v>
      </c>
      <c r="D39" s="513" t="s">
        <v>92</v>
      </c>
      <c r="E39" s="514" t="s">
        <v>90</v>
      </c>
      <c r="F39" s="515">
        <f>IF(E39="High-End",SUMIFS(Inhalation_Exp[24hr_High-End],Inhalation_Exp[OES],$C39,Inhalation_Exp[Worker Type],$D39),SUMIFS(Inhalation_Exp[24hr_Central Tendency],Inhalation_Exp[OES],$C39,Inhalation_Exp[Worker Type],$D39))</f>
        <v>3.5749999999999997E-2</v>
      </c>
      <c r="G39" s="394">
        <f>IF(E39="High-End",SUMIFS(Inhalation_Exp[Int_High-End],Inhalation_Exp[OES],$C39,Inhalation_Exp[Worker Type],$D39),SUMIFS(Inhalation_Exp[Int_Central Tendency],Inhalation_Exp[OES],$C39,Inhalation_Exp[Worker Type],$D39))</f>
        <v>2.6216666666666666E-2</v>
      </c>
      <c r="H39" s="394">
        <f>IF(E39="High-End",SUMIFS(Inhalation_Exp[ADD_High-End],Inhalation_Exp[OES],$C39,Inhalation_Exp[Worker Type],$D39),SUMIFS(Inhalation_Exp[ADD_Central Tendency],Inhalation_Exp[OES],$C39,Inhalation_Exp[Worker Type],$D39))</f>
        <v>2.4486301369863014E-2</v>
      </c>
      <c r="I39" s="394">
        <f>IF(E39="High-End",SUMIFS(Inhalation_Exp[LADD_High-End],Inhalation_Exp[OES],$C39,Inhalation_Exp[Worker Type],$D39),SUMIFS(Inhalation_Exp[LADD_Central Tendency],Inhalation_Exp[OES],$C39,Inhalation_Exp[Worker Type],$D39))</f>
        <v>1.2557077625570776E-2</v>
      </c>
      <c r="J39" s="394">
        <f>IF($E39="High-End",SUMIFS(Dermal_Exp[High-End AD (mg/kg-day)],Dermal_Exp[Worker Type],$D39,Dermal_Exp[OES],$C39),SUMIFS(Dermal_Exp[Central Tendency AD (mg/kg-day)],Dermal_Exp[Worker Type],$D39,Dermal_Exp[OES],$C39))</f>
        <v>1.6943380125055349E-2</v>
      </c>
      <c r="K39" s="332">
        <f>IF($E39="High-End",SUMIFS(Dermal_Exp[High-End IADD (mg/kg-day)],Dermal_Exp[Worker Type],$D39,Dermal_Exp[OES],$C39),SUMIFS(Dermal_Exp[Central Tendency IADD (mg/kg-day)],Dermal_Exp[Worker Type],$D39,Dermal_Exp[OES],$C39))</f>
        <v>1.2425145425040588E-2</v>
      </c>
      <c r="L39" s="332">
        <f>IF($E39="High-End",SUMIFS(Dermal_Exp[High-End ADD (mg/kg-day)],Dermal_Exp[Worker Type],$D39,Dermal_Exp[OES],$C39),SUMIFS(Dermal_Exp[Central Tendency ADD (mg/kg-day)],Dermal_Exp[Worker Type],$D39,Dermal_Exp[OES],$C39))</f>
        <v>1.1605054880174895E-2</v>
      </c>
      <c r="M39" s="332">
        <f>IF($E39="High-End",SUMIFS(Dermal_Exp[High-End LADD (mg/kg-day)],Dermal_Exp[Worker Type],$D39,Dermal_Exp[OES],$C39),SUMIFS(Dermal_Exp[Central Tendency LADD (mg/kg-day)],Dermal_Exp[Worker Type],$D39,Dermal_Exp[OES],$C39))</f>
        <v>5.9513101949614849E-3</v>
      </c>
      <c r="N39" s="332">
        <f t="shared" si="5"/>
        <v>5.2693380125055346E-2</v>
      </c>
      <c r="O39" s="332">
        <f t="shared" si="2"/>
        <v>3.8641812091707251E-2</v>
      </c>
      <c r="P39" s="332">
        <f t="shared" si="3"/>
        <v>3.6091356250037912E-2</v>
      </c>
      <c r="Q39" s="516">
        <f t="shared" si="4"/>
        <v>1.8508387820532261E-2</v>
      </c>
      <c r="AE39" s="26"/>
      <c r="AF39" s="26"/>
      <c r="AG39" s="26"/>
      <c r="AH39" s="26"/>
      <c r="AI39" s="26"/>
      <c r="AJ39" s="26"/>
      <c r="AK39" s="26"/>
    </row>
    <row r="40" spans="3:37" ht="12.75" customHeight="1" x14ac:dyDescent="0.25">
      <c r="C40" s="512" t="str" cm="1">
        <f t="array" ref="C40">INDEX('List Values'!$B$2:$B$17,(1+ROUNDDOWN((ROW()-ROW($C$5))*1/6,2)))</f>
        <v>Non-PVC Materials Manufacturing (Compounding and Converting)</v>
      </c>
      <c r="D40" s="513" t="s">
        <v>92</v>
      </c>
      <c r="E40" s="514" t="s">
        <v>91</v>
      </c>
      <c r="F40" s="515">
        <f>IF(E40="High-End",SUMIFS(Inhalation_Exp[24hr_High-End],Inhalation_Exp[OES],$C40,Inhalation_Exp[Worker Type],$D40),SUMIFS(Inhalation_Exp[24hr_Central Tendency],Inhalation_Exp[OES],$C40,Inhalation_Exp[Worker Type],$D40))</f>
        <v>3.5749999999999997E-2</v>
      </c>
      <c r="G40" s="394">
        <f>IF(E40="High-End",SUMIFS(Inhalation_Exp[Int_High-End],Inhalation_Exp[OES],$C40,Inhalation_Exp[Worker Type],$D40),SUMIFS(Inhalation_Exp[Int_Central Tendency],Inhalation_Exp[OES],$C40,Inhalation_Exp[Worker Type],$D40))</f>
        <v>2.6216666666666666E-2</v>
      </c>
      <c r="H40" s="394">
        <f>IF(E40="High-End",SUMIFS(Inhalation_Exp[ADD_High-End],Inhalation_Exp[OES],$C40,Inhalation_Exp[Worker Type],$D40),SUMIFS(Inhalation_Exp[ADD_Central Tendency],Inhalation_Exp[OES],$C40,Inhalation_Exp[Worker Type],$D40))</f>
        <v>2.4486301369863014E-2</v>
      </c>
      <c r="I40" s="394">
        <f>IF(E40="High-End",SUMIFS(Inhalation_Exp[LADD_High-End],Inhalation_Exp[OES],$C40,Inhalation_Exp[Worker Type],$D40),SUMIFS(Inhalation_Exp[LADD_Central Tendency],Inhalation_Exp[OES],$C40,Inhalation_Exp[Worker Type],$D40))</f>
        <v>9.7317351598173521E-3</v>
      </c>
      <c r="J40" s="394">
        <f>IF($E40="High-End",SUMIFS(Dermal_Exp[High-End AD (mg/kg-day)],Dermal_Exp[Worker Type],$D40,Dermal_Exp[OES],$C40),SUMIFS(Dermal_Exp[Central Tendency AD (mg/kg-day)],Dermal_Exp[Worker Type],$D40,Dermal_Exp[OES],$C40))</f>
        <v>1.6943380125055349E-2</v>
      </c>
      <c r="K40" s="332">
        <f>IF($E40="High-End",SUMIFS(Dermal_Exp[High-End IADD (mg/kg-day)],Dermal_Exp[Worker Type],$D40,Dermal_Exp[OES],$C40),SUMIFS(Dermal_Exp[Central Tendency IADD (mg/kg-day)],Dermal_Exp[Worker Type],$D40,Dermal_Exp[OES],$C40))</f>
        <v>1.2425145425040588E-2</v>
      </c>
      <c r="L40" s="332">
        <f>IF($E40="High-End",SUMIFS(Dermal_Exp[High-End ADD (mg/kg-day)],Dermal_Exp[Worker Type],$D40,Dermal_Exp[OES],$C40),SUMIFS(Dermal_Exp[Central Tendency ADD (mg/kg-day)],Dermal_Exp[Worker Type],$D40,Dermal_Exp[OES],$C40))</f>
        <v>1.1605054880174897E-2</v>
      </c>
      <c r="M40" s="332">
        <f>IF($E40="High-End",SUMIFS(Dermal_Exp[High-End LADD (mg/kg-day)],Dermal_Exp[Worker Type],$D40,Dermal_Exp[OES],$C40),SUMIFS(Dermal_Exp[Central Tendency LADD (mg/kg-day)],Dermal_Exp[Worker Type],$D40,Dermal_Exp[OES],$C40))</f>
        <v>4.612265401095151E-3</v>
      </c>
      <c r="N40" s="332">
        <f t="shared" si="5"/>
        <v>5.2693380125055346E-2</v>
      </c>
      <c r="O40" s="332">
        <f t="shared" si="2"/>
        <v>3.8641812091707251E-2</v>
      </c>
      <c r="P40" s="332">
        <f t="shared" si="3"/>
        <v>3.6091356250037912E-2</v>
      </c>
      <c r="Q40" s="516">
        <f t="shared" si="4"/>
        <v>1.4344000560912503E-2</v>
      </c>
      <c r="AE40" s="26"/>
      <c r="AF40" s="26"/>
      <c r="AG40" s="26"/>
      <c r="AH40" s="26"/>
      <c r="AI40" s="26"/>
      <c r="AJ40" s="26"/>
      <c r="AK40" s="26"/>
    </row>
    <row r="41" spans="3:37" ht="12.75" customHeight="1" x14ac:dyDescent="0.25">
      <c r="C41" s="512" t="str" cm="1">
        <f t="array" ref="C41">INDEX('List Values'!$B$2:$B$17,(1+ROUNDDOWN((ROW()-ROW($C$5))*1/6,2)))</f>
        <v>Application of Adhesives and Sealants</v>
      </c>
      <c r="D41" s="513" t="s">
        <v>197</v>
      </c>
      <c r="E41" s="514" t="s">
        <v>90</v>
      </c>
      <c r="F41" s="515">
        <f>IF(E41="High-End",SUMIFS(Inhalation_Exp[24hr_High-End],Inhalation_Exp[OES],$C41,Inhalation_Exp[Worker Type],$D41),SUMIFS(Inhalation_Exp[24hr_Central Tendency],Inhalation_Exp[OES],$C41,Inhalation_Exp[Worker Type],$D41))</f>
        <v>1.2500000000000001E-2</v>
      </c>
      <c r="G41" s="394">
        <f>IF(E41="High-End",SUMIFS(Inhalation_Exp[Int_High-End],Inhalation_Exp[OES],$C41,Inhalation_Exp[Worker Type],$D41),SUMIFS(Inhalation_Exp[Int_Central Tendency],Inhalation_Exp[OES],$C41,Inhalation_Exp[Worker Type],$D41))</f>
        <v>9.1666666666666667E-3</v>
      </c>
      <c r="H41" s="394">
        <f>IF(E41="High-End",SUMIFS(Inhalation_Exp[ADD_High-End],Inhalation_Exp[OES],$C41,Inhalation_Exp[Worker Type],$D41),SUMIFS(Inhalation_Exp[ADD_Central Tendency],Inhalation_Exp[OES],$C41,Inhalation_Exp[Worker Type],$D41))</f>
        <v>8.5616438356164379E-3</v>
      </c>
      <c r="I41" s="394">
        <f>IF(E41="High-End",SUMIFS(Inhalation_Exp[LADD_High-End],Inhalation_Exp[OES],$C41,Inhalation_Exp[Worker Type],$D41),SUMIFS(Inhalation_Exp[LADD_Central Tendency],Inhalation_Exp[OES],$C41,Inhalation_Exp[Worker Type],$D41))</f>
        <v>4.3905865823674044E-3</v>
      </c>
      <c r="J41" s="394">
        <f>IF($E41="High-End",SUMIFS(Dermal_Exp[High-End AD (mg/kg-day)],Dermal_Exp[Worker Type],$D41,Dermal_Exp[OES],$C41),SUMIFS(Dermal_Exp[Central Tendency AD (mg/kg-day)],Dermal_Exp[Worker Type],$D41,Dermal_Exp[OES],$C41))</f>
        <v>2.5100416666666665</v>
      </c>
      <c r="K41" s="332">
        <f>IF($E41="High-End",SUMIFS(Dermal_Exp[High-End IADD (mg/kg-day)],Dermal_Exp[Worker Type],$D41,Dermal_Exp[OES],$C41),SUMIFS(Dermal_Exp[Central Tendency IADD (mg/kg-day)],Dermal_Exp[Worker Type],$D41,Dermal_Exp[OES],$C41))</f>
        <v>1.840697222222222</v>
      </c>
      <c r="L41" s="332">
        <f>IF($E41="High-End",SUMIFS(Dermal_Exp[High-End ADD (mg/kg-day)],Dermal_Exp[Worker Type],$D41,Dermal_Exp[OES],$C41),SUMIFS(Dermal_Exp[Central Tendency ADD (mg/kg-day)],Dermal_Exp[Worker Type],$D41,Dermal_Exp[OES],$C41))</f>
        <v>1.719206621004566</v>
      </c>
      <c r="M41" s="332">
        <f>IF($E41="High-End",SUMIFS(Dermal_Exp[High-End LADD (mg/kg-day)],Dermal_Exp[Worker Type],$D41,Dermal_Exp[OES],$C41),SUMIFS(Dermal_Exp[Central Tendency LADD (mg/kg-day)],Dermal_Exp[Worker Type],$D41,Dermal_Exp[OES],$C41))</f>
        <v>0.88164442102798257</v>
      </c>
      <c r="N41" s="332">
        <f t="shared" si="5"/>
        <v>2.5225416666666667</v>
      </c>
      <c r="O41" s="332">
        <f t="shared" si="2"/>
        <v>1.8498638888888888</v>
      </c>
      <c r="P41" s="332">
        <f t="shared" si="3"/>
        <v>1.7277682648401824</v>
      </c>
      <c r="Q41" s="516">
        <f t="shared" si="4"/>
        <v>0.88603500761034992</v>
      </c>
      <c r="AE41" s="26"/>
      <c r="AF41" s="26"/>
      <c r="AG41" s="26"/>
      <c r="AH41" s="26"/>
      <c r="AI41" s="26"/>
      <c r="AJ41" s="26"/>
      <c r="AK41" s="26"/>
    </row>
    <row r="42" spans="3:37" ht="12.75" customHeight="1" x14ac:dyDescent="0.25">
      <c r="C42" s="512" t="str" cm="1">
        <f t="array" ref="C42">INDEX('List Values'!$B$2:$B$17,(1+ROUNDDOWN((ROW()-ROW($C$5))*1/6,2)))</f>
        <v>Application of Adhesives and Sealants</v>
      </c>
      <c r="D42" s="513" t="s">
        <v>197</v>
      </c>
      <c r="E42" s="514" t="s">
        <v>91</v>
      </c>
      <c r="F42" s="515">
        <f>IF(E42="High-End",SUMIFS(Inhalation_Exp[24hr_High-End],Inhalation_Exp[OES],$C42,Inhalation_Exp[Worker Type],$D42),SUMIFS(Inhalation_Exp[24hr_Central Tendency],Inhalation_Exp[OES],$C42,Inhalation_Exp[Worker Type],$D42))</f>
        <v>6.2500000000000003E-3</v>
      </c>
      <c r="G42" s="394">
        <f>IF(E42="High-End",SUMIFS(Inhalation_Exp[Int_High-End],Inhalation_Exp[OES],$C42,Inhalation_Exp[Worker Type],$D42),SUMIFS(Inhalation_Exp[Int_Central Tendency],Inhalation_Exp[OES],$C42,Inhalation_Exp[Worker Type],$D42))</f>
        <v>4.5833333333333334E-3</v>
      </c>
      <c r="H42" s="394">
        <f>IF(E42="High-End",SUMIFS(Inhalation_Exp[ADD_High-End],Inhalation_Exp[OES],$C42,Inhalation_Exp[Worker Type],$D42),SUMIFS(Inhalation_Exp[ADD_Central Tendency],Inhalation_Exp[OES],$C42,Inhalation_Exp[Worker Type],$D42))</f>
        <v>3.9726027397260274E-3</v>
      </c>
      <c r="I42" s="394">
        <f>IF(E42="High-End",SUMIFS(Inhalation_Exp[LADD_High-End],Inhalation_Exp[OES],$C42,Inhalation_Exp[Worker Type],$D42),SUMIFS(Inhalation_Exp[LADD_Central Tendency],Inhalation_Exp[OES],$C42,Inhalation_Exp[Worker Type],$D42))</f>
        <v>1.5788549350193187E-3</v>
      </c>
      <c r="J42" s="394">
        <f>IF($E42="High-End",SUMIFS(Dermal_Exp[High-End AD (mg/kg-day)],Dermal_Exp[Worker Type],$D42,Dermal_Exp[OES],$C42),SUMIFS(Dermal_Exp[Central Tendency AD (mg/kg-day)],Dermal_Exp[Worker Type],$D42,Dermal_Exp[OES],$C42))</f>
        <v>1.2550208333333333</v>
      </c>
      <c r="K42" s="332">
        <f>IF($E42="High-End",SUMIFS(Dermal_Exp[High-End IADD (mg/kg-day)],Dermal_Exp[Worker Type],$D42,Dermal_Exp[OES],$C42),SUMIFS(Dermal_Exp[Central Tendency IADD (mg/kg-day)],Dermal_Exp[Worker Type],$D42,Dermal_Exp[OES],$C42))</f>
        <v>0.92034861111111099</v>
      </c>
      <c r="L42" s="332">
        <f>IF($E42="High-End",SUMIFS(Dermal_Exp[High-End ADD (mg/kg-day)],Dermal_Exp[Worker Type],$D42,Dermal_Exp[OES],$C42),SUMIFS(Dermal_Exp[Central Tendency ADD (mg/kg-day)],Dermal_Exp[Worker Type],$D42,Dermal_Exp[OES],$C42))</f>
        <v>0.79771187214611861</v>
      </c>
      <c r="M42" s="332">
        <f>IF($E42="High-End",SUMIFS(Dermal_Exp[High-End LADD (mg/kg-day)],Dermal_Exp[Worker Type],$D42,Dermal_Exp[OES],$C42),SUMIFS(Dermal_Exp[Central Tendency LADD (mg/kg-day)],Dermal_Exp[Worker Type],$D42,Dermal_Exp[OES],$C42))</f>
        <v>0.31703933380166255</v>
      </c>
      <c r="N42" s="332">
        <f t="shared" si="5"/>
        <v>1.2612708333333333</v>
      </c>
      <c r="O42" s="332">
        <f t="shared" si="2"/>
        <v>0.92493194444444438</v>
      </c>
      <c r="P42" s="332">
        <f t="shared" si="3"/>
        <v>0.8016844748858446</v>
      </c>
      <c r="Q42" s="516">
        <f t="shared" si="4"/>
        <v>0.31861818873668185</v>
      </c>
      <c r="AE42" s="26"/>
      <c r="AF42" s="26"/>
      <c r="AG42" s="26"/>
      <c r="AH42" s="26"/>
      <c r="AI42" s="26"/>
      <c r="AJ42" s="26"/>
      <c r="AK42" s="26"/>
    </row>
    <row r="43" spans="3:37" ht="12.75" customHeight="1" x14ac:dyDescent="0.25">
      <c r="C43" s="512" t="str" cm="1">
        <f t="array" ref="C43">INDEX('List Values'!$B$2:$B$17,(1+ROUNDDOWN((ROW()-ROW($C$5))*1/6,2)))</f>
        <v>Application of Adhesives and Sealants</v>
      </c>
      <c r="D43" s="513" t="s">
        <v>72</v>
      </c>
      <c r="E43" s="514" t="s">
        <v>90</v>
      </c>
      <c r="F43" s="515">
        <f>IF(E43="High-End",SUMIFS(Inhalation_Exp[24hr_High-End],Inhalation_Exp[OES],$C43,Inhalation_Exp[Worker Type],$D43),SUMIFS(Inhalation_Exp[24hr_Central Tendency],Inhalation_Exp[OES],$C43,Inhalation_Exp[Worker Type],$D43))</f>
        <v>1.3807386952019328E-2</v>
      </c>
      <c r="G43" s="394">
        <f>IF(E43="High-End",SUMIFS(Inhalation_Exp[Int_High-End],Inhalation_Exp[OES],$C43,Inhalation_Exp[Worker Type],$D43),SUMIFS(Inhalation_Exp[Int_Central Tendency],Inhalation_Exp[OES],$C43,Inhalation_Exp[Worker Type],$D43))</f>
        <v>1.0125417098147507E-2</v>
      </c>
      <c r="H43" s="394">
        <f>IF(E43="High-End",SUMIFS(Inhalation_Exp[ADD_High-End],Inhalation_Exp[OES],$C43,Inhalation_Exp[Worker Type],$D43),SUMIFS(Inhalation_Exp[ADD_Central Tendency],Inhalation_Exp[OES],$C43,Inhalation_Exp[Worker Type],$D43))</f>
        <v>9.457114350698171E-3</v>
      </c>
      <c r="I43" s="394">
        <f>IF(E43="High-End",SUMIFS(Inhalation_Exp[LADD_High-End],Inhalation_Exp[OES],$C43,Inhalation_Exp[Worker Type],$D43),SUMIFS(Inhalation_Exp[LADD_Central Tendency],Inhalation_Exp[OES],$C43,Inhalation_Exp[Worker Type],$D43))</f>
        <v>4.8498022311272669E-3</v>
      </c>
      <c r="J43" s="394">
        <f>IF($E43="High-End",SUMIFS(Dermal_Exp[High-End AD (mg/kg-day)],Dermal_Exp[Worker Type],$D43,Dermal_Exp[OES],$C43),SUMIFS(Dermal_Exp[Central Tendency AD (mg/kg-day)],Dermal_Exp[Worker Type],$D43,Dermal_Exp[OES],$C43))</f>
        <v>2.3069521178637196</v>
      </c>
      <c r="K43" s="332">
        <f>IF($E43="High-End",SUMIFS(Dermal_Exp[High-End IADD (mg/kg-day)],Dermal_Exp[Worker Type],$D43,Dermal_Exp[OES],$C43),SUMIFS(Dermal_Exp[Central Tendency IADD (mg/kg-day)],Dermal_Exp[Worker Type],$D43,Dermal_Exp[OES],$C43))</f>
        <v>1.6917648864333943</v>
      </c>
      <c r="L43" s="332">
        <f>IF($E43="High-End",SUMIFS(Dermal_Exp[High-End ADD (mg/kg-day)],Dermal_Exp[Worker Type],$D43,Dermal_Exp[OES],$C43),SUMIFS(Dermal_Exp[Central Tendency ADD (mg/kg-day)],Dermal_Exp[Worker Type],$D43,Dermal_Exp[OES],$C43))</f>
        <v>1.5801041903176161</v>
      </c>
      <c r="M43" s="332">
        <f>IF($E43="High-End",SUMIFS(Dermal_Exp[High-End LADD (mg/kg-day)],Dermal_Exp[Worker Type],$D43,Dermal_Exp[OES],$C43),SUMIFS(Dermal_Exp[Central Tendency LADD (mg/kg-day)],Dermal_Exp[Worker Type],$D43,Dermal_Exp[OES],$C43))</f>
        <v>0.81030984118852112</v>
      </c>
      <c r="N43" s="332">
        <f t="shared" si="5"/>
        <v>2.3207595048157388</v>
      </c>
      <c r="O43" s="332">
        <f t="shared" si="2"/>
        <v>1.7018903035315418</v>
      </c>
      <c r="P43" s="332">
        <f t="shared" si="3"/>
        <v>1.5895613046683141</v>
      </c>
      <c r="Q43" s="516">
        <f t="shared" si="4"/>
        <v>0.81515964341964842</v>
      </c>
      <c r="AE43" s="26"/>
      <c r="AF43" s="26"/>
      <c r="AG43" s="26"/>
      <c r="AH43" s="26"/>
      <c r="AI43" s="26"/>
      <c r="AJ43" s="26"/>
      <c r="AK43" s="26"/>
    </row>
    <row r="44" spans="3:37" ht="12.75" customHeight="1" x14ac:dyDescent="0.25">
      <c r="C44" s="512" t="str" cm="1">
        <f t="array" ref="C44">INDEX('List Values'!$B$2:$B$17,(1+ROUNDDOWN((ROW()-ROW($C$5))*1/6,2)))</f>
        <v>Application of Adhesives and Sealants</v>
      </c>
      <c r="D44" s="513" t="s">
        <v>72</v>
      </c>
      <c r="E44" s="514" t="s">
        <v>91</v>
      </c>
      <c r="F44" s="515">
        <f>IF(E44="High-End",SUMIFS(Inhalation_Exp[24hr_High-End],Inhalation_Exp[OES],$C44,Inhalation_Exp[Worker Type],$D44),SUMIFS(Inhalation_Exp[24hr_Central Tendency],Inhalation_Exp[OES],$C44,Inhalation_Exp[Worker Type],$D44))</f>
        <v>6.9036934760096638E-3</v>
      </c>
      <c r="G44" s="394">
        <f>IF(E44="High-End",SUMIFS(Inhalation_Exp[Int_High-End],Inhalation_Exp[OES],$C44,Inhalation_Exp[Worker Type],$D44),SUMIFS(Inhalation_Exp[Int_Central Tendency],Inhalation_Exp[OES],$C44,Inhalation_Exp[Worker Type],$D44))</f>
        <v>5.0627085490737534E-3</v>
      </c>
      <c r="H44" s="394">
        <f>IF(E44="High-End",SUMIFS(Inhalation_Exp[ADD_High-End],Inhalation_Exp[OES],$C44,Inhalation_Exp[Worker Type],$D44),SUMIFS(Inhalation_Exp[ADD_Central Tendency],Inhalation_Exp[OES],$C44,Inhalation_Exp[Worker Type],$D44))</f>
        <v>4.3881010587239503E-3</v>
      </c>
      <c r="I44" s="394">
        <f>IF(E44="High-End",SUMIFS(Inhalation_Exp[LADD_High-End],Inhalation_Exp[OES],$C44,Inhalation_Exp[Worker Type],$D44),SUMIFS(Inhalation_Exp[LADD_Central Tendency],Inhalation_Exp[OES],$C44,Inhalation_Exp[Worker Type],$D44))</f>
        <v>1.7439888823133651E-3</v>
      </c>
      <c r="J44" s="394">
        <f>IF($E44="High-End",SUMIFS(Dermal_Exp[High-End AD (mg/kg-day)],Dermal_Exp[Worker Type],$D44,Dermal_Exp[OES],$C44),SUMIFS(Dermal_Exp[Central Tendency AD (mg/kg-day)],Dermal_Exp[Worker Type],$D44,Dermal_Exp[OES],$C44))</f>
        <v>1.1534760589318598</v>
      </c>
      <c r="K44" s="332">
        <f>IF($E44="High-End",SUMIFS(Dermal_Exp[High-End IADD (mg/kg-day)],Dermal_Exp[Worker Type],$D44,Dermal_Exp[OES],$C44),SUMIFS(Dermal_Exp[Central Tendency IADD (mg/kg-day)],Dermal_Exp[Worker Type],$D44,Dermal_Exp[OES],$C44))</f>
        <v>0.84588244321669714</v>
      </c>
      <c r="L44" s="332">
        <f>IF($E44="High-End",SUMIFS(Dermal_Exp[High-End ADD (mg/kg-day)],Dermal_Exp[Worker Type],$D44,Dermal_Exp[OES],$C44),SUMIFS(Dermal_Exp[Central Tendency ADD (mg/kg-day)],Dermal_Exp[Worker Type],$D44,Dermal_Exp[OES],$C44))</f>
        <v>0.73316834430737388</v>
      </c>
      <c r="M44" s="332">
        <f>IF($E44="High-End",SUMIFS(Dermal_Exp[High-End LADD (mg/kg-day)],Dermal_Exp[Worker Type],$D44,Dermal_Exp[OES],$C44),SUMIFS(Dermal_Exp[Central Tendency LADD (mg/kg-day)],Dermal_Exp[Worker Type],$D44,Dermal_Exp[OES],$C44))</f>
        <v>0.29138741889139219</v>
      </c>
      <c r="N44" s="332">
        <f t="shared" si="5"/>
        <v>1.1603797524078694</v>
      </c>
      <c r="O44" s="332">
        <f t="shared" si="2"/>
        <v>0.8509451517657709</v>
      </c>
      <c r="P44" s="332">
        <f t="shared" si="3"/>
        <v>0.73755644536609788</v>
      </c>
      <c r="Q44" s="516">
        <f t="shared" si="4"/>
        <v>0.29313140777370555</v>
      </c>
      <c r="AE44" s="26"/>
      <c r="AF44" s="26"/>
      <c r="AG44" s="26"/>
      <c r="AH44" s="26"/>
      <c r="AI44" s="26"/>
      <c r="AJ44" s="26"/>
      <c r="AK44" s="26"/>
    </row>
    <row r="45" spans="3:37" ht="12.75" customHeight="1" x14ac:dyDescent="0.25">
      <c r="C45" s="512" t="str" cm="1">
        <f t="array" ref="C45">INDEX('List Values'!$B$2:$B$17,(1+ROUNDDOWN((ROW()-ROW($C$5))*1/6,2)))</f>
        <v>Application of Adhesives and Sealants</v>
      </c>
      <c r="D45" s="513" t="s">
        <v>92</v>
      </c>
      <c r="E45" s="514" t="s">
        <v>90</v>
      </c>
      <c r="F45" s="515">
        <f>IF(E45="High-End",SUMIFS(Inhalation_Exp[24hr_High-End],Inhalation_Exp[OES],$C45,Inhalation_Exp[Worker Type],$D45),SUMIFS(Inhalation_Exp[24hr_Central Tendency],Inhalation_Exp[OES],$C45,Inhalation_Exp[Worker Type],$D45))</f>
        <v>6.2500000000000003E-3</v>
      </c>
      <c r="G45" s="394">
        <f>IF(E45="High-End",SUMIFS(Inhalation_Exp[Int_High-End],Inhalation_Exp[OES],$C45,Inhalation_Exp[Worker Type],$D45),SUMIFS(Inhalation_Exp[Int_Central Tendency],Inhalation_Exp[OES],$C45,Inhalation_Exp[Worker Type],$D45))</f>
        <v>4.5833333333333334E-3</v>
      </c>
      <c r="H45" s="394">
        <f>IF(E45="High-End",SUMIFS(Inhalation_Exp[ADD_High-End],Inhalation_Exp[OES],$C45,Inhalation_Exp[Worker Type],$D45),SUMIFS(Inhalation_Exp[ADD_Central Tendency],Inhalation_Exp[OES],$C45,Inhalation_Exp[Worker Type],$D45))</f>
        <v>4.2808219178082189E-3</v>
      </c>
      <c r="I45" s="394">
        <f>IF(E45="High-End",SUMIFS(Inhalation_Exp[LADD_High-End],Inhalation_Exp[OES],$C45,Inhalation_Exp[Worker Type],$D45),SUMIFS(Inhalation_Exp[LADD_Central Tendency],Inhalation_Exp[OES],$C45,Inhalation_Exp[Worker Type],$D45))</f>
        <v>2.1952932911837022E-3</v>
      </c>
      <c r="J45" s="394">
        <f>IF($E45="High-End",SUMIFS(Dermal_Exp[High-End AD (mg/kg-day)],Dermal_Exp[Worker Type],$D45,Dermal_Exp[OES],$C45),SUMIFS(Dermal_Exp[Central Tendency AD (mg/kg-day)],Dermal_Exp[Worker Type],$D45,Dermal_Exp[OES],$C45))</f>
        <v>1.2550208333333333</v>
      </c>
      <c r="K45" s="332">
        <f>IF($E45="High-End",SUMIFS(Dermal_Exp[High-End IADD (mg/kg-day)],Dermal_Exp[Worker Type],$D45,Dermal_Exp[OES],$C45),SUMIFS(Dermal_Exp[Central Tendency IADD (mg/kg-day)],Dermal_Exp[Worker Type],$D45,Dermal_Exp[OES],$C45))</f>
        <v>0.92034861111111099</v>
      </c>
      <c r="L45" s="332">
        <f>IF($E45="High-End",SUMIFS(Dermal_Exp[High-End ADD (mg/kg-day)],Dermal_Exp[Worker Type],$D45,Dermal_Exp[OES],$C45),SUMIFS(Dermal_Exp[Central Tendency ADD (mg/kg-day)],Dermal_Exp[Worker Type],$D45,Dermal_Exp[OES],$C45))</f>
        <v>0.859603310502283</v>
      </c>
      <c r="M45" s="332">
        <f>IF($E45="High-End",SUMIFS(Dermal_Exp[High-End LADD (mg/kg-day)],Dermal_Exp[Worker Type],$D45,Dermal_Exp[OES],$C45),SUMIFS(Dermal_Exp[Central Tendency LADD (mg/kg-day)],Dermal_Exp[Worker Type],$D45,Dermal_Exp[OES],$C45))</f>
        <v>0.44082221051399129</v>
      </c>
      <c r="N45" s="332">
        <f t="shared" si="5"/>
        <v>1.2612708333333333</v>
      </c>
      <c r="O45" s="332">
        <f t="shared" si="2"/>
        <v>0.92493194444444438</v>
      </c>
      <c r="P45" s="332">
        <f t="shared" si="3"/>
        <v>0.86388413242009121</v>
      </c>
      <c r="Q45" s="516">
        <f t="shared" si="4"/>
        <v>0.44301750380517496</v>
      </c>
      <c r="AE45" s="26"/>
      <c r="AF45" s="26"/>
      <c r="AG45" s="26"/>
      <c r="AH45" s="26"/>
      <c r="AI45" s="26"/>
      <c r="AJ45" s="26"/>
      <c r="AK45" s="26"/>
    </row>
    <row r="46" spans="3:37" ht="12.75" customHeight="1" x14ac:dyDescent="0.25">
      <c r="C46" s="512" t="str" cm="1">
        <f t="array" ref="C46">INDEX('List Values'!$B$2:$B$17,(1+ROUNDDOWN((ROW()-ROW($C$5))*1/6,2)))</f>
        <v>Application of Adhesives and Sealants</v>
      </c>
      <c r="D46" s="513" t="s">
        <v>92</v>
      </c>
      <c r="E46" s="514" t="s">
        <v>91</v>
      </c>
      <c r="F46" s="515">
        <f>IF(E46="High-End",SUMIFS(Inhalation_Exp[24hr_High-End],Inhalation_Exp[OES],$C46,Inhalation_Exp[Worker Type],$D46),SUMIFS(Inhalation_Exp[24hr_Central Tendency],Inhalation_Exp[OES],$C46,Inhalation_Exp[Worker Type],$D46))</f>
        <v>6.2500000000000003E-3</v>
      </c>
      <c r="G46" s="394">
        <f>IF(E46="High-End",SUMIFS(Inhalation_Exp[Int_High-End],Inhalation_Exp[OES],$C46,Inhalation_Exp[Worker Type],$D46),SUMIFS(Inhalation_Exp[Int_Central Tendency],Inhalation_Exp[OES],$C46,Inhalation_Exp[Worker Type],$D46))</f>
        <v>4.5833333333333334E-3</v>
      </c>
      <c r="H46" s="394">
        <f>IF(E46="High-End",SUMIFS(Inhalation_Exp[ADD_High-End],Inhalation_Exp[OES],$C46,Inhalation_Exp[Worker Type],$D46),SUMIFS(Inhalation_Exp[ADD_Central Tendency],Inhalation_Exp[OES],$C46,Inhalation_Exp[Worker Type],$D46))</f>
        <v>3.9726027397260274E-3</v>
      </c>
      <c r="I46" s="394">
        <f>IF(E46="High-End",SUMIFS(Inhalation_Exp[LADD_High-End],Inhalation_Exp[OES],$C46,Inhalation_Exp[Worker Type],$D46),SUMIFS(Inhalation_Exp[LADD_Central Tendency],Inhalation_Exp[OES],$C46,Inhalation_Exp[Worker Type],$D46))</f>
        <v>1.5788549350193187E-3</v>
      </c>
      <c r="J46" s="394">
        <f>IF($E46="High-End",SUMIFS(Dermal_Exp[High-End AD (mg/kg-day)],Dermal_Exp[Worker Type],$D46,Dermal_Exp[OES],$C46),SUMIFS(Dermal_Exp[Central Tendency AD (mg/kg-day)],Dermal_Exp[Worker Type],$D46,Dermal_Exp[OES],$C46))</f>
        <v>1.2550208333333333</v>
      </c>
      <c r="K46" s="332">
        <f>IF($E46="High-End",SUMIFS(Dermal_Exp[High-End IADD (mg/kg-day)],Dermal_Exp[Worker Type],$D46,Dermal_Exp[OES],$C46),SUMIFS(Dermal_Exp[Central Tendency IADD (mg/kg-day)],Dermal_Exp[Worker Type],$D46,Dermal_Exp[OES],$C46))</f>
        <v>0.92034861111111099</v>
      </c>
      <c r="L46" s="332">
        <f>IF($E46="High-End",SUMIFS(Dermal_Exp[High-End ADD (mg/kg-day)],Dermal_Exp[Worker Type],$D46,Dermal_Exp[OES],$C46),SUMIFS(Dermal_Exp[Central Tendency ADD (mg/kg-day)],Dermal_Exp[Worker Type],$D46,Dermal_Exp[OES],$C46))</f>
        <v>0.79771187214611861</v>
      </c>
      <c r="M46" s="332">
        <f>IF($E46="High-End",SUMIFS(Dermal_Exp[High-End LADD (mg/kg-day)],Dermal_Exp[Worker Type],$D46,Dermal_Exp[OES],$C46),SUMIFS(Dermal_Exp[Central Tendency LADD (mg/kg-day)],Dermal_Exp[Worker Type],$D46,Dermal_Exp[OES],$C46))</f>
        <v>0.31703933380166255</v>
      </c>
      <c r="N46" s="332">
        <f t="shared" si="5"/>
        <v>1.2612708333333333</v>
      </c>
      <c r="O46" s="332">
        <f t="shared" si="2"/>
        <v>0.92493194444444438</v>
      </c>
      <c r="P46" s="332">
        <f t="shared" si="3"/>
        <v>0.8016844748858446</v>
      </c>
      <c r="Q46" s="516">
        <f t="shared" si="4"/>
        <v>0.31861818873668185</v>
      </c>
      <c r="AE46" s="26"/>
      <c r="AF46" s="26"/>
      <c r="AG46" s="26"/>
      <c r="AH46" s="26"/>
      <c r="AI46" s="26"/>
      <c r="AJ46" s="26"/>
      <c r="AK46" s="26"/>
    </row>
    <row r="47" spans="3:37" ht="12.75" customHeight="1" x14ac:dyDescent="0.25">
      <c r="C47" s="512" t="str" cm="1">
        <f t="array" ref="C47">INDEX('List Values'!$B$2:$B$17,(1+ROUNDDOWN((ROW()-ROW($C$5))*1/6,2)))</f>
        <v>Application of Paints and Coatings</v>
      </c>
      <c r="D47" s="513" t="s">
        <v>197</v>
      </c>
      <c r="E47" s="514" t="s">
        <v>90</v>
      </c>
      <c r="F47" s="515">
        <f>IF(E47="High-End",SUMIFS(Inhalation_Exp[24hr_High-End],Inhalation_Exp[OES],$C47,Inhalation_Exp[Worker Type],$D47),SUMIFS(Inhalation_Exp[24hr_Central Tendency],Inhalation_Exp[OES],$C47,Inhalation_Exp[Worker Type],$D47))</f>
        <v>0.65549999999999986</v>
      </c>
      <c r="G47" s="394">
        <f>IF(E47="High-End",SUMIFS(Inhalation_Exp[Int_High-End],Inhalation_Exp[OES],$C47,Inhalation_Exp[Worker Type],$D47),SUMIFS(Inhalation_Exp[Int_Central Tendency],Inhalation_Exp[OES],$C47,Inhalation_Exp[Worker Type],$D47))</f>
        <v>0.48069999999999991</v>
      </c>
      <c r="H47" s="394">
        <f>IF(E47="High-End",SUMIFS(Inhalation_Exp[ADD_High-End],Inhalation_Exp[OES],$C47,Inhalation_Exp[Worker Type],$D47),SUMIFS(Inhalation_Exp[ADD_Central Tendency],Inhalation_Exp[OES],$C47,Inhalation_Exp[Worker Type],$D47))</f>
        <v>0.44897260273972595</v>
      </c>
      <c r="I47" s="394">
        <f>IF(E47="High-End",SUMIFS(Inhalation_Exp[LADD_High-End],Inhalation_Exp[OES],$C47,Inhalation_Exp[Worker Type],$D47),SUMIFS(Inhalation_Exp[LADD_Central Tendency],Inhalation_Exp[OES],$C47,Inhalation_Exp[Worker Type],$D47))</f>
        <v>0.23024236037934664</v>
      </c>
      <c r="J47" s="394">
        <f>IF($E47="High-End",SUMIFS(Dermal_Exp[High-End AD (mg/kg-day)],Dermal_Exp[Worker Type],$D47,Dermal_Exp[OES],$C47),SUMIFS(Dermal_Exp[Central Tendency AD (mg/kg-day)],Dermal_Exp[Worker Type],$D47,Dermal_Exp[OES],$C47))</f>
        <v>2.5100416666666665</v>
      </c>
      <c r="K47" s="332">
        <f>IF($E47="High-End",SUMIFS(Dermal_Exp[High-End IADD (mg/kg-day)],Dermal_Exp[Worker Type],$D47,Dermal_Exp[OES],$C47),SUMIFS(Dermal_Exp[Central Tendency IADD (mg/kg-day)],Dermal_Exp[Worker Type],$D47,Dermal_Exp[OES],$C47))</f>
        <v>1.840697222222222</v>
      </c>
      <c r="L47" s="332">
        <f>IF($E47="High-End",SUMIFS(Dermal_Exp[High-End ADD (mg/kg-day)],Dermal_Exp[Worker Type],$D47,Dermal_Exp[OES],$C47),SUMIFS(Dermal_Exp[Central Tendency ADD (mg/kg-day)],Dermal_Exp[Worker Type],$D47,Dermal_Exp[OES],$C47))</f>
        <v>1.719206621004566</v>
      </c>
      <c r="M47" s="332">
        <f>IF($E47="High-End",SUMIFS(Dermal_Exp[High-End LADD (mg/kg-day)],Dermal_Exp[Worker Type],$D47,Dermal_Exp[OES],$C47),SUMIFS(Dermal_Exp[Central Tendency LADD (mg/kg-day)],Dermal_Exp[Worker Type],$D47,Dermal_Exp[OES],$C47))</f>
        <v>0.88164442102798257</v>
      </c>
      <c r="N47" s="332">
        <f t="shared" si="5"/>
        <v>3.1655416666666665</v>
      </c>
      <c r="O47" s="332">
        <f t="shared" si="2"/>
        <v>2.3213972222222221</v>
      </c>
      <c r="P47" s="332">
        <f t="shared" si="3"/>
        <v>2.1681792237442918</v>
      </c>
      <c r="Q47" s="516">
        <f t="shared" si="4"/>
        <v>1.1118867814073292</v>
      </c>
      <c r="AE47" s="26"/>
      <c r="AF47" s="26"/>
      <c r="AG47" s="26"/>
      <c r="AH47" s="26"/>
      <c r="AI47" s="26"/>
      <c r="AJ47" s="26"/>
      <c r="AK47" s="26"/>
    </row>
    <row r="48" spans="3:37" ht="12.75" customHeight="1" x14ac:dyDescent="0.25">
      <c r="C48" s="512" t="str" cm="1">
        <f t="array" ref="C48">INDEX('List Values'!$B$2:$B$17,(1+ROUNDDOWN((ROW()-ROW($C$5))*1/6,2)))</f>
        <v>Application of Paints and Coatings</v>
      </c>
      <c r="D48" s="513" t="s">
        <v>197</v>
      </c>
      <c r="E48" s="514" t="s">
        <v>91</v>
      </c>
      <c r="F48" s="515">
        <f>IF(E48="High-End",SUMIFS(Inhalation_Exp[24hr_High-End],Inhalation_Exp[OES],$C48,Inhalation_Exp[Worker Type],$D48),SUMIFS(Inhalation_Exp[24hr_Central Tendency],Inhalation_Exp[OES],$C48,Inhalation_Exp[Worker Type],$D48))</f>
        <v>0.10312499999999999</v>
      </c>
      <c r="G48" s="394">
        <f>IF(E48="High-End",SUMIFS(Inhalation_Exp[Int_High-End],Inhalation_Exp[OES],$C48,Inhalation_Exp[Worker Type],$D48),SUMIFS(Inhalation_Exp[Int_Central Tendency],Inhalation_Exp[OES],$C48,Inhalation_Exp[Worker Type],$D48))</f>
        <v>7.5624999999999998E-2</v>
      </c>
      <c r="H48" s="394">
        <f>IF(E48="High-End",SUMIFS(Inhalation_Exp[ADD_High-End],Inhalation_Exp[OES],$C48,Inhalation_Exp[Worker Type],$D48),SUMIFS(Inhalation_Exp[ADD_Central Tendency],Inhalation_Exp[OES],$C48,Inhalation_Exp[Worker Type],$D48))</f>
        <v>7.0633561643835621E-2</v>
      </c>
      <c r="I48" s="394">
        <f>IF(E48="High-End",SUMIFS(Inhalation_Exp[LADD_High-End],Inhalation_Exp[OES],$C48,Inhalation_Exp[Worker Type],$D48),SUMIFS(Inhalation_Exp[LADD_Central Tendency],Inhalation_Exp[OES],$C48,Inhalation_Exp[Worker Type],$D48))</f>
        <v>2.8072312961011592E-2</v>
      </c>
      <c r="J48" s="394">
        <f>IF($E48="High-End",SUMIFS(Dermal_Exp[High-End AD (mg/kg-day)],Dermal_Exp[Worker Type],$D48,Dermal_Exp[OES],$C48),SUMIFS(Dermal_Exp[Central Tendency AD (mg/kg-day)],Dermal_Exp[Worker Type],$D48,Dermal_Exp[OES],$C48))</f>
        <v>1.2550208333333333</v>
      </c>
      <c r="K48" s="332">
        <f>IF($E48="High-End",SUMIFS(Dermal_Exp[High-End IADD (mg/kg-day)],Dermal_Exp[Worker Type],$D48,Dermal_Exp[OES],$C48),SUMIFS(Dermal_Exp[Central Tendency IADD (mg/kg-day)],Dermal_Exp[Worker Type],$D48,Dermal_Exp[OES],$C48))</f>
        <v>0.92034861111111099</v>
      </c>
      <c r="L48" s="332">
        <f>IF($E48="High-End",SUMIFS(Dermal_Exp[High-End ADD (mg/kg-day)],Dermal_Exp[Worker Type],$D48,Dermal_Exp[OES],$C48),SUMIFS(Dermal_Exp[Central Tendency ADD (mg/kg-day)],Dermal_Exp[Worker Type],$D48,Dermal_Exp[OES],$C48))</f>
        <v>0.859603310502283</v>
      </c>
      <c r="M48" s="332">
        <f>IF($E48="High-End",SUMIFS(Dermal_Exp[High-End LADD (mg/kg-day)],Dermal_Exp[Worker Type],$D48,Dermal_Exp[OES],$C48),SUMIFS(Dermal_Exp[Central Tendency LADD (mg/kg-day)],Dermal_Exp[Worker Type],$D48,Dermal_Exp[OES],$C48))</f>
        <v>0.34163721314834322</v>
      </c>
      <c r="N48" s="332">
        <f t="shared" si="5"/>
        <v>1.3581458333333332</v>
      </c>
      <c r="O48" s="332">
        <f t="shared" si="2"/>
        <v>0.99597361111111105</v>
      </c>
      <c r="P48" s="332">
        <f t="shared" si="3"/>
        <v>0.93023687214611861</v>
      </c>
      <c r="Q48" s="516">
        <f t="shared" si="4"/>
        <v>0.36970952610935481</v>
      </c>
      <c r="AE48" s="26"/>
      <c r="AF48" s="26"/>
      <c r="AG48" s="26"/>
      <c r="AH48" s="26"/>
      <c r="AI48" s="26"/>
      <c r="AJ48" s="26"/>
      <c r="AK48" s="26"/>
    </row>
    <row r="49" spans="3:37" x14ac:dyDescent="0.25">
      <c r="C49" s="512" t="str" cm="1">
        <f t="array" ref="C49">INDEX('List Values'!$B$2:$B$17,(1+ROUNDDOWN((ROW()-ROW($C$5))*1/6,2)))</f>
        <v>Application of Paints and Coatings</v>
      </c>
      <c r="D49" s="513" t="s">
        <v>72</v>
      </c>
      <c r="E49" s="514" t="s">
        <v>90</v>
      </c>
      <c r="F49" s="515">
        <f>IF(E49="High-End",SUMIFS(Inhalation_Exp[24hr_High-End],Inhalation_Exp[OES],$C49,Inhalation_Exp[Worker Type],$D49),SUMIFS(Inhalation_Exp[24hr_Central Tendency],Inhalation_Exp[OES],$C49,Inhalation_Exp[Worker Type],$D49))</f>
        <v>0.72405937176389346</v>
      </c>
      <c r="G49" s="394">
        <f>IF(E49="High-End",SUMIFS(Inhalation_Exp[Int_High-End],Inhalation_Exp[OES],$C49,Inhalation_Exp[Worker Type],$D49),SUMIFS(Inhalation_Exp[Int_Central Tendency],Inhalation_Exp[OES],$C49,Inhalation_Exp[Worker Type],$D49))</f>
        <v>0.53097687262685522</v>
      </c>
      <c r="H49" s="394">
        <f>IF(E49="High-End",SUMIFS(Inhalation_Exp[ADD_High-End],Inhalation_Exp[OES],$C49,Inhalation_Exp[Worker Type],$D49),SUMIFS(Inhalation_Exp[ADD_Central Tendency],Inhalation_Exp[OES],$C49,Inhalation_Exp[Worker Type],$D49))</f>
        <v>0.49593107655061192</v>
      </c>
      <c r="I49" s="394">
        <f>IF(E49="High-End",SUMIFS(Inhalation_Exp[LADD_High-End],Inhalation_Exp[OES],$C49,Inhalation_Exp[Worker Type],$D49),SUMIFS(Inhalation_Exp[LADD_Central Tendency],Inhalation_Exp[OES],$C49,Inhalation_Exp[Worker Type],$D49))</f>
        <v>0.2543236290003138</v>
      </c>
      <c r="J49" s="394">
        <f>IF($E49="High-End",SUMIFS(Dermal_Exp[High-End AD (mg/kg-day)],Dermal_Exp[Worker Type],$D49,Dermal_Exp[OES],$C49),SUMIFS(Dermal_Exp[Central Tendency AD (mg/kg-day)],Dermal_Exp[Worker Type],$D49,Dermal_Exp[OES],$C49))</f>
        <v>2.3069521178637196</v>
      </c>
      <c r="K49" s="332">
        <f>IF($E49="High-End",SUMIFS(Dermal_Exp[High-End IADD (mg/kg-day)],Dermal_Exp[Worker Type],$D49,Dermal_Exp[OES],$C49),SUMIFS(Dermal_Exp[Central Tendency IADD (mg/kg-day)],Dermal_Exp[Worker Type],$D49,Dermal_Exp[OES],$C49))</f>
        <v>1.6917648864333943</v>
      </c>
      <c r="L49" s="332">
        <f>IF($E49="High-End",SUMIFS(Dermal_Exp[High-End ADD (mg/kg-day)],Dermal_Exp[Worker Type],$D49,Dermal_Exp[OES],$C49),SUMIFS(Dermal_Exp[Central Tendency ADD (mg/kg-day)],Dermal_Exp[Worker Type],$D49,Dermal_Exp[OES],$C49))</f>
        <v>1.5801041903176161</v>
      </c>
      <c r="M49" s="332">
        <f>IF($E49="High-End",SUMIFS(Dermal_Exp[High-End LADD (mg/kg-day)],Dermal_Exp[Worker Type],$D49,Dermal_Exp[OES],$C49),SUMIFS(Dermal_Exp[Central Tendency LADD (mg/kg-day)],Dermal_Exp[Worker Type],$D49,Dermal_Exp[OES],$C49))</f>
        <v>0.81030984118852112</v>
      </c>
      <c r="N49" s="332">
        <f t="shared" si="5"/>
        <v>3.031011489627613</v>
      </c>
      <c r="O49" s="332">
        <f t="shared" si="2"/>
        <v>2.2227417590602494</v>
      </c>
      <c r="P49" s="332">
        <f t="shared" si="3"/>
        <v>2.076035266868228</v>
      </c>
      <c r="Q49" s="516">
        <f t="shared" si="4"/>
        <v>1.0646334701888349</v>
      </c>
      <c r="AE49" s="26"/>
      <c r="AF49" s="26"/>
      <c r="AG49" s="26"/>
      <c r="AH49" s="26"/>
      <c r="AI49" s="26"/>
      <c r="AJ49" s="26"/>
      <c r="AK49" s="26"/>
    </row>
    <row r="50" spans="3:37" x14ac:dyDescent="0.25">
      <c r="C50" s="512" t="str" cm="1">
        <f t="array" ref="C50">INDEX('List Values'!$B$2:$B$17,(1+ROUNDDOWN((ROW()-ROW($C$5))*1/6,2)))</f>
        <v>Application of Paints and Coatings</v>
      </c>
      <c r="D50" s="513" t="s">
        <v>72</v>
      </c>
      <c r="E50" s="514" t="s">
        <v>91</v>
      </c>
      <c r="F50" s="515">
        <f>IF(E50="High-End",SUMIFS(Inhalation_Exp[24hr_High-End],Inhalation_Exp[OES],$C50,Inhalation_Exp[Worker Type],$D50),SUMIFS(Inhalation_Exp[24hr_Central Tendency],Inhalation_Exp[OES],$C50,Inhalation_Exp[Worker Type],$D50))</f>
        <v>0.11391094235415945</v>
      </c>
      <c r="G50" s="394">
        <f>IF(E50="High-End",SUMIFS(Inhalation_Exp[Int_High-End],Inhalation_Exp[OES],$C50,Inhalation_Exp[Worker Type],$D50),SUMIFS(Inhalation_Exp[Int_Central Tendency],Inhalation_Exp[OES],$C50,Inhalation_Exp[Worker Type],$D50))</f>
        <v>8.3534691059716934E-2</v>
      </c>
      <c r="H50" s="394">
        <f>IF(E50="High-End",SUMIFS(Inhalation_Exp[ADD_High-End],Inhalation_Exp[OES],$C50,Inhalation_Exp[Worker Type],$D50),SUMIFS(Inhalation_Exp[ADD_Central Tendency],Inhalation_Exp[OES],$C50,Inhalation_Exp[Worker Type],$D50))</f>
        <v>7.8021193393259899E-2</v>
      </c>
      <c r="I50" s="394">
        <f>IF(E50="High-End",SUMIFS(Inhalation_Exp[LADD_High-End],Inhalation_Exp[OES],$C50,Inhalation_Exp[Worker Type],$D50),SUMIFS(Inhalation_Exp[LADD_Central Tendency],Inhalation_Exp[OES],$C50,Inhalation_Exp[Worker Type],$D50))</f>
        <v>3.1008423015269963E-2</v>
      </c>
      <c r="J50" s="394">
        <f>IF($E50="High-End",SUMIFS(Dermal_Exp[High-End AD (mg/kg-day)],Dermal_Exp[Worker Type],$D50,Dermal_Exp[OES],$C50),SUMIFS(Dermal_Exp[Central Tendency AD (mg/kg-day)],Dermal_Exp[Worker Type],$D50,Dermal_Exp[OES],$C50))</f>
        <v>1.1534760589318598</v>
      </c>
      <c r="K50" s="332">
        <f>IF($E50="High-End",SUMIFS(Dermal_Exp[High-End IADD (mg/kg-day)],Dermal_Exp[Worker Type],$D50,Dermal_Exp[OES],$C50),SUMIFS(Dermal_Exp[Central Tendency IADD (mg/kg-day)],Dermal_Exp[Worker Type],$D50,Dermal_Exp[OES],$C50))</f>
        <v>0.84588244321669714</v>
      </c>
      <c r="L50" s="332">
        <f>IF($E50="High-End",SUMIFS(Dermal_Exp[High-End ADD (mg/kg-day)],Dermal_Exp[Worker Type],$D50,Dermal_Exp[OES],$C50),SUMIFS(Dermal_Exp[Central Tendency ADD (mg/kg-day)],Dermal_Exp[Worker Type],$D50,Dermal_Exp[OES],$C50))</f>
        <v>0.79005209515880803</v>
      </c>
      <c r="M50" s="332">
        <f>IF($E50="High-End",SUMIFS(Dermal_Exp[High-End LADD (mg/kg-day)],Dermal_Exp[Worker Type],$D50,Dermal_Exp[OES],$C50),SUMIFS(Dermal_Exp[Central Tendency LADD (mg/kg-day)],Dermal_Exp[Worker Type],$D50,Dermal_Exp[OES],$C50))</f>
        <v>0.31399506346055195</v>
      </c>
      <c r="N50" s="332">
        <f t="shared" si="5"/>
        <v>1.2673870012860193</v>
      </c>
      <c r="O50" s="332">
        <f t="shared" si="2"/>
        <v>0.92941713427641404</v>
      </c>
      <c r="P50" s="332">
        <f t="shared" si="3"/>
        <v>0.86807328855206789</v>
      </c>
      <c r="Q50" s="516">
        <f t="shared" si="4"/>
        <v>0.34500348647582191</v>
      </c>
      <c r="AE50" s="26"/>
      <c r="AF50" s="26"/>
      <c r="AG50" s="26"/>
      <c r="AH50" s="26"/>
      <c r="AI50" s="26"/>
      <c r="AJ50" s="26"/>
      <c r="AK50" s="26"/>
    </row>
    <row r="51" spans="3:37" x14ac:dyDescent="0.25">
      <c r="C51" s="512" t="str" cm="1">
        <f t="array" ref="C51">INDEX('List Values'!$B$2:$B$17,(1+ROUNDDOWN((ROW()-ROW($C$5))*1/6,2)))</f>
        <v>Application of Paints and Coatings</v>
      </c>
      <c r="D51" s="513" t="s">
        <v>92</v>
      </c>
      <c r="E51" s="514" t="s">
        <v>90</v>
      </c>
      <c r="F51" s="515">
        <f>IF(E51="High-End",SUMIFS(Inhalation_Exp[24hr_High-End],Inhalation_Exp[OES],$C51,Inhalation_Exp[Worker Type],$D51),SUMIFS(Inhalation_Exp[24hr_Central Tendency],Inhalation_Exp[OES],$C51,Inhalation_Exp[Worker Type],$D51))</f>
        <v>0.10312499999999999</v>
      </c>
      <c r="G51" s="394">
        <f>IF(E51="High-End",SUMIFS(Inhalation_Exp[Int_High-End],Inhalation_Exp[OES],$C51,Inhalation_Exp[Worker Type],$D51),SUMIFS(Inhalation_Exp[Int_Central Tendency],Inhalation_Exp[OES],$C51,Inhalation_Exp[Worker Type],$D51))</f>
        <v>7.5624999999999998E-2</v>
      </c>
      <c r="H51" s="394">
        <f>IF(E51="High-End",SUMIFS(Inhalation_Exp[ADD_High-End],Inhalation_Exp[OES],$C51,Inhalation_Exp[Worker Type],$D51),SUMIFS(Inhalation_Exp[ADD_Central Tendency],Inhalation_Exp[OES],$C51,Inhalation_Exp[Worker Type],$D51))</f>
        <v>7.0633561643835621E-2</v>
      </c>
      <c r="I51" s="394">
        <f>IF(E51="High-End",SUMIFS(Inhalation_Exp[LADD_High-End],Inhalation_Exp[OES],$C51,Inhalation_Exp[Worker Type],$D51),SUMIFS(Inhalation_Exp[LADD_Central Tendency],Inhalation_Exp[OES],$C51,Inhalation_Exp[Worker Type],$D51))</f>
        <v>3.6222339304531087E-2</v>
      </c>
      <c r="J51" s="394">
        <f>IF($E51="High-End",SUMIFS(Dermal_Exp[High-End AD (mg/kg-day)],Dermal_Exp[Worker Type],$D51,Dermal_Exp[OES],$C51),SUMIFS(Dermal_Exp[Central Tendency AD (mg/kg-day)],Dermal_Exp[Worker Type],$D51,Dermal_Exp[OES],$C51))</f>
        <v>0.93625000000000003</v>
      </c>
      <c r="K51" s="332">
        <f>IF($E51="High-End",SUMIFS(Dermal_Exp[High-End IADD (mg/kg-day)],Dermal_Exp[Worker Type],$D51,Dermal_Exp[OES],$C51),SUMIFS(Dermal_Exp[Central Tendency IADD (mg/kg-day)],Dermal_Exp[Worker Type],$D51,Dermal_Exp[OES],$C51))</f>
        <v>0.68658333333333332</v>
      </c>
      <c r="L51" s="332">
        <f>IF($E51="High-End",SUMIFS(Dermal_Exp[High-End ADD (mg/kg-day)],Dermal_Exp[Worker Type],$D51,Dermal_Exp[OES],$C51),SUMIFS(Dermal_Exp[Central Tendency ADD (mg/kg-day)],Dermal_Exp[Worker Type],$D51,Dermal_Exp[OES],$C51))</f>
        <v>0.64126712328767121</v>
      </c>
      <c r="M51" s="332">
        <f>IF($E51="High-End",SUMIFS(Dermal_Exp[High-End LADD (mg/kg-day)],Dermal_Exp[Worker Type],$D51,Dermal_Exp[OES],$C51),SUMIFS(Dermal_Exp[Central Tendency LADD (mg/kg-day)],Dermal_Exp[Worker Type],$D51,Dermal_Exp[OES],$C51))</f>
        <v>0.32885493501931856</v>
      </c>
      <c r="N51" s="332">
        <f t="shared" si="5"/>
        <v>1.0393749999999999</v>
      </c>
      <c r="O51" s="332">
        <f t="shared" si="2"/>
        <v>0.76220833333333338</v>
      </c>
      <c r="P51" s="332">
        <f t="shared" si="3"/>
        <v>0.71190068493150682</v>
      </c>
      <c r="Q51" s="516">
        <f t="shared" si="4"/>
        <v>0.36507727432384962</v>
      </c>
      <c r="AE51" s="26"/>
      <c r="AF51" s="26"/>
      <c r="AG51" s="26"/>
      <c r="AH51" s="26"/>
      <c r="AI51" s="26"/>
      <c r="AJ51" s="26"/>
      <c r="AK51" s="26"/>
    </row>
    <row r="52" spans="3:37" x14ac:dyDescent="0.25">
      <c r="C52" s="512" t="str" cm="1">
        <f t="array" ref="C52">INDEX('List Values'!$B$2:$B$17,(1+ROUNDDOWN((ROW()-ROW($C$5))*1/6,2)))</f>
        <v>Application of Paints and Coatings</v>
      </c>
      <c r="D52" s="513" t="s">
        <v>92</v>
      </c>
      <c r="E52" s="514" t="s">
        <v>91</v>
      </c>
      <c r="F52" s="515">
        <f>IF(E52="High-End",SUMIFS(Inhalation_Exp[24hr_High-End],Inhalation_Exp[OES],$C52,Inhalation_Exp[Worker Type],$D52),SUMIFS(Inhalation_Exp[24hr_Central Tendency],Inhalation_Exp[OES],$C52,Inhalation_Exp[Worker Type],$D52))</f>
        <v>0.10312499999999999</v>
      </c>
      <c r="G52" s="394">
        <f>IF(E52="High-End",SUMIFS(Inhalation_Exp[Int_High-End],Inhalation_Exp[OES],$C52,Inhalation_Exp[Worker Type],$D52),SUMIFS(Inhalation_Exp[Int_Central Tendency],Inhalation_Exp[OES],$C52,Inhalation_Exp[Worker Type],$D52))</f>
        <v>7.5624999999999998E-2</v>
      </c>
      <c r="H52" s="394">
        <f>IF(E52="High-End",SUMIFS(Inhalation_Exp[ADD_High-End],Inhalation_Exp[OES],$C52,Inhalation_Exp[Worker Type],$D52),SUMIFS(Inhalation_Exp[ADD_Central Tendency],Inhalation_Exp[OES],$C52,Inhalation_Exp[Worker Type],$D52))</f>
        <v>7.0633561643835621E-2</v>
      </c>
      <c r="I52" s="394">
        <f>IF(E52="High-End",SUMIFS(Inhalation_Exp[LADD_High-End],Inhalation_Exp[OES],$C52,Inhalation_Exp[Worker Type],$D52),SUMIFS(Inhalation_Exp[LADD_Central Tendency],Inhalation_Exp[OES],$C52,Inhalation_Exp[Worker Type],$D52))</f>
        <v>2.8072312961011592E-2</v>
      </c>
      <c r="J52" s="394">
        <f>IF($E52="High-End",SUMIFS(Dermal_Exp[High-End AD (mg/kg-day)],Dermal_Exp[Worker Type],$D52,Dermal_Exp[OES],$C52),SUMIFS(Dermal_Exp[Central Tendency AD (mg/kg-day)],Dermal_Exp[Worker Type],$D52,Dermal_Exp[OES],$C52))</f>
        <v>0.93625000000000003</v>
      </c>
      <c r="K52" s="332">
        <f>IF($E52="High-End",SUMIFS(Dermal_Exp[High-End IADD (mg/kg-day)],Dermal_Exp[Worker Type],$D52,Dermal_Exp[OES],$C52),SUMIFS(Dermal_Exp[Central Tendency IADD (mg/kg-day)],Dermal_Exp[Worker Type],$D52,Dermal_Exp[OES],$C52))</f>
        <v>0.68658333333333332</v>
      </c>
      <c r="L52" s="332">
        <f>IF($E52="High-End",SUMIFS(Dermal_Exp[High-End ADD (mg/kg-day)],Dermal_Exp[Worker Type],$D52,Dermal_Exp[OES],$C52),SUMIFS(Dermal_Exp[Central Tendency ADD (mg/kg-day)],Dermal_Exp[Worker Type],$D52,Dermal_Exp[OES],$C52))</f>
        <v>0.64126712328767121</v>
      </c>
      <c r="M52" s="332">
        <f>IF($E52="High-End",SUMIFS(Dermal_Exp[High-End LADD (mg/kg-day)],Dermal_Exp[Worker Type],$D52,Dermal_Exp[OES],$C52),SUMIFS(Dermal_Exp[Central Tendency LADD (mg/kg-day)],Dermal_Exp[Worker Type],$D52,Dermal_Exp[OES],$C52))</f>
        <v>0.25486257463997192</v>
      </c>
      <c r="N52" s="332">
        <f t="shared" si="5"/>
        <v>1.0393749999999999</v>
      </c>
      <c r="O52" s="332">
        <f t="shared" si="2"/>
        <v>0.76220833333333338</v>
      </c>
      <c r="P52" s="332">
        <f t="shared" si="3"/>
        <v>0.71190068493150682</v>
      </c>
      <c r="Q52" s="516">
        <f t="shared" si="4"/>
        <v>0.28293488760098351</v>
      </c>
      <c r="AE52" s="26"/>
      <c r="AF52" s="26"/>
      <c r="AG52" s="26"/>
      <c r="AH52" s="26"/>
      <c r="AI52" s="26"/>
      <c r="AJ52" s="26"/>
      <c r="AK52" s="26"/>
    </row>
    <row r="53" spans="3:37" x14ac:dyDescent="0.25">
      <c r="C53" s="512" t="str" cm="1">
        <f t="array" ref="C53">INDEX('List Values'!$B$2:$B$17,(1+ROUNDDOWN((ROW()-ROW($C$5))*1/6,2)))</f>
        <v>Use of Industrial Process Solvents</v>
      </c>
      <c r="D53" s="513" t="s">
        <v>197</v>
      </c>
      <c r="E53" s="514" t="s">
        <v>90</v>
      </c>
      <c r="F53" s="515">
        <f>IF(E53="High-End",SUMIFS(Inhalation_Exp[24hr_High-End],Inhalation_Exp[OES],$C53,Inhalation_Exp[Worker Type],$D53),SUMIFS(Inhalation_Exp[24hr_Central Tendency],Inhalation_Exp[OES],$C53,Inhalation_Exp[Worker Type],$D53))</f>
        <v>0.125</v>
      </c>
      <c r="G53" s="394">
        <f>IF(E53="High-End",SUMIFS(Inhalation_Exp[Int_High-End],Inhalation_Exp[OES],$C53,Inhalation_Exp[Worker Type],$D53),SUMIFS(Inhalation_Exp[Int_Central Tendency],Inhalation_Exp[OES],$C53,Inhalation_Exp[Worker Type],$D53))</f>
        <v>9.166666666666666E-2</v>
      </c>
      <c r="H53" s="394">
        <f>IF(E53="High-End",SUMIFS(Inhalation_Exp[ADD_High-End],Inhalation_Exp[OES],$C53,Inhalation_Exp[Worker Type],$D53),SUMIFS(Inhalation_Exp[ADD_Central Tendency],Inhalation_Exp[OES],$C53,Inhalation_Exp[Worker Type],$D53))</f>
        <v>8.5616438356164379E-2</v>
      </c>
      <c r="I53" s="394">
        <f>IF(E53="High-End",SUMIFS(Inhalation_Exp[LADD_High-End],Inhalation_Exp[OES],$C53,Inhalation_Exp[Worker Type],$D53),SUMIFS(Inhalation_Exp[LADD_Central Tendency],Inhalation_Exp[OES],$C53,Inhalation_Exp[Worker Type],$D53))</f>
        <v>4.3905865823674041E-2</v>
      </c>
      <c r="J53" s="394">
        <f>IF($E53="High-End",SUMIFS(Dermal_Exp[High-End AD (mg/kg-day)],Dermal_Exp[Worker Type],$D53,Dermal_Exp[OES],$C53),SUMIFS(Dermal_Exp[Central Tendency AD (mg/kg-day)],Dermal_Exp[Worker Type],$D53,Dermal_Exp[OES],$C53))</f>
        <v>2.5100416666666665</v>
      </c>
      <c r="K53" s="332">
        <f>IF($E53="High-End",SUMIFS(Dermal_Exp[High-End IADD (mg/kg-day)],Dermal_Exp[Worker Type],$D53,Dermal_Exp[OES],$C53),SUMIFS(Dermal_Exp[Central Tendency IADD (mg/kg-day)],Dermal_Exp[Worker Type],$D53,Dermal_Exp[OES],$C53))</f>
        <v>1.840697222222222</v>
      </c>
      <c r="L53" s="332">
        <f>IF($E53="High-End",SUMIFS(Dermal_Exp[High-End ADD (mg/kg-day)],Dermal_Exp[Worker Type],$D53,Dermal_Exp[OES],$C53),SUMIFS(Dermal_Exp[Central Tendency ADD (mg/kg-day)],Dermal_Exp[Worker Type],$D53,Dermal_Exp[OES],$C53))</f>
        <v>1.719206621004566</v>
      </c>
      <c r="M53" s="332">
        <f>IF($E53="High-End",SUMIFS(Dermal_Exp[High-End LADD (mg/kg-day)],Dermal_Exp[Worker Type],$D53,Dermal_Exp[OES],$C53),SUMIFS(Dermal_Exp[Central Tendency LADD (mg/kg-day)],Dermal_Exp[Worker Type],$D53,Dermal_Exp[OES],$C53))</f>
        <v>0.88164442102798257</v>
      </c>
      <c r="N53" s="332">
        <f t="shared" si="5"/>
        <v>2.6350416666666665</v>
      </c>
      <c r="O53" s="332">
        <f t="shared" si="2"/>
        <v>1.9323638888888885</v>
      </c>
      <c r="P53" s="332">
        <f t="shared" si="3"/>
        <v>1.8048230593607304</v>
      </c>
      <c r="Q53" s="516">
        <f t="shared" si="4"/>
        <v>0.92555028685165663</v>
      </c>
      <c r="AE53" s="26"/>
      <c r="AF53" s="26"/>
      <c r="AG53" s="26"/>
      <c r="AH53" s="26"/>
      <c r="AI53" s="26"/>
      <c r="AJ53" s="26"/>
      <c r="AK53" s="26"/>
    </row>
    <row r="54" spans="3:37" x14ac:dyDescent="0.25">
      <c r="C54" s="512" t="str" cm="1">
        <f t="array" ref="C54">INDEX('List Values'!$B$2:$B$17,(1+ROUNDDOWN((ROW()-ROW($C$5))*1/6,2)))</f>
        <v>Use of Industrial Process Solvents</v>
      </c>
      <c r="D54" s="513" t="s">
        <v>197</v>
      </c>
      <c r="E54" s="514" t="s">
        <v>91</v>
      </c>
      <c r="F54" s="515">
        <f>IF(E54="High-End",SUMIFS(Inhalation_Exp[24hr_High-End],Inhalation_Exp[OES],$C54,Inhalation_Exp[Worker Type],$D54),SUMIFS(Inhalation_Exp[24hr_Central Tendency],Inhalation_Exp[OES],$C54,Inhalation_Exp[Worker Type],$D54))</f>
        <v>6.25E-2</v>
      </c>
      <c r="G54" s="394">
        <f>IF(E54="High-End",SUMIFS(Inhalation_Exp[Int_High-End],Inhalation_Exp[OES],$C54,Inhalation_Exp[Worker Type],$D54),SUMIFS(Inhalation_Exp[Int_Central Tendency],Inhalation_Exp[OES],$C54,Inhalation_Exp[Worker Type],$D54))</f>
        <v>4.583333333333333E-2</v>
      </c>
      <c r="H54" s="394">
        <f>IF(E54="High-End",SUMIFS(Inhalation_Exp[ADD_High-End],Inhalation_Exp[OES],$C54,Inhalation_Exp[Worker Type],$D54),SUMIFS(Inhalation_Exp[ADD_Central Tendency],Inhalation_Exp[OES],$C54,Inhalation_Exp[Worker Type],$D54))</f>
        <v>4.2808219178082189E-2</v>
      </c>
      <c r="I54" s="394">
        <f>IF(E54="High-End",SUMIFS(Inhalation_Exp[LADD_High-End],Inhalation_Exp[OES],$C54,Inhalation_Exp[Worker Type],$D54),SUMIFS(Inhalation_Exp[LADD_Central Tendency],Inhalation_Exp[OES],$C54,Inhalation_Exp[Worker Type],$D54))</f>
        <v>1.7013523006673692E-2</v>
      </c>
      <c r="J54" s="394">
        <f>IF($E54="High-End",SUMIFS(Dermal_Exp[High-End AD (mg/kg-day)],Dermal_Exp[Worker Type],$D54,Dermal_Exp[OES],$C54),SUMIFS(Dermal_Exp[Central Tendency AD (mg/kg-day)],Dermal_Exp[Worker Type],$D54,Dermal_Exp[OES],$C54))</f>
        <v>1.2550208333333333</v>
      </c>
      <c r="K54" s="332">
        <f>IF($E54="High-End",SUMIFS(Dermal_Exp[High-End IADD (mg/kg-day)],Dermal_Exp[Worker Type],$D54,Dermal_Exp[OES],$C54),SUMIFS(Dermal_Exp[Central Tendency IADD (mg/kg-day)],Dermal_Exp[Worker Type],$D54,Dermal_Exp[OES],$C54))</f>
        <v>0.92034861111111099</v>
      </c>
      <c r="L54" s="332">
        <f>IF($E54="High-End",SUMIFS(Dermal_Exp[High-End ADD (mg/kg-day)],Dermal_Exp[Worker Type],$D54,Dermal_Exp[OES],$C54),SUMIFS(Dermal_Exp[Central Tendency ADD (mg/kg-day)],Dermal_Exp[Worker Type],$D54,Dermal_Exp[OES],$C54))</f>
        <v>0.859603310502283</v>
      </c>
      <c r="M54" s="332">
        <f>IF($E54="High-End",SUMIFS(Dermal_Exp[High-End LADD (mg/kg-day)],Dermal_Exp[Worker Type],$D54,Dermal_Exp[OES],$C54),SUMIFS(Dermal_Exp[Central Tendency LADD (mg/kg-day)],Dermal_Exp[Worker Type],$D54,Dermal_Exp[OES],$C54))</f>
        <v>0.34163721314834322</v>
      </c>
      <c r="N54" s="332">
        <f t="shared" si="5"/>
        <v>1.3175208333333333</v>
      </c>
      <c r="O54" s="332">
        <f t="shared" si="2"/>
        <v>0.96618194444444427</v>
      </c>
      <c r="P54" s="332">
        <f t="shared" si="3"/>
        <v>0.9024115296803652</v>
      </c>
      <c r="Q54" s="516">
        <f t="shared" si="4"/>
        <v>0.35865073615501691</v>
      </c>
      <c r="AE54" s="26"/>
      <c r="AF54" s="26"/>
      <c r="AG54" s="26"/>
      <c r="AH54" s="26"/>
      <c r="AI54" s="26"/>
      <c r="AJ54" s="26"/>
      <c r="AK54" s="26"/>
    </row>
    <row r="55" spans="3:37" x14ac:dyDescent="0.25">
      <c r="C55" s="512" t="str" cm="1">
        <f t="array" ref="C55">INDEX('List Values'!$B$2:$B$17,(1+ROUNDDOWN((ROW()-ROW($C$5))*1/6,2)))</f>
        <v>Use of Industrial Process Solvents</v>
      </c>
      <c r="D55" s="513" t="s">
        <v>72</v>
      </c>
      <c r="E55" s="514" t="s">
        <v>90</v>
      </c>
      <c r="F55" s="515">
        <f>IF(E55="High-End",SUMIFS(Inhalation_Exp[24hr_High-End],Inhalation_Exp[OES],$C55,Inhalation_Exp[Worker Type],$D55),SUMIFS(Inhalation_Exp[24hr_Central Tendency],Inhalation_Exp[OES],$C55,Inhalation_Exp[Worker Type],$D55))</f>
        <v>0.13807386952019329</v>
      </c>
      <c r="G55" s="394">
        <f>IF(E55="High-End",SUMIFS(Inhalation_Exp[Int_High-End],Inhalation_Exp[OES],$C55,Inhalation_Exp[Worker Type],$D55),SUMIFS(Inhalation_Exp[Int_Central Tendency],Inhalation_Exp[OES],$C55,Inhalation_Exp[Worker Type],$D55))</f>
        <v>0.10125417098147509</v>
      </c>
      <c r="H55" s="394">
        <f>IF(E55="High-End",SUMIFS(Inhalation_Exp[ADD_High-End],Inhalation_Exp[OES],$C55,Inhalation_Exp[Worker Type],$D55),SUMIFS(Inhalation_Exp[ADD_Central Tendency],Inhalation_Exp[OES],$C55,Inhalation_Exp[Worker Type],$D55))</f>
        <v>9.4571143506981703E-2</v>
      </c>
      <c r="I55" s="394">
        <f>IF(E55="High-End",SUMIFS(Inhalation_Exp[LADD_High-End],Inhalation_Exp[OES],$C55,Inhalation_Exp[Worker Type],$D55),SUMIFS(Inhalation_Exp[LADD_Central Tendency],Inhalation_Exp[OES],$C55,Inhalation_Exp[Worker Type],$D55))</f>
        <v>4.8498022311272669E-2</v>
      </c>
      <c r="J55" s="394">
        <f>IF($E55="High-End",SUMIFS(Dermal_Exp[High-End AD (mg/kg-day)],Dermal_Exp[Worker Type],$D55,Dermal_Exp[OES],$C55),SUMIFS(Dermal_Exp[Central Tendency AD (mg/kg-day)],Dermal_Exp[Worker Type],$D55,Dermal_Exp[OES],$C55))</f>
        <v>2.3069521178637196</v>
      </c>
      <c r="K55" s="332">
        <f>IF($E55="High-End",SUMIFS(Dermal_Exp[High-End IADD (mg/kg-day)],Dermal_Exp[Worker Type],$D55,Dermal_Exp[OES],$C55),SUMIFS(Dermal_Exp[Central Tendency IADD (mg/kg-day)],Dermal_Exp[Worker Type],$D55,Dermal_Exp[OES],$C55))</f>
        <v>1.6917648864333943</v>
      </c>
      <c r="L55" s="332">
        <f>IF($E55="High-End",SUMIFS(Dermal_Exp[High-End ADD (mg/kg-day)],Dermal_Exp[Worker Type],$D55,Dermal_Exp[OES],$C55),SUMIFS(Dermal_Exp[Central Tendency ADD (mg/kg-day)],Dermal_Exp[Worker Type],$D55,Dermal_Exp[OES],$C55))</f>
        <v>1.5801041903176161</v>
      </c>
      <c r="M55" s="332">
        <f>IF($E55="High-End",SUMIFS(Dermal_Exp[High-End LADD (mg/kg-day)],Dermal_Exp[Worker Type],$D55,Dermal_Exp[OES],$C55),SUMIFS(Dermal_Exp[Central Tendency LADD (mg/kg-day)],Dermal_Exp[Worker Type],$D55,Dermal_Exp[OES],$C55))</f>
        <v>0.81030984118852112</v>
      </c>
      <c r="N55" s="332">
        <f t="shared" si="5"/>
        <v>2.4450259873839126</v>
      </c>
      <c r="O55" s="332">
        <f t="shared" si="2"/>
        <v>1.7930190574148694</v>
      </c>
      <c r="P55" s="332">
        <f t="shared" si="3"/>
        <v>1.6746753338245979</v>
      </c>
      <c r="Q55" s="516">
        <f t="shared" si="4"/>
        <v>0.85880786349979377</v>
      </c>
      <c r="AE55" s="26"/>
      <c r="AF55" s="26"/>
      <c r="AG55" s="26"/>
      <c r="AH55" s="26"/>
      <c r="AI55" s="26"/>
      <c r="AJ55" s="26"/>
      <c r="AK55" s="26"/>
    </row>
    <row r="56" spans="3:37" x14ac:dyDescent="0.25">
      <c r="C56" s="512" t="str" cm="1">
        <f t="array" ref="C56">INDEX('List Values'!$B$2:$B$17,(1+ROUNDDOWN((ROW()-ROW($C$5))*1/6,2)))</f>
        <v>Use of Industrial Process Solvents</v>
      </c>
      <c r="D56" s="513" t="s">
        <v>72</v>
      </c>
      <c r="E56" s="514" t="s">
        <v>91</v>
      </c>
      <c r="F56" s="515">
        <f>IF(E56="High-End",SUMIFS(Inhalation_Exp[24hr_High-End],Inhalation_Exp[OES],$C56,Inhalation_Exp[Worker Type],$D56),SUMIFS(Inhalation_Exp[24hr_Central Tendency],Inhalation_Exp[OES],$C56,Inhalation_Exp[Worker Type],$D56))</f>
        <v>6.9036934760096647E-2</v>
      </c>
      <c r="G56" s="394">
        <f>IF(E56="High-End",SUMIFS(Inhalation_Exp[Int_High-End],Inhalation_Exp[OES],$C56,Inhalation_Exp[Worker Type],$D56),SUMIFS(Inhalation_Exp[Int_Central Tendency],Inhalation_Exp[OES],$C56,Inhalation_Exp[Worker Type],$D56))</f>
        <v>5.0627085490737543E-2</v>
      </c>
      <c r="H56" s="394">
        <f>IF(E56="High-End",SUMIFS(Inhalation_Exp[ADD_High-End],Inhalation_Exp[OES],$C56,Inhalation_Exp[Worker Type],$D56),SUMIFS(Inhalation_Exp[ADD_Central Tendency],Inhalation_Exp[OES],$C56,Inhalation_Exp[Worker Type],$D56))</f>
        <v>4.7285571753490852E-2</v>
      </c>
      <c r="I56" s="394">
        <f>IF(E56="High-End",SUMIFS(Inhalation_Exp[LADD_High-End],Inhalation_Exp[OES],$C56,Inhalation_Exp[Worker Type],$D56),SUMIFS(Inhalation_Exp[LADD_Central Tendency],Inhalation_Exp[OES],$C56,Inhalation_Exp[Worker Type],$D56))</f>
        <v>1.8792983645618159E-2</v>
      </c>
      <c r="J56" s="394">
        <f>IF($E56="High-End",SUMIFS(Dermal_Exp[High-End AD (mg/kg-day)],Dermal_Exp[Worker Type],$D56,Dermal_Exp[OES],$C56),SUMIFS(Dermal_Exp[Central Tendency AD (mg/kg-day)],Dermal_Exp[Worker Type],$D56,Dermal_Exp[OES],$C56))</f>
        <v>1.1534760589318598</v>
      </c>
      <c r="K56" s="332">
        <f>IF($E56="High-End",SUMIFS(Dermal_Exp[High-End IADD (mg/kg-day)],Dermal_Exp[Worker Type],$D56,Dermal_Exp[OES],$C56),SUMIFS(Dermal_Exp[Central Tendency IADD (mg/kg-day)],Dermal_Exp[Worker Type],$D56,Dermal_Exp[OES],$C56))</f>
        <v>0.84588244321669714</v>
      </c>
      <c r="L56" s="332">
        <f>IF($E56="High-End",SUMIFS(Dermal_Exp[High-End ADD (mg/kg-day)],Dermal_Exp[Worker Type],$D56,Dermal_Exp[OES],$C56),SUMIFS(Dermal_Exp[Central Tendency ADD (mg/kg-day)],Dermal_Exp[Worker Type],$D56,Dermal_Exp[OES],$C56))</f>
        <v>0.79005209515880803</v>
      </c>
      <c r="M56" s="332">
        <f>IF($E56="High-End",SUMIFS(Dermal_Exp[High-End LADD (mg/kg-day)],Dermal_Exp[Worker Type],$D56,Dermal_Exp[OES],$C56),SUMIFS(Dermal_Exp[Central Tendency LADD (mg/kg-day)],Dermal_Exp[Worker Type],$D56,Dermal_Exp[OES],$C56))</f>
        <v>0.31399506346055195</v>
      </c>
      <c r="N56" s="332">
        <f t="shared" si="5"/>
        <v>1.2225129936919563</v>
      </c>
      <c r="O56" s="332">
        <f t="shared" si="2"/>
        <v>0.89650952870743472</v>
      </c>
      <c r="P56" s="332">
        <f t="shared" si="3"/>
        <v>0.83733766691229894</v>
      </c>
      <c r="Q56" s="516">
        <f t="shared" si="4"/>
        <v>0.3327880471061701</v>
      </c>
      <c r="AE56" s="26"/>
      <c r="AF56" s="26"/>
      <c r="AG56" s="26"/>
      <c r="AH56" s="26"/>
      <c r="AI56" s="26"/>
      <c r="AJ56" s="26"/>
      <c r="AK56" s="26"/>
    </row>
    <row r="57" spans="3:37" x14ac:dyDescent="0.25">
      <c r="C57" s="512" t="str" cm="1">
        <f t="array" ref="C57">INDEX('List Values'!$B$2:$B$17,(1+ROUNDDOWN((ROW()-ROW($C$5))*1/6,2)))</f>
        <v>Use of Industrial Process Solvents</v>
      </c>
      <c r="D57" s="513" t="s">
        <v>92</v>
      </c>
      <c r="E57" s="514" t="s">
        <v>90</v>
      </c>
      <c r="F57" s="515">
        <f>IF(E57="High-End",SUMIFS(Inhalation_Exp[24hr_High-End],Inhalation_Exp[OES],$C57,Inhalation_Exp[Worker Type],$D57),SUMIFS(Inhalation_Exp[24hr_Central Tendency],Inhalation_Exp[OES],$C57,Inhalation_Exp[Worker Type],$D57))</f>
        <v>6.25E-2</v>
      </c>
      <c r="G57" s="394">
        <f>IF(E57="High-End",SUMIFS(Inhalation_Exp[Int_High-End],Inhalation_Exp[OES],$C57,Inhalation_Exp[Worker Type],$D57),SUMIFS(Inhalation_Exp[Int_Central Tendency],Inhalation_Exp[OES],$C57,Inhalation_Exp[Worker Type],$D57))</f>
        <v>4.583333333333333E-2</v>
      </c>
      <c r="H57" s="394">
        <f>IF(E57="High-End",SUMIFS(Inhalation_Exp[ADD_High-End],Inhalation_Exp[OES],$C57,Inhalation_Exp[Worker Type],$D57),SUMIFS(Inhalation_Exp[ADD_Central Tendency],Inhalation_Exp[OES],$C57,Inhalation_Exp[Worker Type],$D57))</f>
        <v>4.2808219178082189E-2</v>
      </c>
      <c r="I57" s="394">
        <f>IF(E57="High-End",SUMIFS(Inhalation_Exp[LADD_High-End],Inhalation_Exp[OES],$C57,Inhalation_Exp[Worker Type],$D57),SUMIFS(Inhalation_Exp[LADD_Central Tendency],Inhalation_Exp[OES],$C57,Inhalation_Exp[Worker Type],$D57))</f>
        <v>2.195293291183702E-2</v>
      </c>
      <c r="J57" s="394">
        <f>IF($E57="High-End",SUMIFS(Dermal_Exp[High-End AD (mg/kg-day)],Dermal_Exp[Worker Type],$D57,Dermal_Exp[OES],$C57),SUMIFS(Dermal_Exp[Central Tendency AD (mg/kg-day)],Dermal_Exp[Worker Type],$D57,Dermal_Exp[OES],$C57))</f>
        <v>0</v>
      </c>
      <c r="K57" s="332">
        <f>IF($E57="High-End",SUMIFS(Dermal_Exp[High-End IADD (mg/kg-day)],Dermal_Exp[Worker Type],$D57,Dermal_Exp[OES],$C57),SUMIFS(Dermal_Exp[Central Tendency IADD (mg/kg-day)],Dermal_Exp[Worker Type],$D57,Dermal_Exp[OES],$C57))</f>
        <v>0</v>
      </c>
      <c r="L57" s="332">
        <f>IF($E57="High-End",SUMIFS(Dermal_Exp[High-End ADD (mg/kg-day)],Dermal_Exp[Worker Type],$D57,Dermal_Exp[OES],$C57),SUMIFS(Dermal_Exp[Central Tendency ADD (mg/kg-day)],Dermal_Exp[Worker Type],$D57,Dermal_Exp[OES],$C57))</f>
        <v>0</v>
      </c>
      <c r="M57" s="332">
        <f>IF($E57="High-End",SUMIFS(Dermal_Exp[High-End LADD (mg/kg-day)],Dermal_Exp[Worker Type],$D57,Dermal_Exp[OES],$C57),SUMIFS(Dermal_Exp[Central Tendency LADD (mg/kg-day)],Dermal_Exp[Worker Type],$D57,Dermal_Exp[OES],$C57))</f>
        <v>0</v>
      </c>
      <c r="N57" s="332">
        <f t="shared" si="5"/>
        <v>6.25E-2</v>
      </c>
      <c r="O57" s="332">
        <f t="shared" si="2"/>
        <v>4.583333333333333E-2</v>
      </c>
      <c r="P57" s="332">
        <f t="shared" si="3"/>
        <v>4.2808219178082189E-2</v>
      </c>
      <c r="Q57" s="516">
        <f t="shared" si="4"/>
        <v>2.195293291183702E-2</v>
      </c>
      <c r="AE57" s="26"/>
      <c r="AF57" s="26"/>
      <c r="AG57" s="26"/>
      <c r="AH57" s="26"/>
      <c r="AI57" s="26"/>
      <c r="AJ57" s="26"/>
      <c r="AK57" s="26"/>
    </row>
    <row r="58" spans="3:37" x14ac:dyDescent="0.25">
      <c r="C58" s="512" t="str" cm="1">
        <f t="array" ref="C58">INDEX('List Values'!$B$2:$B$17,(1+ROUNDDOWN((ROW()-ROW($C$5))*1/6,2)))</f>
        <v>Use of Industrial Process Solvents</v>
      </c>
      <c r="D58" s="513" t="s">
        <v>92</v>
      </c>
      <c r="E58" s="514" t="s">
        <v>91</v>
      </c>
      <c r="F58" s="515">
        <f>IF(E58="High-End",SUMIFS(Inhalation_Exp[24hr_High-End],Inhalation_Exp[OES],$C58,Inhalation_Exp[Worker Type],$D58),SUMIFS(Inhalation_Exp[24hr_Central Tendency],Inhalation_Exp[OES],$C58,Inhalation_Exp[Worker Type],$D58))</f>
        <v>6.25E-2</v>
      </c>
      <c r="G58" s="394">
        <f>IF(E58="High-End",SUMIFS(Inhalation_Exp[Int_High-End],Inhalation_Exp[OES],$C58,Inhalation_Exp[Worker Type],$D58),SUMIFS(Inhalation_Exp[Int_Central Tendency],Inhalation_Exp[OES],$C58,Inhalation_Exp[Worker Type],$D58))</f>
        <v>4.583333333333333E-2</v>
      </c>
      <c r="H58" s="394">
        <f>IF(E58="High-End",SUMIFS(Inhalation_Exp[ADD_High-End],Inhalation_Exp[OES],$C58,Inhalation_Exp[Worker Type],$D58),SUMIFS(Inhalation_Exp[ADD_Central Tendency],Inhalation_Exp[OES],$C58,Inhalation_Exp[Worker Type],$D58))</f>
        <v>4.2808219178082189E-2</v>
      </c>
      <c r="I58" s="394">
        <f>IF(E58="High-End",SUMIFS(Inhalation_Exp[LADD_High-End],Inhalation_Exp[OES],$C58,Inhalation_Exp[Worker Type],$D58),SUMIFS(Inhalation_Exp[LADD_Central Tendency],Inhalation_Exp[OES],$C58,Inhalation_Exp[Worker Type],$D58))</f>
        <v>1.7013523006673692E-2</v>
      </c>
      <c r="J58" s="394">
        <f>IF($E58="High-End",SUMIFS(Dermal_Exp[High-End AD (mg/kg-day)],Dermal_Exp[Worker Type],$D58,Dermal_Exp[OES],$C58),SUMIFS(Dermal_Exp[Central Tendency AD (mg/kg-day)],Dermal_Exp[Worker Type],$D58,Dermal_Exp[OES],$C58))</f>
        <v>0</v>
      </c>
      <c r="K58" s="332">
        <f>IF($E58="High-End",SUMIFS(Dermal_Exp[High-End IADD (mg/kg-day)],Dermal_Exp[Worker Type],$D58,Dermal_Exp[OES],$C58),SUMIFS(Dermal_Exp[Central Tendency IADD (mg/kg-day)],Dermal_Exp[Worker Type],$D58,Dermal_Exp[OES],$C58))</f>
        <v>0</v>
      </c>
      <c r="L58" s="332">
        <f>IF($E58="High-End",SUMIFS(Dermal_Exp[High-End ADD (mg/kg-day)],Dermal_Exp[Worker Type],$D58,Dermal_Exp[OES],$C58),SUMIFS(Dermal_Exp[Central Tendency ADD (mg/kg-day)],Dermal_Exp[Worker Type],$D58,Dermal_Exp[OES],$C58))</f>
        <v>0</v>
      </c>
      <c r="M58" s="332">
        <f>IF($E58="High-End",SUMIFS(Dermal_Exp[High-End LADD (mg/kg-day)],Dermal_Exp[Worker Type],$D58,Dermal_Exp[OES],$C58),SUMIFS(Dermal_Exp[Central Tendency LADD (mg/kg-day)],Dermal_Exp[Worker Type],$D58,Dermal_Exp[OES],$C58))</f>
        <v>0</v>
      </c>
      <c r="N58" s="332">
        <f t="shared" si="5"/>
        <v>6.25E-2</v>
      </c>
      <c r="O58" s="332">
        <f t="shared" si="2"/>
        <v>4.583333333333333E-2</v>
      </c>
      <c r="P58" s="332">
        <f t="shared" si="3"/>
        <v>4.2808219178082189E-2</v>
      </c>
      <c r="Q58" s="516">
        <f t="shared" si="4"/>
        <v>1.7013523006673692E-2</v>
      </c>
      <c r="AE58" s="26"/>
      <c r="AF58" s="26"/>
      <c r="AG58" s="26"/>
      <c r="AH58" s="26"/>
      <c r="AI58" s="26"/>
      <c r="AJ58" s="26"/>
      <c r="AK58" s="26"/>
    </row>
    <row r="59" spans="3:37" x14ac:dyDescent="0.25">
      <c r="C59" s="512" t="str" cm="1">
        <f t="array" ref="C59">INDEX('List Values'!$B$2:$B$17,(1+ROUNDDOWN((ROW()-ROW($C$5))*1/6,2)))</f>
        <v>Use of Laboratory Chemicals (Solid)</v>
      </c>
      <c r="D59" s="513" t="s">
        <v>197</v>
      </c>
      <c r="E59" s="514" t="s">
        <v>90</v>
      </c>
      <c r="F59" s="515">
        <f>IF(E59="High-End",SUMIFS(Inhalation_Exp[24hr_High-End],Inhalation_Exp[OES],$C59,Inhalation_Exp[Worker Type],$D59),SUMIFS(Inhalation_Exp[24hr_Central Tendency],Inhalation_Exp[OES],$C59,Inhalation_Exp[Worker Type],$D59))</f>
        <v>6.7500000000000004E-2</v>
      </c>
      <c r="G59" s="394">
        <f>IF(E59="High-End",SUMIFS(Inhalation_Exp[Int_High-End],Inhalation_Exp[OES],$C59,Inhalation_Exp[Worker Type],$D59),SUMIFS(Inhalation_Exp[Int_Central Tendency],Inhalation_Exp[OES],$C59,Inhalation_Exp[Worker Type],$D59))</f>
        <v>4.9500000000000002E-2</v>
      </c>
      <c r="H59" s="394">
        <f>IF(E59="High-End",SUMIFS(Inhalation_Exp[ADD_High-End],Inhalation_Exp[OES],$C59,Inhalation_Exp[Worker Type],$D59),SUMIFS(Inhalation_Exp[ADD_Central Tendency],Inhalation_Exp[OES],$C59,Inhalation_Exp[Worker Type],$D59))</f>
        <v>4.6232876712328765E-2</v>
      </c>
      <c r="I59" s="394">
        <f>IF(E59="High-End",SUMIFS(Inhalation_Exp[LADD_High-End],Inhalation_Exp[OES],$C59,Inhalation_Exp[Worker Type],$D59),SUMIFS(Inhalation_Exp[LADD_Central Tendency],Inhalation_Exp[OES],$C59,Inhalation_Exp[Worker Type],$D59))</f>
        <v>2.3709167544783982E-2</v>
      </c>
      <c r="J59" s="394">
        <f>IF($E59="High-End",SUMIFS(Dermal_Exp[High-End AD (mg/kg-day)],Dermal_Exp[Worker Type],$D59,Dermal_Exp[OES],$C59),SUMIFS(Dermal_Exp[Central Tendency AD (mg/kg-day)],Dermal_Exp[Worker Type],$D59,Dermal_Exp[OES],$C59))</f>
        <v>3.3886760250110698E-2</v>
      </c>
      <c r="K59" s="332">
        <f>IF($E59="High-End",SUMIFS(Dermal_Exp[High-End IADD (mg/kg-day)],Dermal_Exp[Worker Type],$D59,Dermal_Exp[OES],$C59),SUMIFS(Dermal_Exp[Central Tendency IADD (mg/kg-day)],Dermal_Exp[Worker Type],$D59,Dermal_Exp[OES],$C59))</f>
        <v>2.4850290850081176E-2</v>
      </c>
      <c r="L59" s="332">
        <f>IF($E59="High-End",SUMIFS(Dermal_Exp[High-End ADD (mg/kg-day)],Dermal_Exp[Worker Type],$D59,Dermal_Exp[OES],$C59),SUMIFS(Dermal_Exp[Central Tendency ADD (mg/kg-day)],Dermal_Exp[Worker Type],$D59,Dermal_Exp[OES],$C59))</f>
        <v>2.321010976034979E-2</v>
      </c>
      <c r="M59" s="332">
        <f>IF($E59="High-End",SUMIFS(Dermal_Exp[High-End LADD (mg/kg-day)],Dermal_Exp[Worker Type],$D59,Dermal_Exp[OES],$C59),SUMIFS(Dermal_Exp[Central Tendency LADD (mg/kg-day)],Dermal_Exp[Worker Type],$D59,Dermal_Exp[OES],$C59))</f>
        <v>1.190262038992297E-2</v>
      </c>
      <c r="N59" s="332">
        <f t="shared" si="5"/>
        <v>0.1013867602501107</v>
      </c>
      <c r="O59" s="332">
        <f t="shared" si="2"/>
        <v>7.4350290850081185E-2</v>
      </c>
      <c r="P59" s="332">
        <f t="shared" si="3"/>
        <v>6.9442986472678547E-2</v>
      </c>
      <c r="Q59" s="516">
        <f t="shared" si="4"/>
        <v>3.561178793470695E-2</v>
      </c>
      <c r="AE59" s="26"/>
      <c r="AF59" s="26"/>
      <c r="AG59" s="26"/>
      <c r="AH59" s="26"/>
      <c r="AI59" s="26"/>
      <c r="AJ59" s="26"/>
      <c r="AK59" s="26"/>
    </row>
    <row r="60" spans="3:37" x14ac:dyDescent="0.25">
      <c r="C60" s="512" t="str" cm="1">
        <f t="array" ref="C60">INDEX('List Values'!$B$2:$B$17,(1+ROUNDDOWN((ROW()-ROW($C$5))*1/6,2)))</f>
        <v>Use of Laboratory Chemicals (Solid)</v>
      </c>
      <c r="D60" s="513" t="s">
        <v>197</v>
      </c>
      <c r="E60" s="514" t="s">
        <v>91</v>
      </c>
      <c r="F60" s="515">
        <f>IF(E60="High-End",SUMIFS(Inhalation_Exp[24hr_High-End],Inhalation_Exp[OES],$C60,Inhalation_Exp[Worker Type],$D60),SUMIFS(Inhalation_Exp[24hr_Central Tendency],Inhalation_Exp[OES],$C60,Inhalation_Exp[Worker Type],$D60))</f>
        <v>4.7500000000000007E-3</v>
      </c>
      <c r="G60" s="394">
        <f>IF(E60="High-End",SUMIFS(Inhalation_Exp[Int_High-End],Inhalation_Exp[OES],$C60,Inhalation_Exp[Worker Type],$D60),SUMIFS(Inhalation_Exp[Int_Central Tendency],Inhalation_Exp[OES],$C60,Inhalation_Exp[Worker Type],$D60))</f>
        <v>3.4833333333333335E-3</v>
      </c>
      <c r="H60" s="394">
        <f>IF(E60="High-End",SUMIFS(Inhalation_Exp[ADD_High-End],Inhalation_Exp[OES],$C60,Inhalation_Exp[Worker Type],$D60),SUMIFS(Inhalation_Exp[ADD_Central Tendency],Inhalation_Exp[OES],$C60,Inhalation_Exp[Worker Type],$D60))</f>
        <v>3.2534246575342471E-3</v>
      </c>
      <c r="I60" s="394">
        <f>IF(E60="High-End",SUMIFS(Inhalation_Exp[LADD_High-End],Inhalation_Exp[OES],$C60,Inhalation_Exp[Worker Type],$D60),SUMIFS(Inhalation_Exp[LADD_Central Tendency],Inhalation_Exp[OES],$C60,Inhalation_Exp[Worker Type],$D60))</f>
        <v>1.2930277485072009E-3</v>
      </c>
      <c r="J60" s="394">
        <f>IF($E60="High-End",SUMIFS(Dermal_Exp[High-End AD (mg/kg-day)],Dermal_Exp[Worker Type],$D60,Dermal_Exp[OES],$C60),SUMIFS(Dermal_Exp[Central Tendency AD (mg/kg-day)],Dermal_Exp[Worker Type],$D60,Dermal_Exp[OES],$C60))</f>
        <v>1.6943380125055349E-2</v>
      </c>
      <c r="K60" s="332">
        <f>IF($E60="High-End",SUMIFS(Dermal_Exp[High-End IADD (mg/kg-day)],Dermal_Exp[Worker Type],$D60,Dermal_Exp[OES],$C60),SUMIFS(Dermal_Exp[Central Tendency IADD (mg/kg-day)],Dermal_Exp[Worker Type],$D60,Dermal_Exp[OES],$C60))</f>
        <v>1.2425145425040588E-2</v>
      </c>
      <c r="L60" s="332">
        <f>IF($E60="High-End",SUMIFS(Dermal_Exp[High-End ADD (mg/kg-day)],Dermal_Exp[Worker Type],$D60,Dermal_Exp[OES],$C60),SUMIFS(Dermal_Exp[Central Tendency ADD (mg/kg-day)],Dermal_Exp[Worker Type],$D60,Dermal_Exp[OES],$C60))</f>
        <v>1.1605054880174897E-2</v>
      </c>
      <c r="M60" s="332">
        <f>IF($E60="High-End",SUMIFS(Dermal_Exp[High-End LADD (mg/kg-day)],Dermal_Exp[Worker Type],$D60,Dermal_Exp[OES],$C60),SUMIFS(Dermal_Exp[Central Tendency LADD (mg/kg-day)],Dermal_Exp[Worker Type],$D60,Dermal_Exp[OES],$C60))</f>
        <v>4.612265401095151E-3</v>
      </c>
      <c r="N60" s="332">
        <f t="shared" si="5"/>
        <v>2.169338012505535E-2</v>
      </c>
      <c r="O60" s="332">
        <f t="shared" si="2"/>
        <v>1.5908478758373923E-2</v>
      </c>
      <c r="P60" s="332">
        <f t="shared" si="3"/>
        <v>1.4858479537709144E-2</v>
      </c>
      <c r="Q60" s="516">
        <f t="shared" si="4"/>
        <v>5.905293149602352E-3</v>
      </c>
      <c r="AE60" s="26"/>
      <c r="AF60" s="26"/>
      <c r="AG60" s="26"/>
      <c r="AH60" s="26"/>
      <c r="AI60" s="26"/>
      <c r="AJ60" s="26"/>
      <c r="AK60" s="26"/>
    </row>
    <row r="61" spans="3:37" x14ac:dyDescent="0.25">
      <c r="C61" s="512" t="str" cm="1">
        <f t="array" ref="C61">INDEX('List Values'!$B$2:$B$17,(1+ROUNDDOWN((ROW()-ROW($C$5))*1/6,2)))</f>
        <v>Use of Laboratory Chemicals (Solid)</v>
      </c>
      <c r="D61" s="513" t="s">
        <v>72</v>
      </c>
      <c r="E61" s="514" t="s">
        <v>90</v>
      </c>
      <c r="F61" s="515">
        <f>IF(E61="High-End",SUMIFS(Inhalation_Exp[24hr_High-End],Inhalation_Exp[OES],$C61,Inhalation_Exp[Worker Type],$D61),SUMIFS(Inhalation_Exp[24hr_Central Tendency],Inhalation_Exp[OES],$C61,Inhalation_Exp[Worker Type],$D61))</f>
        <v>7.4559889540904381E-2</v>
      </c>
      <c r="G61" s="394">
        <f>IF(E61="High-End",SUMIFS(Inhalation_Exp[Int_High-End],Inhalation_Exp[OES],$C61,Inhalation_Exp[Worker Type],$D61),SUMIFS(Inhalation_Exp[Int_Central Tendency],Inhalation_Exp[OES],$C61,Inhalation_Exp[Worker Type],$D61))</f>
        <v>5.4677252329996547E-2</v>
      </c>
      <c r="H61" s="394">
        <f>IF(E61="High-End",SUMIFS(Inhalation_Exp[ADD_High-End],Inhalation_Exp[OES],$C61,Inhalation_Exp[Worker Type],$D61),SUMIFS(Inhalation_Exp[ADD_Central Tendency],Inhalation_Exp[OES],$C61,Inhalation_Exp[Worker Type],$D61))</f>
        <v>5.106841749377012E-2</v>
      </c>
      <c r="I61" s="394">
        <f>IF(E61="High-End",SUMIFS(Inhalation_Exp[LADD_High-End],Inhalation_Exp[OES],$C61,Inhalation_Exp[Worker Type],$D61),SUMIFS(Inhalation_Exp[LADD_Central Tendency],Inhalation_Exp[OES],$C61,Inhalation_Exp[Worker Type],$D61))</f>
        <v>2.6188932048087241E-2</v>
      </c>
      <c r="J61" s="394">
        <f>IF($E61="High-End",SUMIFS(Dermal_Exp[High-End AD (mg/kg-day)],Dermal_Exp[Worker Type],$D61,Dermal_Exp[OES],$C61),SUMIFS(Dermal_Exp[Central Tendency AD (mg/kg-day)],Dermal_Exp[Worker Type],$D61,Dermal_Exp[OES],$C61))</f>
        <v>3.1144954430318089E-2</v>
      </c>
      <c r="K61" s="332">
        <f>IF($E61="High-End",SUMIFS(Dermal_Exp[High-End IADD (mg/kg-day)],Dermal_Exp[Worker Type],$D61,Dermal_Exp[OES],$C61),SUMIFS(Dermal_Exp[Central Tendency IADD (mg/kg-day)],Dermal_Exp[Worker Type],$D61,Dermal_Exp[OES],$C61))</f>
        <v>2.2839633248899933E-2</v>
      </c>
      <c r="L61" s="332">
        <f>IF($E61="High-End",SUMIFS(Dermal_Exp[High-End ADD (mg/kg-day)],Dermal_Exp[Worker Type],$D61,Dermal_Exp[OES],$C61),SUMIFS(Dermal_Exp[Central Tendency ADD (mg/kg-day)],Dermal_Exp[Worker Type],$D61,Dermal_Exp[OES],$C61))</f>
        <v>2.1332160568711022E-2</v>
      </c>
      <c r="M61" s="332">
        <f>IF($E61="High-End",SUMIFS(Dermal_Exp[High-End LADD (mg/kg-day)],Dermal_Exp[Worker Type],$D61,Dermal_Exp[OES],$C61),SUMIFS(Dermal_Exp[Central Tendency LADD (mg/kg-day)],Dermal_Exp[Worker Type],$D61,Dermal_Exp[OES],$C61))</f>
        <v>1.0939569522415909E-2</v>
      </c>
      <c r="N61" s="332">
        <f t="shared" si="5"/>
        <v>0.10570484397122247</v>
      </c>
      <c r="O61" s="332">
        <f t="shared" si="2"/>
        <v>7.751688557889648E-2</v>
      </c>
      <c r="P61" s="332">
        <f t="shared" si="3"/>
        <v>7.2400578062481138E-2</v>
      </c>
      <c r="Q61" s="516">
        <f t="shared" si="4"/>
        <v>3.7128501570503153E-2</v>
      </c>
      <c r="AE61" s="26"/>
      <c r="AF61" s="26"/>
      <c r="AG61" s="26"/>
      <c r="AH61" s="26"/>
      <c r="AI61" s="26"/>
      <c r="AJ61" s="26"/>
      <c r="AK61" s="26"/>
    </row>
    <row r="62" spans="3:37" x14ac:dyDescent="0.25">
      <c r="C62" s="512" t="str" cm="1">
        <f t="array" ref="C62">INDEX('List Values'!$B$2:$B$17,(1+ROUNDDOWN((ROW()-ROW($C$5))*1/6,2)))</f>
        <v>Use of Laboratory Chemicals (Solid)</v>
      </c>
      <c r="D62" s="513" t="s">
        <v>72</v>
      </c>
      <c r="E62" s="514" t="s">
        <v>91</v>
      </c>
      <c r="F62" s="515">
        <f>IF(E62="High-End",SUMIFS(Inhalation_Exp[24hr_High-End],Inhalation_Exp[OES],$C62,Inhalation_Exp[Worker Type],$D62),SUMIFS(Inhalation_Exp[24hr_Central Tendency],Inhalation_Exp[OES],$C62,Inhalation_Exp[Worker Type],$D62))</f>
        <v>5.2468070417673457E-3</v>
      </c>
      <c r="G62" s="394">
        <f>IF(E62="High-End",SUMIFS(Inhalation_Exp[Int_High-End],Inhalation_Exp[OES],$C62,Inhalation_Exp[Worker Type],$D62),SUMIFS(Inhalation_Exp[Int_Central Tendency],Inhalation_Exp[OES],$C62,Inhalation_Exp[Worker Type],$D62))</f>
        <v>3.8476584972960536E-3</v>
      </c>
      <c r="H62" s="394">
        <f>IF(E62="High-End",SUMIFS(Inhalation_Exp[ADD_High-End],Inhalation_Exp[OES],$C62,Inhalation_Exp[Worker Type],$D62),SUMIFS(Inhalation_Exp[ADD_Central Tendency],Inhalation_Exp[OES],$C62,Inhalation_Exp[Worker Type],$D62))</f>
        <v>3.5937034532653052E-3</v>
      </c>
      <c r="I62" s="394">
        <f>IF(E62="High-End",SUMIFS(Inhalation_Exp[LADD_High-End],Inhalation_Exp[OES],$C62,Inhalation_Exp[Worker Type],$D62),SUMIFS(Inhalation_Exp[LADD_Central Tendency],Inhalation_Exp[OES],$C62,Inhalation_Exp[Worker Type],$D62))</f>
        <v>1.4282667570669804E-3</v>
      </c>
      <c r="J62" s="394">
        <f>IF($E62="High-End",SUMIFS(Dermal_Exp[High-End AD (mg/kg-day)],Dermal_Exp[Worker Type],$D62,Dermal_Exp[OES],$C62),SUMIFS(Dermal_Exp[Central Tendency AD (mg/kg-day)],Dermal_Exp[Worker Type],$D62,Dermal_Exp[OES],$C62))</f>
        <v>1.5572477215159045E-2</v>
      </c>
      <c r="K62" s="332">
        <f>IF($E62="High-End",SUMIFS(Dermal_Exp[High-End IADD (mg/kg-day)],Dermal_Exp[Worker Type],$D62,Dermal_Exp[OES],$C62),SUMIFS(Dermal_Exp[Central Tendency IADD (mg/kg-day)],Dermal_Exp[Worker Type],$D62,Dermal_Exp[OES],$C62))</f>
        <v>1.1419816624449967E-2</v>
      </c>
      <c r="L62" s="332">
        <f>IF($E62="High-End",SUMIFS(Dermal_Exp[High-End ADD (mg/kg-day)],Dermal_Exp[Worker Type],$D62,Dermal_Exp[OES],$C62),SUMIFS(Dermal_Exp[Central Tendency ADD (mg/kg-day)],Dermal_Exp[Worker Type],$D62,Dermal_Exp[OES],$C62))</f>
        <v>1.0666080284355511E-2</v>
      </c>
      <c r="M62" s="332">
        <f>IF($E62="High-End",SUMIFS(Dermal_Exp[High-End LADD (mg/kg-day)],Dermal_Exp[Worker Type],$D62,Dermal_Exp[OES],$C62),SUMIFS(Dermal_Exp[Central Tendency LADD (mg/kg-day)],Dermal_Exp[Worker Type],$D62,Dermal_Exp[OES],$C62))</f>
        <v>4.2390831899361643E-3</v>
      </c>
      <c r="N62" s="332">
        <f t="shared" si="5"/>
        <v>2.081928425692639E-2</v>
      </c>
      <c r="O62" s="332">
        <f t="shared" si="2"/>
        <v>1.526747512174602E-2</v>
      </c>
      <c r="P62" s="332">
        <f t="shared" si="3"/>
        <v>1.4259783737620817E-2</v>
      </c>
      <c r="Q62" s="516">
        <f t="shared" si="4"/>
        <v>5.6673499470031447E-3</v>
      </c>
      <c r="AE62" s="26"/>
      <c r="AF62" s="26"/>
      <c r="AG62" s="26"/>
      <c r="AH62" s="26"/>
      <c r="AI62" s="26"/>
      <c r="AJ62" s="26"/>
      <c r="AK62" s="26"/>
    </row>
    <row r="63" spans="3:37" x14ac:dyDescent="0.25">
      <c r="C63" s="512" t="str" cm="1">
        <f t="array" ref="C63">INDEX('List Values'!$B$2:$B$17,(1+ROUNDDOWN((ROW()-ROW($C$5))*1/6,2)))</f>
        <v>Use of Laboratory Chemicals (Solid)</v>
      </c>
      <c r="D63" s="513" t="s">
        <v>92</v>
      </c>
      <c r="E63" s="514" t="s">
        <v>90</v>
      </c>
      <c r="F63" s="515">
        <f>IF(E63="High-End",SUMIFS(Inhalation_Exp[24hr_High-End],Inhalation_Exp[OES],$C63,Inhalation_Exp[Worker Type],$D63),SUMIFS(Inhalation_Exp[24hr_Central Tendency],Inhalation_Exp[OES],$C63,Inhalation_Exp[Worker Type],$D63))</f>
        <v>4.7500000000000007E-3</v>
      </c>
      <c r="G63" s="394">
        <f>IF(E63="High-End",SUMIFS(Inhalation_Exp[Int_High-End],Inhalation_Exp[OES],$C63,Inhalation_Exp[Worker Type],$D63),SUMIFS(Inhalation_Exp[Int_Central Tendency],Inhalation_Exp[OES],$C63,Inhalation_Exp[Worker Type],$D63))</f>
        <v>3.4833333333333335E-3</v>
      </c>
      <c r="H63" s="394">
        <f>IF(E63="High-End",SUMIFS(Inhalation_Exp[ADD_High-End],Inhalation_Exp[OES],$C63,Inhalation_Exp[Worker Type],$D63),SUMIFS(Inhalation_Exp[ADD_Central Tendency],Inhalation_Exp[OES],$C63,Inhalation_Exp[Worker Type],$D63))</f>
        <v>3.2534246575342471E-3</v>
      </c>
      <c r="I63" s="394">
        <f>IF(E63="High-End",SUMIFS(Inhalation_Exp[LADD_High-End],Inhalation_Exp[OES],$C63,Inhalation_Exp[Worker Type],$D63),SUMIFS(Inhalation_Exp[LADD_Central Tendency],Inhalation_Exp[OES],$C63,Inhalation_Exp[Worker Type],$D63))</f>
        <v>1.6684229012996139E-3</v>
      </c>
      <c r="J63" s="394">
        <f>IF($E63="High-End",SUMIFS(Dermal_Exp[High-End AD (mg/kg-day)],Dermal_Exp[Worker Type],$D63,Dermal_Exp[OES],$C63),SUMIFS(Dermal_Exp[Central Tendency AD (mg/kg-day)],Dermal_Exp[Worker Type],$D63,Dermal_Exp[OES],$C63))</f>
        <v>1.6943380125055349E-2</v>
      </c>
      <c r="K63" s="332">
        <f>IF($E63="High-End",SUMIFS(Dermal_Exp[High-End IADD (mg/kg-day)],Dermal_Exp[Worker Type],$D63,Dermal_Exp[OES],$C63),SUMIFS(Dermal_Exp[Central Tendency IADD (mg/kg-day)],Dermal_Exp[Worker Type],$D63,Dermal_Exp[OES],$C63))</f>
        <v>1.2425145425040588E-2</v>
      </c>
      <c r="L63" s="332">
        <f>IF($E63="High-End",SUMIFS(Dermal_Exp[High-End ADD (mg/kg-day)],Dermal_Exp[Worker Type],$D63,Dermal_Exp[OES],$C63),SUMIFS(Dermal_Exp[Central Tendency ADD (mg/kg-day)],Dermal_Exp[Worker Type],$D63,Dermal_Exp[OES],$C63))</f>
        <v>1.1605054880174895E-2</v>
      </c>
      <c r="M63" s="332">
        <f>IF($E63="High-End",SUMIFS(Dermal_Exp[High-End LADD (mg/kg-day)],Dermal_Exp[Worker Type],$D63,Dermal_Exp[OES],$C63),SUMIFS(Dermal_Exp[Central Tendency LADD (mg/kg-day)],Dermal_Exp[Worker Type],$D63,Dermal_Exp[OES],$C63))</f>
        <v>5.9513101949614849E-3</v>
      </c>
      <c r="N63" s="332">
        <f t="shared" si="5"/>
        <v>2.169338012505535E-2</v>
      </c>
      <c r="O63" s="332">
        <f t="shared" si="2"/>
        <v>1.5908478758373923E-2</v>
      </c>
      <c r="P63" s="332">
        <f t="shared" si="3"/>
        <v>1.4858479537709142E-2</v>
      </c>
      <c r="Q63" s="516">
        <f t="shared" si="4"/>
        <v>7.619733096261099E-3</v>
      </c>
      <c r="AE63" s="26"/>
      <c r="AF63" s="26"/>
      <c r="AG63" s="26"/>
      <c r="AH63" s="26"/>
      <c r="AI63" s="26"/>
      <c r="AJ63" s="26"/>
      <c r="AK63" s="26"/>
    </row>
    <row r="64" spans="3:37" x14ac:dyDescent="0.25">
      <c r="C64" s="512" t="str" cm="1">
        <f t="array" ref="C64">INDEX('List Values'!$B$2:$B$17,(1+ROUNDDOWN((ROW()-ROW($C$5))*1/6,2)))</f>
        <v>Use of Laboratory Chemicals (Solid)</v>
      </c>
      <c r="D64" s="513" t="s">
        <v>92</v>
      </c>
      <c r="E64" s="514" t="s">
        <v>91</v>
      </c>
      <c r="F64" s="515">
        <f>IF(E64="High-End",SUMIFS(Inhalation_Exp[24hr_High-End],Inhalation_Exp[OES],$C64,Inhalation_Exp[Worker Type],$D64),SUMIFS(Inhalation_Exp[24hr_Central Tendency],Inhalation_Exp[OES],$C64,Inhalation_Exp[Worker Type],$D64))</f>
        <v>4.7500000000000007E-3</v>
      </c>
      <c r="G64" s="394">
        <f>IF(E64="High-End",SUMIFS(Inhalation_Exp[Int_High-End],Inhalation_Exp[OES],$C64,Inhalation_Exp[Worker Type],$D64),SUMIFS(Inhalation_Exp[Int_Central Tendency],Inhalation_Exp[OES],$C64,Inhalation_Exp[Worker Type],$D64))</f>
        <v>3.4833333333333335E-3</v>
      </c>
      <c r="H64" s="394">
        <f>IF(E64="High-End",SUMIFS(Inhalation_Exp[ADD_High-End],Inhalation_Exp[OES],$C64,Inhalation_Exp[Worker Type],$D64),SUMIFS(Inhalation_Exp[ADD_Central Tendency],Inhalation_Exp[OES],$C64,Inhalation_Exp[Worker Type],$D64))</f>
        <v>3.2534246575342471E-3</v>
      </c>
      <c r="I64" s="394">
        <f>IF(E64="High-End",SUMIFS(Inhalation_Exp[LADD_High-End],Inhalation_Exp[OES],$C64,Inhalation_Exp[Worker Type],$D64),SUMIFS(Inhalation_Exp[LADD_Central Tendency],Inhalation_Exp[OES],$C64,Inhalation_Exp[Worker Type],$D64))</f>
        <v>1.2930277485072009E-3</v>
      </c>
      <c r="J64" s="394">
        <f>IF($E64="High-End",SUMIFS(Dermal_Exp[High-End AD (mg/kg-day)],Dermal_Exp[Worker Type],$D64,Dermal_Exp[OES],$C64),SUMIFS(Dermal_Exp[Central Tendency AD (mg/kg-day)],Dermal_Exp[Worker Type],$D64,Dermal_Exp[OES],$C64))</f>
        <v>1.6943380125055349E-2</v>
      </c>
      <c r="K64" s="332">
        <f>IF($E64="High-End",SUMIFS(Dermal_Exp[High-End IADD (mg/kg-day)],Dermal_Exp[Worker Type],$D64,Dermal_Exp[OES],$C64),SUMIFS(Dermal_Exp[Central Tendency IADD (mg/kg-day)],Dermal_Exp[Worker Type],$D64,Dermal_Exp[OES],$C64))</f>
        <v>1.2425145425040588E-2</v>
      </c>
      <c r="L64" s="332">
        <f>IF($E64="High-End",SUMIFS(Dermal_Exp[High-End ADD (mg/kg-day)],Dermal_Exp[Worker Type],$D64,Dermal_Exp[OES],$C64),SUMIFS(Dermal_Exp[Central Tendency ADD (mg/kg-day)],Dermal_Exp[Worker Type],$D64,Dermal_Exp[OES],$C64))</f>
        <v>1.1605054880174897E-2</v>
      </c>
      <c r="M64" s="332">
        <f>IF($E64="High-End",SUMIFS(Dermal_Exp[High-End LADD (mg/kg-day)],Dermal_Exp[Worker Type],$D64,Dermal_Exp[OES],$C64),SUMIFS(Dermal_Exp[Central Tendency LADD (mg/kg-day)],Dermal_Exp[Worker Type],$D64,Dermal_Exp[OES],$C64))</f>
        <v>4.612265401095151E-3</v>
      </c>
      <c r="N64" s="332">
        <f t="shared" si="5"/>
        <v>2.169338012505535E-2</v>
      </c>
      <c r="O64" s="332">
        <f t="shared" si="2"/>
        <v>1.5908478758373923E-2</v>
      </c>
      <c r="P64" s="332">
        <f t="shared" si="3"/>
        <v>1.4858479537709144E-2</v>
      </c>
      <c r="Q64" s="516">
        <f t="shared" si="4"/>
        <v>5.905293149602352E-3</v>
      </c>
      <c r="AE64" s="26"/>
      <c r="AF64" s="26"/>
      <c r="AG64" s="26"/>
      <c r="AH64" s="26"/>
      <c r="AI64" s="26"/>
      <c r="AJ64" s="26"/>
      <c r="AK64" s="26"/>
    </row>
    <row r="65" spans="3:37" x14ac:dyDescent="0.25">
      <c r="C65" s="512" t="str" cm="1">
        <f t="array" ref="C65">INDEX('List Values'!$B$2:$B$17,(1+ROUNDDOWN((ROW()-ROW($C$5))*1/6,2)))</f>
        <v>Use of Laboratory Chemicals (Liquid)</v>
      </c>
      <c r="D65" s="513" t="s">
        <v>197</v>
      </c>
      <c r="E65" s="514" t="s">
        <v>90</v>
      </c>
      <c r="F65" s="515">
        <f>IF(E65="High-End",SUMIFS(Inhalation_Exp[24hr_High-End],Inhalation_Exp[OES],$C65,Inhalation_Exp[Worker Type],$D65),SUMIFS(Inhalation_Exp[24hr_Central Tendency],Inhalation_Exp[OES],$C65,Inhalation_Exp[Worker Type],$D65))</f>
        <v>1.2500000000000001E-2</v>
      </c>
      <c r="G65" s="394">
        <f>IF(E65="High-End",SUMIFS(Inhalation_Exp[Int_High-End],Inhalation_Exp[OES],$C65,Inhalation_Exp[Worker Type],$D65),SUMIFS(Inhalation_Exp[Int_Central Tendency],Inhalation_Exp[OES],$C65,Inhalation_Exp[Worker Type],$D65))</f>
        <v>9.1666666666666667E-3</v>
      </c>
      <c r="H65" s="394">
        <f>IF(E65="High-End",SUMIFS(Inhalation_Exp[ADD_High-End],Inhalation_Exp[OES],$C65,Inhalation_Exp[Worker Type],$D65),SUMIFS(Inhalation_Exp[ADD_Central Tendency],Inhalation_Exp[OES],$C65,Inhalation_Exp[Worker Type],$D65))</f>
        <v>8.5616438356164379E-3</v>
      </c>
      <c r="I65" s="394">
        <f>IF(E65="High-End",SUMIFS(Inhalation_Exp[LADD_High-End],Inhalation_Exp[OES],$C65,Inhalation_Exp[Worker Type],$D65),SUMIFS(Inhalation_Exp[LADD_Central Tendency],Inhalation_Exp[OES],$C65,Inhalation_Exp[Worker Type],$D65))</f>
        <v>4.3905865823674044E-3</v>
      </c>
      <c r="J65" s="394">
        <f>IF($E65="High-End",SUMIFS(Dermal_Exp[High-End AD (mg/kg-day)],Dermal_Exp[Worker Type],$D65,Dermal_Exp[OES],$C65),SUMIFS(Dermal_Exp[Central Tendency AD (mg/kg-day)],Dermal_Exp[Worker Type],$D65,Dermal_Exp[OES],$C65))</f>
        <v>2.5100416666666665</v>
      </c>
      <c r="K65" s="332">
        <f>IF($E65="High-End",SUMIFS(Dermal_Exp[High-End IADD (mg/kg-day)],Dermal_Exp[Worker Type],$D65,Dermal_Exp[OES],$C65),SUMIFS(Dermal_Exp[Central Tendency IADD (mg/kg-day)],Dermal_Exp[Worker Type],$D65,Dermal_Exp[OES],$C65))</f>
        <v>1.840697222222222</v>
      </c>
      <c r="L65" s="332">
        <f>IF($E65="High-End",SUMIFS(Dermal_Exp[High-End ADD (mg/kg-day)],Dermal_Exp[Worker Type],$D65,Dermal_Exp[OES],$C65),SUMIFS(Dermal_Exp[Central Tendency ADD (mg/kg-day)],Dermal_Exp[Worker Type],$D65,Dermal_Exp[OES],$C65))</f>
        <v>1.719206621004566</v>
      </c>
      <c r="M65" s="332">
        <f>IF($E65="High-End",SUMIFS(Dermal_Exp[High-End LADD (mg/kg-day)],Dermal_Exp[Worker Type],$D65,Dermal_Exp[OES],$C65),SUMIFS(Dermal_Exp[Central Tendency LADD (mg/kg-day)],Dermal_Exp[Worker Type],$D65,Dermal_Exp[OES],$C65))</f>
        <v>0.88164442102798257</v>
      </c>
      <c r="N65" s="332">
        <f t="shared" si="5"/>
        <v>2.5225416666666667</v>
      </c>
      <c r="O65" s="332">
        <f t="shared" si="2"/>
        <v>1.8498638888888888</v>
      </c>
      <c r="P65" s="332">
        <f t="shared" si="3"/>
        <v>1.7277682648401824</v>
      </c>
      <c r="Q65" s="516">
        <f t="shared" si="4"/>
        <v>0.88603500761034992</v>
      </c>
      <c r="AE65" s="26"/>
      <c r="AF65" s="26"/>
      <c r="AG65" s="26"/>
      <c r="AH65" s="26"/>
      <c r="AI65" s="26"/>
      <c r="AJ65" s="26"/>
      <c r="AK65" s="26"/>
    </row>
    <row r="66" spans="3:37" x14ac:dyDescent="0.25">
      <c r="C66" s="512" t="str" cm="1">
        <f t="array" ref="C66">INDEX('List Values'!$B$2:$B$17,(1+ROUNDDOWN((ROW()-ROW($C$5))*1/6,2)))</f>
        <v>Use of Laboratory Chemicals (Liquid)</v>
      </c>
      <c r="D66" s="513" t="s">
        <v>197</v>
      </c>
      <c r="E66" s="514" t="s">
        <v>91</v>
      </c>
      <c r="F66" s="515">
        <f>IF(E66="High-End",SUMIFS(Inhalation_Exp[24hr_High-End],Inhalation_Exp[OES],$C66,Inhalation_Exp[Worker Type],$D66),SUMIFS(Inhalation_Exp[24hr_Central Tendency],Inhalation_Exp[OES],$C66,Inhalation_Exp[Worker Type],$D66))</f>
        <v>6.2500000000000003E-3</v>
      </c>
      <c r="G66" s="394">
        <f>IF(E66="High-End",SUMIFS(Inhalation_Exp[Int_High-End],Inhalation_Exp[OES],$C66,Inhalation_Exp[Worker Type],$D66),SUMIFS(Inhalation_Exp[Int_Central Tendency],Inhalation_Exp[OES],$C66,Inhalation_Exp[Worker Type],$D66))</f>
        <v>4.5833333333333334E-3</v>
      </c>
      <c r="H66" s="394">
        <f>IF(E66="High-End",SUMIFS(Inhalation_Exp[ADD_High-End],Inhalation_Exp[OES],$C66,Inhalation_Exp[Worker Type],$D66),SUMIFS(Inhalation_Exp[ADD_Central Tendency],Inhalation_Exp[OES],$C66,Inhalation_Exp[Worker Type],$D66))</f>
        <v>4.2808219178082189E-3</v>
      </c>
      <c r="I66" s="394">
        <f>IF(E66="High-End",SUMIFS(Inhalation_Exp[LADD_High-End],Inhalation_Exp[OES],$C66,Inhalation_Exp[Worker Type],$D66),SUMIFS(Inhalation_Exp[LADD_Central Tendency],Inhalation_Exp[OES],$C66,Inhalation_Exp[Worker Type],$D66))</f>
        <v>1.7013523006673692E-3</v>
      </c>
      <c r="J66" s="394">
        <f>IF($E66="High-End",SUMIFS(Dermal_Exp[High-End AD (mg/kg-day)],Dermal_Exp[Worker Type],$D66,Dermal_Exp[OES],$C66),SUMIFS(Dermal_Exp[Central Tendency AD (mg/kg-day)],Dermal_Exp[Worker Type],$D66,Dermal_Exp[OES],$C66))</f>
        <v>0.93625000000000003</v>
      </c>
      <c r="K66" s="332">
        <f>IF($E66="High-End",SUMIFS(Dermal_Exp[High-End IADD (mg/kg-day)],Dermal_Exp[Worker Type],$D66,Dermal_Exp[OES],$C66),SUMIFS(Dermal_Exp[Central Tendency IADD (mg/kg-day)],Dermal_Exp[Worker Type],$D66,Dermal_Exp[OES],$C66))</f>
        <v>0.68658333333333332</v>
      </c>
      <c r="L66" s="332">
        <f>IF($E66="High-End",SUMIFS(Dermal_Exp[High-End ADD (mg/kg-day)],Dermal_Exp[Worker Type],$D66,Dermal_Exp[OES],$C66),SUMIFS(Dermal_Exp[Central Tendency ADD (mg/kg-day)],Dermal_Exp[Worker Type],$D66,Dermal_Exp[OES],$C66))</f>
        <v>0.64126712328767121</v>
      </c>
      <c r="M66" s="332">
        <f>IF($E66="High-End",SUMIFS(Dermal_Exp[High-End LADD (mg/kg-day)],Dermal_Exp[Worker Type],$D66,Dermal_Exp[OES],$C66),SUMIFS(Dermal_Exp[Central Tendency LADD (mg/kg-day)],Dermal_Exp[Worker Type],$D66,Dermal_Exp[OES],$C66))</f>
        <v>0.25486257463997192</v>
      </c>
      <c r="N66" s="332">
        <f t="shared" si="5"/>
        <v>0.9425</v>
      </c>
      <c r="O66" s="332">
        <f t="shared" si="2"/>
        <v>0.69116666666666671</v>
      </c>
      <c r="P66" s="332">
        <f t="shared" si="3"/>
        <v>0.64554794520547942</v>
      </c>
      <c r="Q66" s="516">
        <f t="shared" si="4"/>
        <v>0.25656392694063929</v>
      </c>
      <c r="AE66" s="26"/>
      <c r="AF66" s="26"/>
      <c r="AG66" s="26"/>
      <c r="AH66" s="26"/>
      <c r="AI66" s="26"/>
      <c r="AJ66" s="26"/>
      <c r="AK66" s="26"/>
    </row>
    <row r="67" spans="3:37" x14ac:dyDescent="0.25">
      <c r="C67" s="512" t="str" cm="1">
        <f t="array" ref="C67">INDEX('List Values'!$B$2:$B$17,(1+ROUNDDOWN((ROW()-ROW($C$5))*1/6,2)))</f>
        <v>Use of Laboratory Chemicals (Liquid)</v>
      </c>
      <c r="D67" s="513" t="s">
        <v>72</v>
      </c>
      <c r="E67" s="514" t="s">
        <v>90</v>
      </c>
      <c r="F67" s="515">
        <f>IF(E67="High-End",SUMIFS(Inhalation_Exp[24hr_High-End],Inhalation_Exp[OES],$C67,Inhalation_Exp[Worker Type],$D67),SUMIFS(Inhalation_Exp[24hr_Central Tendency],Inhalation_Exp[OES],$C67,Inhalation_Exp[Worker Type],$D67))</f>
        <v>1.3807386952019328E-2</v>
      </c>
      <c r="G67" s="394">
        <f>IF(E67="High-End",SUMIFS(Inhalation_Exp[Int_High-End],Inhalation_Exp[OES],$C67,Inhalation_Exp[Worker Type],$D67),SUMIFS(Inhalation_Exp[Int_Central Tendency],Inhalation_Exp[OES],$C67,Inhalation_Exp[Worker Type],$D67))</f>
        <v>1.0125417098147507E-2</v>
      </c>
      <c r="H67" s="394">
        <f>IF(E67="High-End",SUMIFS(Inhalation_Exp[ADD_High-End],Inhalation_Exp[OES],$C67,Inhalation_Exp[Worker Type],$D67),SUMIFS(Inhalation_Exp[ADD_Central Tendency],Inhalation_Exp[OES],$C67,Inhalation_Exp[Worker Type],$D67))</f>
        <v>9.457114350698171E-3</v>
      </c>
      <c r="I67" s="394">
        <f>IF(E67="High-End",SUMIFS(Inhalation_Exp[LADD_High-End],Inhalation_Exp[OES],$C67,Inhalation_Exp[Worker Type],$D67),SUMIFS(Inhalation_Exp[LADD_Central Tendency],Inhalation_Exp[OES],$C67,Inhalation_Exp[Worker Type],$D67))</f>
        <v>4.8498022311272669E-3</v>
      </c>
      <c r="J67" s="394">
        <f>IF($E67="High-End",SUMIFS(Dermal_Exp[High-End AD (mg/kg-day)],Dermal_Exp[Worker Type],$D67,Dermal_Exp[OES],$C67),SUMIFS(Dermal_Exp[Central Tendency AD (mg/kg-day)],Dermal_Exp[Worker Type],$D67,Dermal_Exp[OES],$C67))</f>
        <v>2.3069521178637196</v>
      </c>
      <c r="K67" s="332">
        <f>IF($E67="High-End",SUMIFS(Dermal_Exp[High-End IADD (mg/kg-day)],Dermal_Exp[Worker Type],$D67,Dermal_Exp[OES],$C67),SUMIFS(Dermal_Exp[Central Tendency IADD (mg/kg-day)],Dermal_Exp[Worker Type],$D67,Dermal_Exp[OES],$C67))</f>
        <v>1.6917648864333943</v>
      </c>
      <c r="L67" s="332">
        <f>IF($E67="High-End",SUMIFS(Dermal_Exp[High-End ADD (mg/kg-day)],Dermal_Exp[Worker Type],$D67,Dermal_Exp[OES],$C67),SUMIFS(Dermal_Exp[Central Tendency ADD (mg/kg-day)],Dermal_Exp[Worker Type],$D67,Dermal_Exp[OES],$C67))</f>
        <v>1.5801041903176161</v>
      </c>
      <c r="M67" s="332">
        <f>IF($E67="High-End",SUMIFS(Dermal_Exp[High-End LADD (mg/kg-day)],Dermal_Exp[Worker Type],$D67,Dermal_Exp[OES],$C67),SUMIFS(Dermal_Exp[Central Tendency LADD (mg/kg-day)],Dermal_Exp[Worker Type],$D67,Dermal_Exp[OES],$C67))</f>
        <v>0.81030984118852112</v>
      </c>
      <c r="N67" s="332">
        <f t="shared" si="5"/>
        <v>2.3207595048157388</v>
      </c>
      <c r="O67" s="332">
        <f t="shared" si="2"/>
        <v>1.7018903035315418</v>
      </c>
      <c r="P67" s="332">
        <f t="shared" si="3"/>
        <v>1.5895613046683141</v>
      </c>
      <c r="Q67" s="516">
        <f t="shared" si="4"/>
        <v>0.81515964341964842</v>
      </c>
      <c r="AE67" s="26"/>
      <c r="AF67" s="26"/>
      <c r="AG67" s="26"/>
      <c r="AH67" s="26"/>
      <c r="AI67" s="26"/>
      <c r="AJ67" s="26"/>
      <c r="AK67" s="26"/>
    </row>
    <row r="68" spans="3:37" x14ac:dyDescent="0.25">
      <c r="C68" s="512" t="str" cm="1">
        <f t="array" ref="C68">INDEX('List Values'!$B$2:$B$17,(1+ROUNDDOWN((ROW()-ROW($C$5))*1/6,2)))</f>
        <v>Use of Laboratory Chemicals (Liquid)</v>
      </c>
      <c r="D68" s="513" t="s">
        <v>72</v>
      </c>
      <c r="E68" s="514" t="s">
        <v>91</v>
      </c>
      <c r="F68" s="515">
        <f>IF(E68="High-End",SUMIFS(Inhalation_Exp[24hr_High-End],Inhalation_Exp[OES],$C68,Inhalation_Exp[Worker Type],$D68),SUMIFS(Inhalation_Exp[24hr_Central Tendency],Inhalation_Exp[OES],$C68,Inhalation_Exp[Worker Type],$D68))</f>
        <v>6.9036934760096638E-3</v>
      </c>
      <c r="G68" s="394">
        <f>IF(E68="High-End",SUMIFS(Inhalation_Exp[Int_High-End],Inhalation_Exp[OES],$C68,Inhalation_Exp[Worker Type],$D68),SUMIFS(Inhalation_Exp[Int_Central Tendency],Inhalation_Exp[OES],$C68,Inhalation_Exp[Worker Type],$D68))</f>
        <v>5.0627085490737534E-3</v>
      </c>
      <c r="H68" s="394">
        <f>IF(E68="High-End",SUMIFS(Inhalation_Exp[ADD_High-End],Inhalation_Exp[OES],$C68,Inhalation_Exp[Worker Type],$D68),SUMIFS(Inhalation_Exp[ADD_Central Tendency],Inhalation_Exp[OES],$C68,Inhalation_Exp[Worker Type],$D68))</f>
        <v>4.7285571753490855E-3</v>
      </c>
      <c r="I68" s="394">
        <f>IF(E68="High-End",SUMIFS(Inhalation_Exp[LADD_High-End],Inhalation_Exp[OES],$C68,Inhalation_Exp[Worker Type],$D68),SUMIFS(Inhalation_Exp[LADD_Central Tendency],Inhalation_Exp[OES],$C68,Inhalation_Exp[Worker Type],$D68))</f>
        <v>1.8792983645618158E-3</v>
      </c>
      <c r="J68" s="394">
        <f>IF($E68="High-End",SUMIFS(Dermal_Exp[High-End AD (mg/kg-day)],Dermal_Exp[Worker Type],$D68,Dermal_Exp[OES],$C68),SUMIFS(Dermal_Exp[Central Tendency AD (mg/kg-day)],Dermal_Exp[Worker Type],$D68,Dermal_Exp[OES],$C68))</f>
        <v>0.86049723756906071</v>
      </c>
      <c r="K68" s="332">
        <f>IF($E68="High-End",SUMIFS(Dermal_Exp[High-End IADD (mg/kg-day)],Dermal_Exp[Worker Type],$D68,Dermal_Exp[OES],$C68),SUMIFS(Dermal_Exp[Central Tendency IADD (mg/kg-day)],Dermal_Exp[Worker Type],$D68,Dermal_Exp[OES],$C68))</f>
        <v>0.63103130755064452</v>
      </c>
      <c r="L68" s="332">
        <f>IF($E68="High-End",SUMIFS(Dermal_Exp[High-End ADD (mg/kg-day)],Dermal_Exp[Worker Type],$D68,Dermal_Exp[OES],$C68),SUMIFS(Dermal_Exp[Central Tendency ADD (mg/kg-day)],Dermal_Exp[Worker Type],$D68,Dermal_Exp[OES],$C68))</f>
        <v>0.58938166956784988</v>
      </c>
      <c r="M68" s="332">
        <f>IF($E68="High-End",SUMIFS(Dermal_Exp[High-End LADD (mg/kg-day)],Dermal_Exp[Worker Type],$D68,Dermal_Exp[OES],$C68),SUMIFS(Dermal_Exp[Central Tendency LADD (mg/kg-day)],Dermal_Exp[Worker Type],$D68,Dermal_Exp[OES],$C68))</f>
        <v>0.23424143277696596</v>
      </c>
      <c r="N68" s="332">
        <f t="shared" si="5"/>
        <v>0.86740093104507032</v>
      </c>
      <c r="O68" s="332">
        <f t="shared" si="2"/>
        <v>0.63609401609971827</v>
      </c>
      <c r="P68" s="332">
        <f t="shared" si="3"/>
        <v>0.59411022674319891</v>
      </c>
      <c r="Q68" s="516">
        <f t="shared" si="4"/>
        <v>0.23612073114152779</v>
      </c>
      <c r="AE68" s="26"/>
      <c r="AF68" s="26"/>
      <c r="AG68" s="26"/>
      <c r="AH68" s="26"/>
      <c r="AI68" s="26"/>
      <c r="AJ68" s="26"/>
      <c r="AK68" s="26"/>
    </row>
    <row r="69" spans="3:37" x14ac:dyDescent="0.25">
      <c r="C69" s="512" t="str" cm="1">
        <f t="array" ref="C69">INDEX('List Values'!$B$2:$B$17,(1+ROUNDDOWN((ROW()-ROW($C$5))*1/6,2)))</f>
        <v>Use of Laboratory Chemicals (Liquid)</v>
      </c>
      <c r="D69" s="513" t="s">
        <v>92</v>
      </c>
      <c r="E69" s="514" t="s">
        <v>90</v>
      </c>
      <c r="F69" s="515">
        <f>IF(E69="High-End",SUMIFS(Inhalation_Exp[24hr_High-End],Inhalation_Exp[OES],$C69,Inhalation_Exp[Worker Type],$D69),SUMIFS(Inhalation_Exp[24hr_Central Tendency],Inhalation_Exp[OES],$C69,Inhalation_Exp[Worker Type],$D69))</f>
        <v>6.2500000000000003E-3</v>
      </c>
      <c r="G69" s="394">
        <f>IF(E69="High-End",SUMIFS(Inhalation_Exp[Int_High-End],Inhalation_Exp[OES],$C69,Inhalation_Exp[Worker Type],$D69),SUMIFS(Inhalation_Exp[Int_Central Tendency],Inhalation_Exp[OES],$C69,Inhalation_Exp[Worker Type],$D69))</f>
        <v>4.5833333333333334E-3</v>
      </c>
      <c r="H69" s="394">
        <f>IF(E69="High-End",SUMIFS(Inhalation_Exp[ADD_High-End],Inhalation_Exp[OES],$C69,Inhalation_Exp[Worker Type],$D69),SUMIFS(Inhalation_Exp[ADD_Central Tendency],Inhalation_Exp[OES],$C69,Inhalation_Exp[Worker Type],$D69))</f>
        <v>4.2808219178082189E-3</v>
      </c>
      <c r="I69" s="394">
        <f>IF(E69="High-End",SUMIFS(Inhalation_Exp[LADD_High-End],Inhalation_Exp[OES],$C69,Inhalation_Exp[Worker Type],$D69),SUMIFS(Inhalation_Exp[LADD_Central Tendency],Inhalation_Exp[OES],$C69,Inhalation_Exp[Worker Type],$D69))</f>
        <v>2.1952932911837022E-3</v>
      </c>
      <c r="J69" s="394">
        <f>IF($E69="High-End",SUMIFS(Dermal_Exp[High-End AD (mg/kg-day)],Dermal_Exp[Worker Type],$D69,Dermal_Exp[OES],$C69),SUMIFS(Dermal_Exp[Central Tendency AD (mg/kg-day)],Dermal_Exp[Worker Type],$D69,Dermal_Exp[OES],$C69))</f>
        <v>0</v>
      </c>
      <c r="K69" s="332">
        <f>IF($E69="High-End",SUMIFS(Dermal_Exp[High-End IADD (mg/kg-day)],Dermal_Exp[Worker Type],$D69,Dermal_Exp[OES],$C69),SUMIFS(Dermal_Exp[Central Tendency IADD (mg/kg-day)],Dermal_Exp[Worker Type],$D69,Dermal_Exp[OES],$C69))</f>
        <v>0</v>
      </c>
      <c r="L69" s="332">
        <f>IF($E69="High-End",SUMIFS(Dermal_Exp[High-End ADD (mg/kg-day)],Dermal_Exp[Worker Type],$D69,Dermal_Exp[OES],$C69),SUMIFS(Dermal_Exp[Central Tendency ADD (mg/kg-day)],Dermal_Exp[Worker Type],$D69,Dermal_Exp[OES],$C69))</f>
        <v>0</v>
      </c>
      <c r="M69" s="332">
        <f>IF($E69="High-End",SUMIFS(Dermal_Exp[High-End LADD (mg/kg-day)],Dermal_Exp[Worker Type],$D69,Dermal_Exp[OES],$C69),SUMIFS(Dermal_Exp[Central Tendency LADD (mg/kg-day)],Dermal_Exp[Worker Type],$D69,Dermal_Exp[OES],$C69))</f>
        <v>0</v>
      </c>
      <c r="N69" s="332">
        <f t="shared" si="5"/>
        <v>6.2500000000000003E-3</v>
      </c>
      <c r="O69" s="332">
        <f t="shared" si="2"/>
        <v>4.5833333333333334E-3</v>
      </c>
      <c r="P69" s="332">
        <f t="shared" si="3"/>
        <v>4.2808219178082189E-3</v>
      </c>
      <c r="Q69" s="516">
        <f t="shared" si="4"/>
        <v>2.1952932911837022E-3</v>
      </c>
      <c r="AE69" s="26"/>
      <c r="AF69" s="26"/>
      <c r="AG69" s="26"/>
      <c r="AH69" s="26"/>
      <c r="AI69" s="26"/>
      <c r="AJ69" s="26"/>
      <c r="AK69" s="26"/>
    </row>
    <row r="70" spans="3:37" x14ac:dyDescent="0.25">
      <c r="C70" s="512" t="str" cm="1">
        <f t="array" ref="C70">INDEX('List Values'!$B$2:$B$17,(1+ROUNDDOWN((ROW()-ROW($C$5))*1/6,2)))</f>
        <v>Use of Laboratory Chemicals (Liquid)</v>
      </c>
      <c r="D70" s="513" t="s">
        <v>92</v>
      </c>
      <c r="E70" s="514" t="s">
        <v>91</v>
      </c>
      <c r="F70" s="515">
        <f>IF(E70="High-End",SUMIFS(Inhalation_Exp[24hr_High-End],Inhalation_Exp[OES],$C70,Inhalation_Exp[Worker Type],$D70),SUMIFS(Inhalation_Exp[24hr_Central Tendency],Inhalation_Exp[OES],$C70,Inhalation_Exp[Worker Type],$D70))</f>
        <v>6.2500000000000003E-3</v>
      </c>
      <c r="G70" s="394">
        <f>IF(E70="High-End",SUMIFS(Inhalation_Exp[Int_High-End],Inhalation_Exp[OES],$C70,Inhalation_Exp[Worker Type],$D70),SUMIFS(Inhalation_Exp[Int_Central Tendency],Inhalation_Exp[OES],$C70,Inhalation_Exp[Worker Type],$D70))</f>
        <v>4.5833333333333334E-3</v>
      </c>
      <c r="H70" s="394">
        <f>IF(E70="High-End",SUMIFS(Inhalation_Exp[ADD_High-End],Inhalation_Exp[OES],$C70,Inhalation_Exp[Worker Type],$D70),SUMIFS(Inhalation_Exp[ADD_Central Tendency],Inhalation_Exp[OES],$C70,Inhalation_Exp[Worker Type],$D70))</f>
        <v>4.2808219178082189E-3</v>
      </c>
      <c r="I70" s="394">
        <f>IF(E70="High-End",SUMIFS(Inhalation_Exp[LADD_High-End],Inhalation_Exp[OES],$C70,Inhalation_Exp[Worker Type],$D70),SUMIFS(Inhalation_Exp[LADD_Central Tendency],Inhalation_Exp[OES],$C70,Inhalation_Exp[Worker Type],$D70))</f>
        <v>1.7013523006673692E-3</v>
      </c>
      <c r="J70" s="394">
        <f>IF($E70="High-End",SUMIFS(Dermal_Exp[High-End AD (mg/kg-day)],Dermal_Exp[Worker Type],$D70,Dermal_Exp[OES],$C70),SUMIFS(Dermal_Exp[Central Tendency AD (mg/kg-day)],Dermal_Exp[Worker Type],$D70,Dermal_Exp[OES],$C70))</f>
        <v>0</v>
      </c>
      <c r="K70" s="332">
        <f>IF($E70="High-End",SUMIFS(Dermal_Exp[High-End IADD (mg/kg-day)],Dermal_Exp[Worker Type],$D70,Dermal_Exp[OES],$C70),SUMIFS(Dermal_Exp[Central Tendency IADD (mg/kg-day)],Dermal_Exp[Worker Type],$D70,Dermal_Exp[OES],$C70))</f>
        <v>0</v>
      </c>
      <c r="L70" s="332">
        <f>IF($E70="High-End",SUMIFS(Dermal_Exp[High-End ADD (mg/kg-day)],Dermal_Exp[Worker Type],$D70,Dermal_Exp[OES],$C70),SUMIFS(Dermal_Exp[Central Tendency ADD (mg/kg-day)],Dermal_Exp[Worker Type],$D70,Dermal_Exp[OES],$C70))</f>
        <v>0</v>
      </c>
      <c r="M70" s="332">
        <f>IF($E70="High-End",SUMIFS(Dermal_Exp[High-End LADD (mg/kg-day)],Dermal_Exp[Worker Type],$D70,Dermal_Exp[OES],$C70),SUMIFS(Dermal_Exp[Central Tendency LADD (mg/kg-day)],Dermal_Exp[Worker Type],$D70,Dermal_Exp[OES],$C70))</f>
        <v>0</v>
      </c>
      <c r="N70" s="332">
        <f t="shared" si="5"/>
        <v>6.2500000000000003E-3</v>
      </c>
      <c r="O70" s="332">
        <f t="shared" si="2"/>
        <v>4.5833333333333334E-3</v>
      </c>
      <c r="P70" s="332">
        <f t="shared" si="3"/>
        <v>4.2808219178082189E-3</v>
      </c>
      <c r="Q70" s="516">
        <f t="shared" si="4"/>
        <v>1.7013523006673692E-3</v>
      </c>
      <c r="AE70" s="26"/>
      <c r="AF70" s="26"/>
      <c r="AG70" s="26"/>
      <c r="AH70" s="26"/>
      <c r="AI70" s="26"/>
      <c r="AJ70" s="26"/>
      <c r="AK70" s="26"/>
    </row>
    <row r="71" spans="3:37" x14ac:dyDescent="0.25">
      <c r="C71" s="512" t="str" cm="1">
        <f t="array" ref="C71">INDEX('List Values'!$B$2:$B$17,(1+ROUNDDOWN((ROW()-ROW($C$5))*1/6,2)))</f>
        <v>Use of Lubricants and Functional Fluids</v>
      </c>
      <c r="D71" s="513" t="s">
        <v>197</v>
      </c>
      <c r="E71" s="514" t="s">
        <v>90</v>
      </c>
      <c r="F71" s="515">
        <f>IF(E71="High-End",SUMIFS(Inhalation_Exp[24hr_High-End],Inhalation_Exp[OES],$C71,Inhalation_Exp[Worker Type],$D71),SUMIFS(Inhalation_Exp[24hr_Central Tendency],Inhalation_Exp[OES],$C71,Inhalation_Exp[Worker Type],$D71))</f>
        <v>1.2500000000000001E-2</v>
      </c>
      <c r="G71" s="394">
        <f>IF(E71="High-End",SUMIFS(Inhalation_Exp[Int_High-End],Inhalation_Exp[OES],$C71,Inhalation_Exp[Worker Type],$D71),SUMIFS(Inhalation_Exp[Int_Central Tendency],Inhalation_Exp[OES],$C71,Inhalation_Exp[Worker Type],$D71))</f>
        <v>1.6666666666666668E-3</v>
      </c>
      <c r="H71" s="394">
        <f>IF(E71="High-End",SUMIFS(Inhalation_Exp[ADD_High-End],Inhalation_Exp[OES],$C71,Inhalation_Exp[Worker Type],$D71),SUMIFS(Inhalation_Exp[ADD_Central Tendency],Inhalation_Exp[OES],$C71,Inhalation_Exp[Worker Type],$D71))</f>
        <v>1.36986301369863E-4</v>
      </c>
      <c r="I71" s="394">
        <f>IF(E71="High-End",SUMIFS(Inhalation_Exp[LADD_High-End],Inhalation_Exp[OES],$C71,Inhalation_Exp[Worker Type],$D71),SUMIFS(Inhalation_Exp[LADD_Central Tendency],Inhalation_Exp[OES],$C71,Inhalation_Exp[Worker Type],$D71))</f>
        <v>7.0249385317878473E-5</v>
      </c>
      <c r="J71" s="394">
        <f>IF($E71="High-End",SUMIFS(Dermal_Exp[High-End AD (mg/kg-day)],Dermal_Exp[Worker Type],$D71,Dermal_Exp[OES],$C71),SUMIFS(Dermal_Exp[Central Tendency AD (mg/kg-day)],Dermal_Exp[Worker Type],$D71,Dermal_Exp[OES],$C71))</f>
        <v>2.1065624999999999</v>
      </c>
      <c r="K71" s="332">
        <f>IF($E71="High-End",SUMIFS(Dermal_Exp[High-End IADD (mg/kg-day)],Dermal_Exp[Worker Type],$D71,Dermal_Exp[OES],$C71),SUMIFS(Dermal_Exp[Central Tendency IADD (mg/kg-day)],Dermal_Exp[Worker Type],$D71,Dermal_Exp[OES],$C71))</f>
        <v>0.28087499999999999</v>
      </c>
      <c r="L71" s="332">
        <f>IF($E71="High-End",SUMIFS(Dermal_Exp[High-End ADD (mg/kg-day)],Dermal_Exp[Worker Type],$D71,Dermal_Exp[OES],$C71),SUMIFS(Dermal_Exp[Central Tendency ADD (mg/kg-day)],Dermal_Exp[Worker Type],$D71,Dermal_Exp[OES],$C71))</f>
        <v>2.308561643835616E-2</v>
      </c>
      <c r="M71" s="332">
        <f>IF($E71="High-End",SUMIFS(Dermal_Exp[High-End LADD (mg/kg-day)],Dermal_Exp[Worker Type],$D71,Dermal_Exp[OES],$C71),SUMIFS(Dermal_Exp[Central Tendency LADD (mg/kg-day)],Dermal_Exp[Worker Type],$D71,Dermal_Exp[OES],$C71))</f>
        <v>1.1838777660695467E-2</v>
      </c>
      <c r="N71" s="332">
        <f t="shared" si="5"/>
        <v>2.1190625000000001</v>
      </c>
      <c r="O71" s="332">
        <f t="shared" si="2"/>
        <v>0.28254166666666664</v>
      </c>
      <c r="P71" s="332">
        <f t="shared" si="3"/>
        <v>2.3222602739726022E-2</v>
      </c>
      <c r="Q71" s="516">
        <f t="shared" si="4"/>
        <v>1.1909027046013345E-2</v>
      </c>
      <c r="AE71" s="26"/>
      <c r="AF71" s="26"/>
      <c r="AG71" s="26"/>
      <c r="AH71" s="26"/>
      <c r="AI71" s="26"/>
      <c r="AJ71" s="26"/>
      <c r="AK71" s="26"/>
    </row>
    <row r="72" spans="3:37" x14ac:dyDescent="0.25">
      <c r="C72" s="512" t="str" cm="1">
        <f t="array" ref="C72">INDEX('List Values'!$B$2:$B$17,(1+ROUNDDOWN((ROW()-ROW($C$5))*1/6,2)))</f>
        <v>Use of Lubricants and Functional Fluids</v>
      </c>
      <c r="D72" s="513" t="s">
        <v>197</v>
      </c>
      <c r="E72" s="514" t="s">
        <v>91</v>
      </c>
      <c r="F72" s="515">
        <f>IF(E72="High-End",SUMIFS(Inhalation_Exp[24hr_High-End],Inhalation_Exp[OES],$C72,Inhalation_Exp[Worker Type],$D72),SUMIFS(Inhalation_Exp[24hr_Central Tendency],Inhalation_Exp[OES],$C72,Inhalation_Exp[Worker Type],$D72))</f>
        <v>6.2500000000000003E-3</v>
      </c>
      <c r="G72" s="394">
        <f>IF(E72="High-End",SUMIFS(Inhalation_Exp[Int_High-End],Inhalation_Exp[OES],$C72,Inhalation_Exp[Worker Type],$D72),SUMIFS(Inhalation_Exp[Int_Central Tendency],Inhalation_Exp[OES],$C72,Inhalation_Exp[Worker Type],$D72))</f>
        <v>4.1666666666666669E-4</v>
      </c>
      <c r="H72" s="394">
        <f>IF(E72="High-End",SUMIFS(Inhalation_Exp[ADD_High-End],Inhalation_Exp[OES],$C72,Inhalation_Exp[Worker Type],$D72),SUMIFS(Inhalation_Exp[ADD_Central Tendency],Inhalation_Exp[OES],$C72,Inhalation_Exp[Worker Type],$D72))</f>
        <v>3.4246575342465758E-5</v>
      </c>
      <c r="I72" s="394">
        <f>IF(E72="High-End",SUMIFS(Inhalation_Exp[LADD_High-End],Inhalation_Exp[OES],$C72,Inhalation_Exp[Worker Type],$D72),SUMIFS(Inhalation_Exp[LADD_Central Tendency],Inhalation_Exp[OES],$C72,Inhalation_Exp[Worker Type],$D72))</f>
        <v>1.3610818405338953E-5</v>
      </c>
      <c r="J72" s="394">
        <f>IF($E72="High-End",SUMIFS(Dermal_Exp[High-End AD (mg/kg-day)],Dermal_Exp[Worker Type],$D72,Dermal_Exp[OES],$C72),SUMIFS(Dermal_Exp[Central Tendency AD (mg/kg-day)],Dermal_Exp[Worker Type],$D72,Dermal_Exp[OES],$C72))</f>
        <v>0.70218749999999996</v>
      </c>
      <c r="K72" s="332">
        <f>IF($E72="High-End",SUMIFS(Dermal_Exp[High-End IADD (mg/kg-day)],Dermal_Exp[Worker Type],$D72,Dermal_Exp[OES],$C72),SUMIFS(Dermal_Exp[Central Tendency IADD (mg/kg-day)],Dermal_Exp[Worker Type],$D72,Dermal_Exp[OES],$C72))</f>
        <v>4.68125E-2</v>
      </c>
      <c r="L72" s="332">
        <f>IF($E72="High-End",SUMIFS(Dermal_Exp[High-End ADD (mg/kg-day)],Dermal_Exp[Worker Type],$D72,Dermal_Exp[OES],$C72),SUMIFS(Dermal_Exp[Central Tendency ADD (mg/kg-day)],Dermal_Exp[Worker Type],$D72,Dermal_Exp[OES],$C72))</f>
        <v>3.8476027397260268E-3</v>
      </c>
      <c r="M72" s="332">
        <f>IF($E72="High-End",SUMIFS(Dermal_Exp[High-End LADD (mg/kg-day)],Dermal_Exp[Worker Type],$D72,Dermal_Exp[OES],$C72),SUMIFS(Dermal_Exp[Central Tendency LADD (mg/kg-day)],Dermal_Exp[Worker Type],$D72,Dermal_Exp[OES],$C72))</f>
        <v>1.5291754478398312E-3</v>
      </c>
      <c r="N72" s="332">
        <f t="shared" si="5"/>
        <v>0.70843749999999994</v>
      </c>
      <c r="O72" s="332">
        <f t="shared" si="2"/>
        <v>4.7229166666666669E-2</v>
      </c>
      <c r="P72" s="332">
        <f t="shared" si="3"/>
        <v>3.8818493150684927E-3</v>
      </c>
      <c r="Q72" s="516">
        <f t="shared" si="4"/>
        <v>1.5427862662451702E-3</v>
      </c>
      <c r="AE72" s="26"/>
      <c r="AF72" s="26"/>
      <c r="AG72" s="26"/>
      <c r="AH72" s="26"/>
      <c r="AI72" s="26"/>
      <c r="AJ72" s="26"/>
      <c r="AK72" s="26"/>
    </row>
    <row r="73" spans="3:37" x14ac:dyDescent="0.25">
      <c r="C73" s="512" t="str" cm="1">
        <f t="array" ref="C73">INDEX('List Values'!$B$2:$B$17,(1+ROUNDDOWN((ROW()-ROW($C$5))*1/6,2)))</f>
        <v>Use of Lubricants and Functional Fluids</v>
      </c>
      <c r="D73" s="513" t="s">
        <v>72</v>
      </c>
      <c r="E73" s="514" t="s">
        <v>90</v>
      </c>
      <c r="F73" s="515">
        <f>IF(E73="High-End",SUMIFS(Inhalation_Exp[24hr_High-End],Inhalation_Exp[OES],$C73,Inhalation_Exp[Worker Type],$D73),SUMIFS(Inhalation_Exp[24hr_Central Tendency],Inhalation_Exp[OES],$C73,Inhalation_Exp[Worker Type],$D73))</f>
        <v>1.3807386952019328E-2</v>
      </c>
      <c r="G73" s="394">
        <f>IF(E73="High-End",SUMIFS(Inhalation_Exp[Int_High-End],Inhalation_Exp[OES],$C73,Inhalation_Exp[Worker Type],$D73),SUMIFS(Inhalation_Exp[Int_Central Tendency],Inhalation_Exp[OES],$C73,Inhalation_Exp[Worker Type],$D73))</f>
        <v>1.8409849269359103E-3</v>
      </c>
      <c r="H73" s="394">
        <f>IF(E73="High-End",SUMIFS(Inhalation_Exp[ADD_High-End],Inhalation_Exp[OES],$C73,Inhalation_Exp[Worker Type],$D73),SUMIFS(Inhalation_Exp[ADD_Central Tendency],Inhalation_Exp[OES],$C73,Inhalation_Exp[Worker Type],$D73))</f>
        <v>1.513138296111707E-4</v>
      </c>
      <c r="I73" s="394">
        <f>IF(E73="High-End",SUMIFS(Inhalation_Exp[LADD_High-End],Inhalation_Exp[OES],$C73,Inhalation_Exp[Worker Type],$D73),SUMIFS(Inhalation_Exp[LADD_Central Tendency],Inhalation_Exp[OES],$C73,Inhalation_Exp[Worker Type],$D73))</f>
        <v>7.7596835698036251E-5</v>
      </c>
      <c r="J73" s="394">
        <f>IF($E73="High-End",SUMIFS(Dermal_Exp[High-End AD (mg/kg-day)],Dermal_Exp[Worker Type],$D73,Dermal_Exp[OES],$C73),SUMIFS(Dermal_Exp[Central Tendency AD (mg/kg-day)],Dermal_Exp[Worker Type],$D73,Dermal_Exp[OES],$C73))</f>
        <v>1.9361187845303864</v>
      </c>
      <c r="K73" s="332">
        <f>IF($E73="High-End",SUMIFS(Dermal_Exp[High-End IADD (mg/kg-day)],Dermal_Exp[Worker Type],$D73,Dermal_Exp[OES],$C73),SUMIFS(Dermal_Exp[Central Tendency IADD (mg/kg-day)],Dermal_Exp[Worker Type],$D73,Dermal_Exp[OES],$C73))</f>
        <v>0.25814917127071818</v>
      </c>
      <c r="L73" s="332">
        <f>IF($E73="High-End",SUMIFS(Dermal_Exp[High-End ADD (mg/kg-day)],Dermal_Exp[Worker Type],$D73,Dermal_Exp[OES],$C73),SUMIFS(Dermal_Exp[Central Tendency ADD (mg/kg-day)],Dermal_Exp[Worker Type],$D73,Dermal_Exp[OES],$C73))</f>
        <v>2.1217740104442589E-2</v>
      </c>
      <c r="M73" s="332">
        <f>IF($E73="High-End",SUMIFS(Dermal_Exp[High-End LADD (mg/kg-day)],Dermal_Exp[Worker Type],$D73,Dermal_Exp[OES],$C73),SUMIFS(Dermal_Exp[Central Tendency LADD (mg/kg-day)],Dermal_Exp[Worker Type],$D73,Dermal_Exp[OES],$C73))</f>
        <v>1.0880892361252611E-2</v>
      </c>
      <c r="N73" s="332">
        <f t="shared" si="5"/>
        <v>1.9499261714824057</v>
      </c>
      <c r="O73" s="332">
        <f t="shared" si="2"/>
        <v>0.25999015619765409</v>
      </c>
      <c r="P73" s="332">
        <f t="shared" si="3"/>
        <v>2.136905393405376E-2</v>
      </c>
      <c r="Q73" s="516">
        <f t="shared" si="4"/>
        <v>1.0958489196950647E-2</v>
      </c>
      <c r="AE73" s="26"/>
      <c r="AF73" s="26"/>
      <c r="AG73" s="26"/>
      <c r="AH73" s="26"/>
      <c r="AI73" s="26"/>
      <c r="AJ73" s="26"/>
      <c r="AK73" s="26"/>
    </row>
    <row r="74" spans="3:37" x14ac:dyDescent="0.25">
      <c r="C74" s="512" t="str" cm="1">
        <f t="array" ref="C74">INDEX('List Values'!$B$2:$B$17,(1+ROUNDDOWN((ROW()-ROW($C$5))*1/6,2)))</f>
        <v>Use of Lubricants and Functional Fluids</v>
      </c>
      <c r="D74" s="513" t="s">
        <v>72</v>
      </c>
      <c r="E74" s="514" t="s">
        <v>91</v>
      </c>
      <c r="F74" s="515">
        <f>IF(E74="High-End",SUMIFS(Inhalation_Exp[24hr_High-End],Inhalation_Exp[OES],$C74,Inhalation_Exp[Worker Type],$D74),SUMIFS(Inhalation_Exp[24hr_Central Tendency],Inhalation_Exp[OES],$C74,Inhalation_Exp[Worker Type],$D74))</f>
        <v>6.9036934760096638E-3</v>
      </c>
      <c r="G74" s="394">
        <f>IF(E74="High-End",SUMIFS(Inhalation_Exp[Int_High-End],Inhalation_Exp[OES],$C74,Inhalation_Exp[Worker Type],$D74),SUMIFS(Inhalation_Exp[Int_Central Tendency],Inhalation_Exp[OES],$C74,Inhalation_Exp[Worker Type],$D74))</f>
        <v>4.6024623173397759E-4</v>
      </c>
      <c r="H74" s="394">
        <f>IF(E74="High-End",SUMIFS(Inhalation_Exp[ADD_High-End],Inhalation_Exp[OES],$C74,Inhalation_Exp[Worker Type],$D74),SUMIFS(Inhalation_Exp[ADD_Central Tendency],Inhalation_Exp[OES],$C74,Inhalation_Exp[Worker Type],$D74))</f>
        <v>3.7828457402792675E-5</v>
      </c>
      <c r="I74" s="394">
        <f>IF(E74="High-End",SUMIFS(Inhalation_Exp[LADD_High-End],Inhalation_Exp[OES],$C74,Inhalation_Exp[Worker Type],$D74),SUMIFS(Inhalation_Exp[LADD_Central Tendency],Inhalation_Exp[OES],$C74,Inhalation_Exp[Worker Type],$D74))</f>
        <v>1.5034386916494526E-5</v>
      </c>
      <c r="J74" s="394">
        <f>IF($E74="High-End",SUMIFS(Dermal_Exp[High-End AD (mg/kg-day)],Dermal_Exp[Worker Type],$D74,Dermal_Exp[OES],$C74),SUMIFS(Dermal_Exp[Central Tendency AD (mg/kg-day)],Dermal_Exp[Worker Type],$D74,Dermal_Exp[OES],$C74))</f>
        <v>0.64537292817679559</v>
      </c>
      <c r="K74" s="332">
        <f>IF($E74="High-End",SUMIFS(Dermal_Exp[High-End IADD (mg/kg-day)],Dermal_Exp[Worker Type],$D74,Dermal_Exp[OES],$C74),SUMIFS(Dermal_Exp[Central Tendency IADD (mg/kg-day)],Dermal_Exp[Worker Type],$D74,Dermal_Exp[OES],$C74))</f>
        <v>4.3024861878453037E-2</v>
      </c>
      <c r="L74" s="332">
        <f>IF($E74="High-End",SUMIFS(Dermal_Exp[High-End ADD (mg/kg-day)],Dermal_Exp[Worker Type],$D74,Dermal_Exp[OES],$C74),SUMIFS(Dermal_Exp[Central Tendency ADD (mg/kg-day)],Dermal_Exp[Worker Type],$D74,Dermal_Exp[OES],$C74))</f>
        <v>3.5362900174070993E-3</v>
      </c>
      <c r="M74" s="332">
        <f>IF($E74="High-End",SUMIFS(Dermal_Exp[High-End LADD (mg/kg-day)],Dermal_Exp[Worker Type],$D74,Dermal_Exp[OES],$C74),SUMIFS(Dermal_Exp[Central Tendency LADD (mg/kg-day)],Dermal_Exp[Worker Type],$D74,Dermal_Exp[OES],$C74))</f>
        <v>1.4054485966617958E-3</v>
      </c>
      <c r="N74" s="332">
        <f t="shared" si="5"/>
        <v>0.6522766216528052</v>
      </c>
      <c r="O74" s="332">
        <f t="shared" si="2"/>
        <v>4.3485108110187014E-2</v>
      </c>
      <c r="P74" s="332">
        <f t="shared" si="3"/>
        <v>3.5741184748098922E-3</v>
      </c>
      <c r="Q74" s="516">
        <f t="shared" si="4"/>
        <v>1.4204829835782903E-3</v>
      </c>
      <c r="AE74" s="26"/>
      <c r="AF74" s="26"/>
      <c r="AG74" s="26"/>
      <c r="AH74" s="26"/>
      <c r="AI74" s="26"/>
      <c r="AJ74" s="26"/>
      <c r="AK74" s="26"/>
    </row>
    <row r="75" spans="3:37" x14ac:dyDescent="0.25">
      <c r="C75" s="512" t="str" cm="1">
        <f t="array" ref="C75">INDEX('List Values'!$B$2:$B$17,(1+ROUNDDOWN((ROW()-ROW($C$5))*1/6,2)))</f>
        <v>Use of Lubricants and Functional Fluids</v>
      </c>
      <c r="D75" s="513" t="s">
        <v>92</v>
      </c>
      <c r="E75" s="514" t="s">
        <v>90</v>
      </c>
      <c r="F75" s="515">
        <f>IF(E75="High-End",SUMIFS(Inhalation_Exp[24hr_High-End],Inhalation_Exp[OES],$C75,Inhalation_Exp[Worker Type],$D75),SUMIFS(Inhalation_Exp[24hr_Central Tendency],Inhalation_Exp[OES],$C75,Inhalation_Exp[Worker Type],$D75))</f>
        <v>6.2500000000000003E-3</v>
      </c>
      <c r="G75" s="394">
        <f>IF(E75="High-End",SUMIFS(Inhalation_Exp[Int_High-End],Inhalation_Exp[OES],$C75,Inhalation_Exp[Worker Type],$D75),SUMIFS(Inhalation_Exp[Int_Central Tendency],Inhalation_Exp[OES],$C75,Inhalation_Exp[Worker Type],$D75))</f>
        <v>8.3333333333333339E-4</v>
      </c>
      <c r="H75" s="394">
        <f>IF(E75="High-End",SUMIFS(Inhalation_Exp[ADD_High-End],Inhalation_Exp[OES],$C75,Inhalation_Exp[Worker Type],$D75),SUMIFS(Inhalation_Exp[ADD_Central Tendency],Inhalation_Exp[OES],$C75,Inhalation_Exp[Worker Type],$D75))</f>
        <v>6.8493150684931502E-5</v>
      </c>
      <c r="I75" s="394">
        <f>IF(E75="High-End",SUMIFS(Inhalation_Exp[LADD_High-End],Inhalation_Exp[OES],$C75,Inhalation_Exp[Worker Type],$D75),SUMIFS(Inhalation_Exp[LADD_Central Tendency],Inhalation_Exp[OES],$C75,Inhalation_Exp[Worker Type],$D75))</f>
        <v>3.5124692658939236E-5</v>
      </c>
      <c r="J75" s="394">
        <f>IF($E75="High-End",SUMIFS(Dermal_Exp[High-End AD (mg/kg-day)],Dermal_Exp[Worker Type],$D75,Dermal_Exp[OES],$C75),SUMIFS(Dermal_Exp[Central Tendency AD (mg/kg-day)],Dermal_Exp[Worker Type],$D75,Dermal_Exp[OES],$C75))</f>
        <v>0</v>
      </c>
      <c r="K75" s="332">
        <f>IF($E75="High-End",SUMIFS(Dermal_Exp[High-End IADD (mg/kg-day)],Dermal_Exp[Worker Type],$D75,Dermal_Exp[OES],$C75),SUMIFS(Dermal_Exp[Central Tendency IADD (mg/kg-day)],Dermal_Exp[Worker Type],$D75,Dermal_Exp[OES],$C75))</f>
        <v>0</v>
      </c>
      <c r="L75" s="332">
        <f>IF($E75="High-End",SUMIFS(Dermal_Exp[High-End ADD (mg/kg-day)],Dermal_Exp[Worker Type],$D75,Dermal_Exp[OES],$C75),SUMIFS(Dermal_Exp[Central Tendency ADD (mg/kg-day)],Dermal_Exp[Worker Type],$D75,Dermal_Exp[OES],$C75))</f>
        <v>0</v>
      </c>
      <c r="M75" s="332">
        <f>IF($E75="High-End",SUMIFS(Dermal_Exp[High-End LADD (mg/kg-day)],Dermal_Exp[Worker Type],$D75,Dermal_Exp[OES],$C75),SUMIFS(Dermal_Exp[Central Tendency LADD (mg/kg-day)],Dermal_Exp[Worker Type],$D75,Dermal_Exp[OES],$C75))</f>
        <v>0</v>
      </c>
      <c r="N75" s="332">
        <f t="shared" si="5"/>
        <v>6.2500000000000003E-3</v>
      </c>
      <c r="O75" s="332">
        <f t="shared" ref="O75:O94" si="6">G75+K75</f>
        <v>8.3333333333333339E-4</v>
      </c>
      <c r="P75" s="332">
        <f t="shared" ref="P75:P94" si="7">H75+L75</f>
        <v>6.8493150684931502E-5</v>
      </c>
      <c r="Q75" s="516">
        <f t="shared" ref="Q75:Q94" si="8">I75+M75</f>
        <v>3.5124692658939236E-5</v>
      </c>
      <c r="AE75" s="26"/>
      <c r="AF75" s="26"/>
      <c r="AG75" s="26"/>
      <c r="AH75" s="26"/>
      <c r="AI75" s="26"/>
      <c r="AJ75" s="26"/>
      <c r="AK75" s="26"/>
    </row>
    <row r="76" spans="3:37" x14ac:dyDescent="0.25">
      <c r="C76" s="512" t="str" cm="1">
        <f t="array" ref="C76">INDEX('List Values'!$B$2:$B$17,(1+ROUNDDOWN((ROW()-ROW($C$5))*1/6,2)))</f>
        <v>Use of Lubricants and Functional Fluids</v>
      </c>
      <c r="D76" s="513" t="s">
        <v>92</v>
      </c>
      <c r="E76" s="514" t="s">
        <v>91</v>
      </c>
      <c r="F76" s="515">
        <f>IF(E76="High-End",SUMIFS(Inhalation_Exp[24hr_High-End],Inhalation_Exp[OES],$C76,Inhalation_Exp[Worker Type],$D76),SUMIFS(Inhalation_Exp[24hr_Central Tendency],Inhalation_Exp[OES],$C76,Inhalation_Exp[Worker Type],$D76))</f>
        <v>6.2500000000000003E-3</v>
      </c>
      <c r="G76" s="394">
        <f>IF(E76="High-End",SUMIFS(Inhalation_Exp[Int_High-End],Inhalation_Exp[OES],$C76,Inhalation_Exp[Worker Type],$D76),SUMIFS(Inhalation_Exp[Int_Central Tendency],Inhalation_Exp[OES],$C76,Inhalation_Exp[Worker Type],$D76))</f>
        <v>4.1666666666666669E-4</v>
      </c>
      <c r="H76" s="394">
        <f>IF(E76="High-End",SUMIFS(Inhalation_Exp[ADD_High-End],Inhalation_Exp[OES],$C76,Inhalation_Exp[Worker Type],$D76),SUMIFS(Inhalation_Exp[ADD_Central Tendency],Inhalation_Exp[OES],$C76,Inhalation_Exp[Worker Type],$D76))</f>
        <v>3.4246575342465758E-5</v>
      </c>
      <c r="I76" s="394">
        <f>IF(E76="High-End",SUMIFS(Inhalation_Exp[LADD_High-End],Inhalation_Exp[OES],$C76,Inhalation_Exp[Worker Type],$D76),SUMIFS(Inhalation_Exp[LADD_Central Tendency],Inhalation_Exp[OES],$C76,Inhalation_Exp[Worker Type],$D76))</f>
        <v>1.3610818405338953E-5</v>
      </c>
      <c r="J76" s="394">
        <f>IF($E76="High-End",SUMIFS(Dermal_Exp[High-End AD (mg/kg-day)],Dermal_Exp[Worker Type],$D76,Dermal_Exp[OES],$C76),SUMIFS(Dermal_Exp[Central Tendency AD (mg/kg-day)],Dermal_Exp[Worker Type],$D76,Dermal_Exp[OES],$C76))</f>
        <v>0</v>
      </c>
      <c r="K76" s="332">
        <f>IF($E76="High-End",SUMIFS(Dermal_Exp[High-End IADD (mg/kg-day)],Dermal_Exp[Worker Type],$D76,Dermal_Exp[OES],$C76),SUMIFS(Dermal_Exp[Central Tendency IADD (mg/kg-day)],Dermal_Exp[Worker Type],$D76,Dermal_Exp[OES],$C76))</f>
        <v>0</v>
      </c>
      <c r="L76" s="332">
        <f>IF($E76="High-End",SUMIFS(Dermal_Exp[High-End ADD (mg/kg-day)],Dermal_Exp[Worker Type],$D76,Dermal_Exp[OES],$C76),SUMIFS(Dermal_Exp[Central Tendency ADD (mg/kg-day)],Dermal_Exp[Worker Type],$D76,Dermal_Exp[OES],$C76))</f>
        <v>0</v>
      </c>
      <c r="M76" s="332">
        <f>IF($E76="High-End",SUMIFS(Dermal_Exp[High-End LADD (mg/kg-day)],Dermal_Exp[Worker Type],$D76,Dermal_Exp[OES],$C76),SUMIFS(Dermal_Exp[Central Tendency LADD (mg/kg-day)],Dermal_Exp[Worker Type],$D76,Dermal_Exp[OES],$C76))</f>
        <v>0</v>
      </c>
      <c r="N76" s="332">
        <f t="shared" ref="N76:N94" si="9">F76+J76</f>
        <v>6.2500000000000003E-3</v>
      </c>
      <c r="O76" s="332">
        <f t="shared" si="6"/>
        <v>4.1666666666666669E-4</v>
      </c>
      <c r="P76" s="332">
        <f t="shared" si="7"/>
        <v>3.4246575342465758E-5</v>
      </c>
      <c r="Q76" s="516">
        <f t="shared" si="8"/>
        <v>1.3610818405338953E-5</v>
      </c>
      <c r="AE76" s="26"/>
      <c r="AF76" s="26"/>
      <c r="AG76" s="26"/>
      <c r="AH76" s="26"/>
      <c r="AI76" s="26"/>
      <c r="AJ76" s="26"/>
      <c r="AK76" s="26"/>
    </row>
    <row r="77" spans="3:37" x14ac:dyDescent="0.25">
      <c r="C77" s="512" t="str" cm="1">
        <f t="array" ref="C77">INDEX('List Values'!$B$2:$B$17,(1+ROUNDDOWN((ROW()-ROW($C$5))*1/6,2)))</f>
        <v>Use of Penetrants and Inspection Fluids</v>
      </c>
      <c r="D77" s="513" t="s">
        <v>197</v>
      </c>
      <c r="E77" s="514" t="s">
        <v>90</v>
      </c>
      <c r="F77" s="515">
        <f>IF(E77="High-End",SUMIFS(Inhalation_Exp[24hr_High-End],Inhalation_Exp[OES],$C77,Inhalation_Exp[Worker Type],$D77),SUMIFS(Inhalation_Exp[24hr_Central Tendency],Inhalation_Exp[OES],$C77,Inhalation_Exp[Worker Type],$D77))</f>
        <v>0.69693749999999999</v>
      </c>
      <c r="G77" s="394">
        <f>IF(E77="High-End",SUMIFS(Inhalation_Exp[Int_High-End],Inhalation_Exp[OES],$C77,Inhalation_Exp[Worker Type],$D77),SUMIFS(Inhalation_Exp[Int_Central Tendency],Inhalation_Exp[OES],$C77,Inhalation_Exp[Worker Type],$D77))</f>
        <v>0.51108750000000003</v>
      </c>
      <c r="H77" s="394">
        <f>IF(E77="High-End",SUMIFS(Inhalation_Exp[ADD_High-End],Inhalation_Exp[OES],$C77,Inhalation_Exp[Worker Type],$D77),SUMIFS(Inhalation_Exp[ADD_Central Tendency],Inhalation_Exp[OES],$C77,Inhalation_Exp[Worker Type],$D77))</f>
        <v>0.47544503424657536</v>
      </c>
      <c r="I77" s="394">
        <f>IF(E77="High-End",SUMIFS(Inhalation_Exp[LADD_High-End],Inhalation_Exp[OES],$C77,Inhalation_Exp[Worker Type],$D77),SUMIFS(Inhalation_Exp[LADD_Central Tendency],Inhalation_Exp[OES],$C77,Inhalation_Exp[Worker Type],$D77))</f>
        <v>0.24381796628029506</v>
      </c>
      <c r="J77" s="394">
        <f>IF($E77="High-End",SUMIFS(Dermal_Exp[High-End AD (mg/kg-day)],Dermal_Exp[Worker Type],$D77,Dermal_Exp[OES],$C77),SUMIFS(Dermal_Exp[Central Tendency AD (mg/kg-day)],Dermal_Exp[Worker Type],$D77,Dermal_Exp[OES],$C77))</f>
        <v>2.5100416666666665</v>
      </c>
      <c r="K77" s="332">
        <f>IF($E77="High-End",SUMIFS(Dermal_Exp[High-End IADD (mg/kg-day)],Dermal_Exp[Worker Type],$D77,Dermal_Exp[OES],$C77),SUMIFS(Dermal_Exp[Central Tendency IADD (mg/kg-day)],Dermal_Exp[Worker Type],$D77,Dermal_Exp[OES],$C77))</f>
        <v>1.840697222222222</v>
      </c>
      <c r="L77" s="332">
        <f>IF($E77="High-End",SUMIFS(Dermal_Exp[High-End ADD (mg/kg-day)],Dermal_Exp[Worker Type],$D77,Dermal_Exp[OES],$C77),SUMIFS(Dermal_Exp[Central Tendency ADD (mg/kg-day)],Dermal_Exp[Worker Type],$D77,Dermal_Exp[OES],$C77))</f>
        <v>1.712329794520548</v>
      </c>
      <c r="M77" s="332">
        <f>IF($E77="High-End",SUMIFS(Dermal_Exp[High-End LADD (mg/kg-day)],Dermal_Exp[Worker Type],$D77,Dermal_Exp[OES],$C77),SUMIFS(Dermal_Exp[Central Tendency LADD (mg/kg-day)],Dermal_Exp[Worker Type],$D77,Dermal_Exp[OES],$C77))</f>
        <v>0.87811784334387077</v>
      </c>
      <c r="N77" s="332">
        <f t="shared" si="9"/>
        <v>3.2069791666666667</v>
      </c>
      <c r="O77" s="332">
        <f t="shared" si="6"/>
        <v>2.3517847222222219</v>
      </c>
      <c r="P77" s="332">
        <f t="shared" si="7"/>
        <v>2.1877748287671235</v>
      </c>
      <c r="Q77" s="516">
        <f t="shared" si="8"/>
        <v>1.1219358096241658</v>
      </c>
      <c r="AE77" s="26"/>
      <c r="AF77" s="26"/>
      <c r="AG77" s="26"/>
      <c r="AH77" s="26"/>
      <c r="AI77" s="26"/>
      <c r="AJ77" s="26"/>
      <c r="AK77" s="26"/>
    </row>
    <row r="78" spans="3:37" x14ac:dyDescent="0.25">
      <c r="C78" s="512" t="str" cm="1">
        <f t="array" ref="C78">INDEX('List Values'!$B$2:$B$17,(1+ROUNDDOWN((ROW()-ROW($C$5))*1/6,2)))</f>
        <v>Use of Penetrants and Inspection Fluids</v>
      </c>
      <c r="D78" s="513" t="s">
        <v>197</v>
      </c>
      <c r="E78" s="514" t="s">
        <v>91</v>
      </c>
      <c r="F78" s="515">
        <f>IF(E78="High-End",SUMIFS(Inhalation_Exp[24hr_High-End],Inhalation_Exp[OES],$C78,Inhalation_Exp[Worker Type],$D78),SUMIFS(Inhalation_Exp[24hr_Central Tendency],Inhalation_Exp[OES],$C78,Inhalation_Exp[Worker Type],$D78))</f>
        <v>0.18890000000000001</v>
      </c>
      <c r="G78" s="394">
        <f>IF(E78="High-End",SUMIFS(Inhalation_Exp[Int_High-End],Inhalation_Exp[OES],$C78,Inhalation_Exp[Worker Type],$D78),SUMIFS(Inhalation_Exp[Int_Central Tendency],Inhalation_Exp[OES],$C78,Inhalation_Exp[Worker Type],$D78))</f>
        <v>0.13852666666666666</v>
      </c>
      <c r="H78" s="394">
        <f>IF(E78="High-End",SUMIFS(Inhalation_Exp[ADD_High-End],Inhalation_Exp[OES],$C78,Inhalation_Exp[Worker Type],$D78),SUMIFS(Inhalation_Exp[ADD_Central Tendency],Inhalation_Exp[OES],$C78,Inhalation_Exp[Worker Type],$D78))</f>
        <v>0.12783095890410959</v>
      </c>
      <c r="I78" s="394">
        <f>IF(E78="High-End",SUMIFS(Inhalation_Exp[LADD_High-End],Inhalation_Exp[OES],$C78,Inhalation_Exp[Worker Type],$D78),SUMIFS(Inhalation_Exp[LADD_Central Tendency],Inhalation_Exp[OES],$C78,Inhalation_Exp[Worker Type],$D78))</f>
        <v>5.0804611872146119E-2</v>
      </c>
      <c r="J78" s="394">
        <f>IF($E78="High-End",SUMIFS(Dermal_Exp[High-End AD (mg/kg-day)],Dermal_Exp[Worker Type],$D78,Dermal_Exp[OES],$C78),SUMIFS(Dermal_Exp[Central Tendency AD (mg/kg-day)],Dermal_Exp[Worker Type],$D78,Dermal_Exp[OES],$C78))</f>
        <v>1.2550208333333333</v>
      </c>
      <c r="K78" s="332">
        <f>IF($E78="High-End",SUMIFS(Dermal_Exp[High-End IADD (mg/kg-day)],Dermal_Exp[Worker Type],$D78,Dermal_Exp[OES],$C78),SUMIFS(Dermal_Exp[Central Tendency IADD (mg/kg-day)],Dermal_Exp[Worker Type],$D78,Dermal_Exp[OES],$C78))</f>
        <v>0.92034861111111099</v>
      </c>
      <c r="L78" s="332">
        <f>IF($E78="High-End",SUMIFS(Dermal_Exp[High-End ADD (mg/kg-day)],Dermal_Exp[Worker Type],$D78,Dermal_Exp[OES],$C78),SUMIFS(Dermal_Exp[Central Tendency ADD (mg/kg-day)],Dermal_Exp[Worker Type],$D78,Dermal_Exp[OES],$C78))</f>
        <v>0.84928807077625568</v>
      </c>
      <c r="M78" s="332">
        <f>IF($E78="High-End",SUMIFS(Dermal_Exp[High-End LADD (mg/kg-day)],Dermal_Exp[Worker Type],$D78,Dermal_Exp[OES],$C78),SUMIFS(Dermal_Exp[Central Tendency LADD (mg/kg-day)],Dermal_Exp[Worker Type],$D78,Dermal_Exp[OES],$C78))</f>
        <v>0.33753756659056317</v>
      </c>
      <c r="N78" s="332">
        <f t="shared" si="9"/>
        <v>1.4439208333333333</v>
      </c>
      <c r="O78" s="332">
        <f t="shared" si="6"/>
        <v>1.0588752777777777</v>
      </c>
      <c r="P78" s="332">
        <f t="shared" si="7"/>
        <v>0.97711902968036524</v>
      </c>
      <c r="Q78" s="516">
        <f t="shared" si="8"/>
        <v>0.3883421784627093</v>
      </c>
      <c r="AE78" s="26"/>
      <c r="AF78" s="26"/>
      <c r="AG78" s="26"/>
      <c r="AH78" s="26"/>
      <c r="AI78" s="26"/>
      <c r="AJ78" s="26"/>
      <c r="AK78" s="26"/>
    </row>
    <row r="79" spans="3:37" x14ac:dyDescent="0.25">
      <c r="C79" s="512" t="str" cm="1">
        <f t="array" ref="C79">INDEX('List Values'!$B$2:$B$17,(1+ROUNDDOWN((ROW()-ROW($C$5))*1/6,2)))</f>
        <v>Use of Penetrants and Inspection Fluids</v>
      </c>
      <c r="D79" s="513" t="s">
        <v>72</v>
      </c>
      <c r="E79" s="514" t="s">
        <v>90</v>
      </c>
      <c r="F79" s="515">
        <f>IF(E79="High-End",SUMIFS(Inhalation_Exp[24hr_High-End],Inhalation_Exp[OES],$C79,Inhalation_Exp[Worker Type],$D79),SUMIFS(Inhalation_Exp[24hr_Central Tendency],Inhalation_Exp[OES],$C79,Inhalation_Exp[Worker Type],$D79))</f>
        <v>0.76983085950983754</v>
      </c>
      <c r="G79" s="394">
        <f>IF(E79="High-End",SUMIFS(Inhalation_Exp[Int_High-End],Inhalation_Exp[OES],$C79,Inhalation_Exp[Worker Type],$D79),SUMIFS(Inhalation_Exp[Int_Central Tendency],Inhalation_Exp[OES],$C79,Inhalation_Exp[Worker Type],$D79))</f>
        <v>0.56454263030721419</v>
      </c>
      <c r="H79" s="394">
        <f>IF(E79="High-End",SUMIFS(Inhalation_Exp[ADD_High-End],Inhalation_Exp[OES],$C79,Inhalation_Exp[Worker Type],$D79),SUMIFS(Inhalation_Exp[ADD_Central Tendency],Inhalation_Exp[OES],$C79,Inhalation_Exp[Worker Type],$D79))</f>
        <v>0.52517228498068369</v>
      </c>
      <c r="I79" s="394">
        <f>IF(E79="High-End",SUMIFS(Inhalation_Exp[LADD_High-End],Inhalation_Exp[OES],$C79,Inhalation_Exp[Worker Type],$D79),SUMIFS(Inhalation_Exp[LADD_Central Tendency],Inhalation_Exp[OES],$C79,Inhalation_Exp[Worker Type],$D79))</f>
        <v>0.26931912050291473</v>
      </c>
      <c r="J79" s="394">
        <f>IF($E79="High-End",SUMIFS(Dermal_Exp[High-End AD (mg/kg-day)],Dermal_Exp[Worker Type],$D79,Dermal_Exp[OES],$C79),SUMIFS(Dermal_Exp[Central Tendency AD (mg/kg-day)],Dermal_Exp[Worker Type],$D79,Dermal_Exp[OES],$C79))</f>
        <v>2.3069521178637196</v>
      </c>
      <c r="K79" s="332">
        <f>IF($E79="High-End",SUMIFS(Dermal_Exp[High-End IADD (mg/kg-day)],Dermal_Exp[Worker Type],$D79,Dermal_Exp[OES],$C79),SUMIFS(Dermal_Exp[Central Tendency IADD (mg/kg-day)],Dermal_Exp[Worker Type],$D79,Dermal_Exp[OES],$C79))</f>
        <v>1.6917648864333943</v>
      </c>
      <c r="L79" s="332">
        <f>IF($E79="High-End",SUMIFS(Dermal_Exp[High-End ADD (mg/kg-day)],Dermal_Exp[Worker Type],$D79,Dermal_Exp[OES],$C79),SUMIFS(Dermal_Exp[Central Tendency ADD (mg/kg-day)],Dermal_Exp[Worker Type],$D79,Dermal_Exp[OES],$C79))</f>
        <v>1.5737837735563456</v>
      </c>
      <c r="M79" s="332">
        <f>IF($E79="High-End",SUMIFS(Dermal_Exp[High-End LADD (mg/kg-day)],Dermal_Exp[Worker Type],$D79,Dermal_Exp[OES],$C79),SUMIFS(Dermal_Exp[Central Tendency LADD (mg/kg-day)],Dermal_Exp[Worker Type],$D79,Dermal_Exp[OES],$C79))</f>
        <v>0.80706860182376705</v>
      </c>
      <c r="N79" s="332">
        <f t="shared" si="9"/>
        <v>3.0767829773735569</v>
      </c>
      <c r="O79" s="332">
        <f t="shared" si="6"/>
        <v>2.2563075167406086</v>
      </c>
      <c r="P79" s="332">
        <f t="shared" si="7"/>
        <v>2.0989560585370293</v>
      </c>
      <c r="Q79" s="516">
        <f t="shared" si="8"/>
        <v>1.0763877223266818</v>
      </c>
      <c r="AE79" s="26"/>
      <c r="AF79" s="26"/>
      <c r="AG79" s="26"/>
      <c r="AH79" s="26"/>
      <c r="AI79" s="26"/>
      <c r="AJ79" s="26"/>
      <c r="AK79" s="26"/>
    </row>
    <row r="80" spans="3:37" x14ac:dyDescent="0.25">
      <c r="C80" s="512" t="str" cm="1">
        <f t="array" ref="C80">INDEX('List Values'!$B$2:$B$17,(1+ROUNDDOWN((ROW()-ROW($C$5))*1/6,2)))</f>
        <v>Use of Penetrants and Inspection Fluids</v>
      </c>
      <c r="D80" s="513" t="s">
        <v>72</v>
      </c>
      <c r="E80" s="514" t="s">
        <v>91</v>
      </c>
      <c r="F80" s="515">
        <f>IF(E80="High-End",SUMIFS(Inhalation_Exp[24hr_High-End],Inhalation_Exp[OES],$C80,Inhalation_Exp[Worker Type],$D80),SUMIFS(Inhalation_Exp[24hr_Central Tendency],Inhalation_Exp[OES],$C80,Inhalation_Exp[Worker Type],$D80))</f>
        <v>0.20865723161891611</v>
      </c>
      <c r="G80" s="394">
        <f>IF(E80="High-End",SUMIFS(Inhalation_Exp[Int_High-End],Inhalation_Exp[OES],$C80,Inhalation_Exp[Worker Type],$D80),SUMIFS(Inhalation_Exp[Int_Central Tendency],Inhalation_Exp[OES],$C80,Inhalation_Exp[Worker Type],$D80))</f>
        <v>0.15301530318720513</v>
      </c>
      <c r="H80" s="394">
        <f>IF(E80="High-End",SUMIFS(Inhalation_Exp[ADD_High-End],Inhalation_Exp[OES],$C80,Inhalation_Exp[Worker Type],$D80),SUMIFS(Inhalation_Exp[ADD_Central Tendency],Inhalation_Exp[OES],$C80,Inhalation_Exp[Worker Type],$D80))</f>
        <v>0.14120092112293775</v>
      </c>
      <c r="I80" s="394">
        <f>IF(E80="High-End",SUMIFS(Inhalation_Exp[LADD_High-End],Inhalation_Exp[OES],$C80,Inhalation_Exp[Worker Type],$D80),SUMIFS(Inhalation_Exp[LADD_Central Tendency],Inhalation_Exp[OES],$C80,Inhalation_Exp[Worker Type],$D80))</f>
        <v>5.6118314805270124E-2</v>
      </c>
      <c r="J80" s="394">
        <f>IF($E80="High-End",SUMIFS(Dermal_Exp[High-End AD (mg/kg-day)],Dermal_Exp[Worker Type],$D80,Dermal_Exp[OES],$C80),SUMIFS(Dermal_Exp[Central Tendency AD (mg/kg-day)],Dermal_Exp[Worker Type],$D80,Dermal_Exp[OES],$C80))</f>
        <v>1.1534760589318598</v>
      </c>
      <c r="K80" s="332">
        <f>IF($E80="High-End",SUMIFS(Dermal_Exp[High-End IADD (mg/kg-day)],Dermal_Exp[Worker Type],$D80,Dermal_Exp[OES],$C80),SUMIFS(Dermal_Exp[Central Tendency IADD (mg/kg-day)],Dermal_Exp[Worker Type],$D80,Dermal_Exp[OES],$C80))</f>
        <v>0.84588244321669714</v>
      </c>
      <c r="L80" s="332">
        <f>IF($E80="High-End",SUMIFS(Dermal_Exp[High-End ADD (mg/kg-day)],Dermal_Exp[Worker Type],$D80,Dermal_Exp[OES],$C80),SUMIFS(Dermal_Exp[Central Tendency ADD (mg/kg-day)],Dermal_Exp[Worker Type],$D80,Dermal_Exp[OES],$C80))</f>
        <v>0.7805714700169023</v>
      </c>
      <c r="M80" s="332">
        <f>IF($E80="High-End",SUMIFS(Dermal_Exp[High-End LADD (mg/kg-day)],Dermal_Exp[Worker Type],$D80,Dermal_Exp[OES],$C80),SUMIFS(Dermal_Exp[Central Tendency LADD (mg/kg-day)],Dermal_Exp[Worker Type],$D80,Dermal_Exp[OES],$C80))</f>
        <v>0.3102271226990253</v>
      </c>
      <c r="N80" s="332">
        <f t="shared" si="9"/>
        <v>1.3621332905507759</v>
      </c>
      <c r="O80" s="332">
        <f t="shared" si="6"/>
        <v>0.99889774640390228</v>
      </c>
      <c r="P80" s="332">
        <f t="shared" si="7"/>
        <v>0.92177239113984011</v>
      </c>
      <c r="Q80" s="516">
        <f t="shared" si="8"/>
        <v>0.36634543750429543</v>
      </c>
      <c r="AE80" s="26"/>
      <c r="AF80" s="26"/>
      <c r="AG80" s="26"/>
      <c r="AH80" s="26"/>
      <c r="AI80" s="26"/>
      <c r="AJ80" s="26"/>
      <c r="AK80" s="26"/>
    </row>
    <row r="81" spans="3:37" x14ac:dyDescent="0.25">
      <c r="C81" s="512" t="str" cm="1">
        <f t="array" ref="C81">INDEX('List Values'!$B$2:$B$17,(1+ROUNDDOWN((ROW()-ROW($C$5))*1/6,2)))</f>
        <v>Use of Penetrants and Inspection Fluids</v>
      </c>
      <c r="D81" s="513" t="s">
        <v>92</v>
      </c>
      <c r="E81" s="514" t="s">
        <v>90</v>
      </c>
      <c r="F81" s="515">
        <f>IF(E81="High-End",SUMIFS(Inhalation_Exp[24hr_High-End],Inhalation_Exp[OES],$C81,Inhalation_Exp[Worker Type],$D81),SUMIFS(Inhalation_Exp[24hr_Central Tendency],Inhalation_Exp[OES],$C81,Inhalation_Exp[Worker Type],$D81))</f>
        <v>4.7375E-2</v>
      </c>
      <c r="G81" s="394">
        <f>IF(E81="High-End",SUMIFS(Inhalation_Exp[Int_High-End],Inhalation_Exp[OES],$C81,Inhalation_Exp[Worker Type],$D81),SUMIFS(Inhalation_Exp[Int_Central Tendency],Inhalation_Exp[OES],$C81,Inhalation_Exp[Worker Type],$D81))</f>
        <v>3.4741666666666671E-2</v>
      </c>
      <c r="H81" s="394">
        <f>IF(E81="High-End",SUMIFS(Inhalation_Exp[ADD_High-End],Inhalation_Exp[OES],$C81,Inhalation_Exp[Worker Type],$D81),SUMIFS(Inhalation_Exp[ADD_Central Tendency],Inhalation_Exp[OES],$C81,Inhalation_Exp[Worker Type],$D81))</f>
        <v>3.2318835616438356E-2</v>
      </c>
      <c r="I81" s="394">
        <f>IF(E81="High-End",SUMIFS(Inhalation_Exp[LADD_High-End],Inhalation_Exp[OES],$C81,Inhalation_Exp[Worker Type],$D81),SUMIFS(Inhalation_Exp[LADD_Central Tendency],Inhalation_Exp[OES],$C81,Inhalation_Exp[Worker Type],$D81))</f>
        <v>1.6573761854583771E-2</v>
      </c>
      <c r="J81" s="394">
        <f>IF($E81="High-End",SUMIFS(Dermal_Exp[High-End AD (mg/kg-day)],Dermal_Exp[Worker Type],$D81,Dermal_Exp[OES],$C81),SUMIFS(Dermal_Exp[Central Tendency AD (mg/kg-day)],Dermal_Exp[Worker Type],$D81,Dermal_Exp[OES],$C81))</f>
        <v>1.2550208333333333</v>
      </c>
      <c r="K81" s="332">
        <f>IF($E81="High-End",SUMIFS(Dermal_Exp[High-End IADD (mg/kg-day)],Dermal_Exp[Worker Type],$D81,Dermal_Exp[OES],$C81),SUMIFS(Dermal_Exp[Central Tendency IADD (mg/kg-day)],Dermal_Exp[Worker Type],$D81,Dermal_Exp[OES],$C81))</f>
        <v>0.92034861111111099</v>
      </c>
      <c r="L81" s="332">
        <f>IF($E81="High-End",SUMIFS(Dermal_Exp[High-End ADD (mg/kg-day)],Dermal_Exp[Worker Type],$D81,Dermal_Exp[OES],$C81),SUMIFS(Dermal_Exp[Central Tendency ADD (mg/kg-day)],Dermal_Exp[Worker Type],$D81,Dermal_Exp[OES],$C81))</f>
        <v>0.856164897260274</v>
      </c>
      <c r="M81" s="332">
        <f>IF($E81="High-End",SUMIFS(Dermal_Exp[High-End LADD (mg/kg-day)],Dermal_Exp[Worker Type],$D81,Dermal_Exp[OES],$C81),SUMIFS(Dermal_Exp[Central Tendency LADD (mg/kg-day)],Dermal_Exp[Worker Type],$D81,Dermal_Exp[OES],$C81))</f>
        <v>0.43905892167193539</v>
      </c>
      <c r="N81" s="332">
        <f t="shared" si="9"/>
        <v>1.3023958333333332</v>
      </c>
      <c r="O81" s="332">
        <f t="shared" si="6"/>
        <v>0.95509027777777766</v>
      </c>
      <c r="P81" s="332">
        <f t="shared" si="7"/>
        <v>0.88848373287671234</v>
      </c>
      <c r="Q81" s="516">
        <f t="shared" si="8"/>
        <v>0.45563268352651914</v>
      </c>
      <c r="AE81" s="26"/>
      <c r="AF81" s="26"/>
      <c r="AG81" s="26"/>
      <c r="AH81" s="26"/>
      <c r="AI81" s="26"/>
      <c r="AJ81" s="26"/>
      <c r="AK81" s="26"/>
    </row>
    <row r="82" spans="3:37" x14ac:dyDescent="0.25">
      <c r="C82" s="512" t="str" cm="1">
        <f t="array" ref="C82">INDEX('List Values'!$B$2:$B$17,(1+ROUNDDOWN((ROW()-ROW($C$5))*1/6,2)))</f>
        <v>Use of Penetrants and Inspection Fluids</v>
      </c>
      <c r="D82" s="513" t="s">
        <v>92</v>
      </c>
      <c r="E82" s="514" t="s">
        <v>91</v>
      </c>
      <c r="F82" s="515">
        <f>IF(E82="High-End",SUMIFS(Inhalation_Exp[24hr_High-End],Inhalation_Exp[OES],$C82,Inhalation_Exp[Worker Type],$D82),SUMIFS(Inhalation_Exp[24hr_Central Tendency],Inhalation_Exp[OES],$C82,Inhalation_Exp[Worker Type],$D82))</f>
        <v>6.3750000000000005E-3</v>
      </c>
      <c r="G82" s="394">
        <f>IF(E82="High-End",SUMIFS(Inhalation_Exp[Int_High-End],Inhalation_Exp[OES],$C82,Inhalation_Exp[Worker Type],$D82),SUMIFS(Inhalation_Exp[Int_Central Tendency],Inhalation_Exp[OES],$C82,Inhalation_Exp[Worker Type],$D82))</f>
        <v>4.6750000000000003E-3</v>
      </c>
      <c r="H82" s="394">
        <f>IF(E82="High-End",SUMIFS(Inhalation_Exp[ADD_High-End],Inhalation_Exp[OES],$C82,Inhalation_Exp[Worker Type],$D82),SUMIFS(Inhalation_Exp[ADD_Central Tendency],Inhalation_Exp[OES],$C82,Inhalation_Exp[Worker Type],$D82))</f>
        <v>4.3140410958904113E-3</v>
      </c>
      <c r="I82" s="394">
        <f>IF(E82="High-End",SUMIFS(Inhalation_Exp[LADD_High-End],Inhalation_Exp[OES],$C82,Inhalation_Exp[Worker Type],$D82),SUMIFS(Inhalation_Exp[LADD_Central Tendency],Inhalation_Exp[OES],$C82,Inhalation_Exp[Worker Type],$D82))</f>
        <v>1.7145547945205482E-3</v>
      </c>
      <c r="J82" s="394">
        <f>IF($E82="High-End",SUMIFS(Dermal_Exp[High-End AD (mg/kg-day)],Dermal_Exp[Worker Type],$D82,Dermal_Exp[OES],$C82),SUMIFS(Dermal_Exp[Central Tendency AD (mg/kg-day)],Dermal_Exp[Worker Type],$D82,Dermal_Exp[OES],$C82))</f>
        <v>1.2550208333333333</v>
      </c>
      <c r="K82" s="332">
        <f>IF($E82="High-End",SUMIFS(Dermal_Exp[High-End IADD (mg/kg-day)],Dermal_Exp[Worker Type],$D82,Dermal_Exp[OES],$C82),SUMIFS(Dermal_Exp[Central Tendency IADD (mg/kg-day)],Dermal_Exp[Worker Type],$D82,Dermal_Exp[OES],$C82))</f>
        <v>0.92034861111111099</v>
      </c>
      <c r="L82" s="332">
        <f>IF($E82="High-End",SUMIFS(Dermal_Exp[High-End ADD (mg/kg-day)],Dermal_Exp[Worker Type],$D82,Dermal_Exp[OES],$C82),SUMIFS(Dermal_Exp[Central Tendency ADD (mg/kg-day)],Dermal_Exp[Worker Type],$D82,Dermal_Exp[OES],$C82))</f>
        <v>0.84928807077625568</v>
      </c>
      <c r="M82" s="332">
        <f>IF($E82="High-End",SUMIFS(Dermal_Exp[High-End LADD (mg/kg-day)],Dermal_Exp[Worker Type],$D82,Dermal_Exp[OES],$C82),SUMIFS(Dermal_Exp[Central Tendency LADD (mg/kg-day)],Dermal_Exp[Worker Type],$D82,Dermal_Exp[OES],$C82))</f>
        <v>0.33753756659056317</v>
      </c>
      <c r="N82" s="332">
        <f t="shared" si="9"/>
        <v>1.2613958333333333</v>
      </c>
      <c r="O82" s="332">
        <f t="shared" si="6"/>
        <v>0.92502361111111098</v>
      </c>
      <c r="P82" s="332">
        <f t="shared" si="7"/>
        <v>0.85360211187214607</v>
      </c>
      <c r="Q82" s="516">
        <f t="shared" si="8"/>
        <v>0.3392521213850837</v>
      </c>
      <c r="AE82" s="26"/>
      <c r="AF82" s="26"/>
      <c r="AG82" s="26"/>
      <c r="AH82" s="26"/>
      <c r="AI82" s="26"/>
      <c r="AJ82" s="26"/>
      <c r="AK82" s="26"/>
    </row>
    <row r="83" spans="3:37" x14ac:dyDescent="0.25">
      <c r="C83" s="512" t="str" cm="1">
        <f t="array" ref="C83">INDEX('List Values'!$B$2:$B$17,(1+ROUNDDOWN((ROW()-ROW($C$5))*1/6,2)))</f>
        <v>Fabrication or Use of Final Products or Articles</v>
      </c>
      <c r="D83" s="513" t="s">
        <v>197</v>
      </c>
      <c r="E83" s="514" t="s">
        <v>90</v>
      </c>
      <c r="F83" s="515">
        <f>IF(E83="High-End",SUMIFS(Inhalation_Exp[24hr_High-End],Inhalation_Exp[OES],$C83,Inhalation_Exp[Worker Type],$D83),SUMIFS(Inhalation_Exp[24hr_Central Tendency],Inhalation_Exp[OES],$C83,Inhalation_Exp[Worker Type],$D83))</f>
        <v>0.10500000000000001</v>
      </c>
      <c r="G83" s="394">
        <f>IF(E83="High-End",SUMIFS(Inhalation_Exp[Int_High-End],Inhalation_Exp[OES],$C83,Inhalation_Exp[Worker Type],$D83),SUMIFS(Inhalation_Exp[Int_Central Tendency],Inhalation_Exp[OES],$C83,Inhalation_Exp[Worker Type],$D83))</f>
        <v>7.6999999999999999E-2</v>
      </c>
      <c r="H83" s="394">
        <f>IF(E83="High-End",SUMIFS(Inhalation_Exp[ADD_High-End],Inhalation_Exp[OES],$C83,Inhalation_Exp[Worker Type],$D83),SUMIFS(Inhalation_Exp[ADD_Central Tendency],Inhalation_Exp[OES],$C83,Inhalation_Exp[Worker Type],$D83))</f>
        <v>7.1917808219178092E-2</v>
      </c>
      <c r="I83" s="394">
        <f>IF(E83="High-End",SUMIFS(Inhalation_Exp[LADD_High-End],Inhalation_Exp[OES],$C83,Inhalation_Exp[Worker Type],$D83),SUMIFS(Inhalation_Exp[LADD_Central Tendency],Inhalation_Exp[OES],$C83,Inhalation_Exp[Worker Type],$D83))</f>
        <v>3.6880927291886204E-2</v>
      </c>
      <c r="J83" s="394">
        <f>IF($E83="High-End",SUMIFS(Dermal_Exp[High-End AD (mg/kg-day)],Dermal_Exp[Worker Type],$D83,Dermal_Exp[OES],$C83),SUMIFS(Dermal_Exp[Central Tendency AD (mg/kg-day)],Dermal_Exp[Worker Type],$D83,Dermal_Exp[OES],$C83))</f>
        <v>3.3886760250110698E-2</v>
      </c>
      <c r="K83" s="332">
        <f>IF($E83="High-End",SUMIFS(Dermal_Exp[High-End IADD (mg/kg-day)],Dermal_Exp[Worker Type],$D83,Dermal_Exp[OES],$C83),SUMIFS(Dermal_Exp[Central Tendency IADD (mg/kg-day)],Dermal_Exp[Worker Type],$D83,Dermal_Exp[OES],$C83))</f>
        <v>2.4850290850081176E-2</v>
      </c>
      <c r="L83" s="332">
        <f>IF($E83="High-End",SUMIFS(Dermal_Exp[High-End ADD (mg/kg-day)],Dermal_Exp[Worker Type],$D83,Dermal_Exp[OES],$C83),SUMIFS(Dermal_Exp[Central Tendency ADD (mg/kg-day)],Dermal_Exp[Worker Type],$D83,Dermal_Exp[OES],$C83))</f>
        <v>2.321010976034979E-2</v>
      </c>
      <c r="M83" s="332">
        <f>IF($E83="High-End",SUMIFS(Dermal_Exp[High-End LADD (mg/kg-day)],Dermal_Exp[Worker Type],$D83,Dermal_Exp[OES],$C83),SUMIFS(Dermal_Exp[Central Tendency LADD (mg/kg-day)],Dermal_Exp[Worker Type],$D83,Dermal_Exp[OES],$C83))</f>
        <v>1.190262038992297E-2</v>
      </c>
      <c r="N83" s="332">
        <f t="shared" si="9"/>
        <v>0.13888676025011071</v>
      </c>
      <c r="O83" s="332">
        <f t="shared" si="6"/>
        <v>0.10185029085008118</v>
      </c>
      <c r="P83" s="332">
        <f t="shared" si="7"/>
        <v>9.5127917979527882E-2</v>
      </c>
      <c r="Q83" s="516">
        <f t="shared" si="8"/>
        <v>4.8783547681809175E-2</v>
      </c>
      <c r="AE83" s="26"/>
      <c r="AF83" s="26"/>
      <c r="AG83" s="26"/>
      <c r="AH83" s="26"/>
      <c r="AI83" s="26"/>
      <c r="AJ83" s="26"/>
      <c r="AK83" s="26"/>
    </row>
    <row r="84" spans="3:37" x14ac:dyDescent="0.25">
      <c r="C84" s="512" t="str" cm="1">
        <f t="array" ref="C84">INDEX('List Values'!$B$2:$B$17,(1+ROUNDDOWN((ROW()-ROW($C$5))*1/6,2)))</f>
        <v>Fabrication or Use of Final Products or Articles</v>
      </c>
      <c r="D84" s="513" t="s">
        <v>197</v>
      </c>
      <c r="E84" s="514" t="s">
        <v>91</v>
      </c>
      <c r="F84" s="515">
        <f>IF(E84="High-End",SUMIFS(Inhalation_Exp[24hr_High-End],Inhalation_Exp[OES],$C84,Inhalation_Exp[Worker Type],$D84),SUMIFS(Inhalation_Exp[24hr_Central Tendency],Inhalation_Exp[OES],$C84,Inhalation_Exp[Worker Type],$D84))</f>
        <v>1.2500000000000001E-2</v>
      </c>
      <c r="G84" s="394">
        <f>IF(E84="High-End",SUMIFS(Inhalation_Exp[Int_High-End],Inhalation_Exp[OES],$C84,Inhalation_Exp[Worker Type],$D84),SUMIFS(Inhalation_Exp[Int_Central Tendency],Inhalation_Exp[OES],$C84,Inhalation_Exp[Worker Type],$D84))</f>
        <v>9.1666666666666667E-3</v>
      </c>
      <c r="H84" s="394">
        <f>IF(E84="High-End",SUMIFS(Inhalation_Exp[ADD_High-End],Inhalation_Exp[OES],$C84,Inhalation_Exp[Worker Type],$D84),SUMIFS(Inhalation_Exp[ADD_Central Tendency],Inhalation_Exp[OES],$C84,Inhalation_Exp[Worker Type],$D84))</f>
        <v>8.5616438356164379E-3</v>
      </c>
      <c r="I84" s="394">
        <f>IF(E84="High-End",SUMIFS(Inhalation_Exp[LADD_High-End],Inhalation_Exp[OES],$C84,Inhalation_Exp[Worker Type],$D84),SUMIFS(Inhalation_Exp[LADD_Central Tendency],Inhalation_Exp[OES],$C84,Inhalation_Exp[Worker Type],$D84))</f>
        <v>3.4027046013347384E-3</v>
      </c>
      <c r="J84" s="394">
        <f>IF($E84="High-End",SUMIFS(Dermal_Exp[High-End AD (mg/kg-day)],Dermal_Exp[Worker Type],$D84,Dermal_Exp[OES],$C84),SUMIFS(Dermal_Exp[Central Tendency AD (mg/kg-day)],Dermal_Exp[Worker Type],$D84,Dermal_Exp[OES],$C84))</f>
        <v>1.6943380125055349E-2</v>
      </c>
      <c r="K84" s="332">
        <f>IF($E84="High-End",SUMIFS(Dermal_Exp[High-End IADD (mg/kg-day)],Dermal_Exp[Worker Type],$D84,Dermal_Exp[OES],$C84),SUMIFS(Dermal_Exp[Central Tendency IADD (mg/kg-day)],Dermal_Exp[Worker Type],$D84,Dermal_Exp[OES],$C84))</f>
        <v>1.2425145425040588E-2</v>
      </c>
      <c r="L84" s="332">
        <f>IF($E84="High-End",SUMIFS(Dermal_Exp[High-End ADD (mg/kg-day)],Dermal_Exp[Worker Type],$D84,Dermal_Exp[OES],$C84),SUMIFS(Dermal_Exp[Central Tendency ADD (mg/kg-day)],Dermal_Exp[Worker Type],$D84,Dermal_Exp[OES],$C84))</f>
        <v>1.1605054880174897E-2</v>
      </c>
      <c r="M84" s="332">
        <f>IF($E84="High-End",SUMIFS(Dermal_Exp[High-End LADD (mg/kg-day)],Dermal_Exp[Worker Type],$D84,Dermal_Exp[OES],$C84),SUMIFS(Dermal_Exp[Central Tendency LADD (mg/kg-day)],Dermal_Exp[Worker Type],$D84,Dermal_Exp[OES],$C84))</f>
        <v>4.612265401095151E-3</v>
      </c>
      <c r="N84" s="332">
        <f t="shared" si="9"/>
        <v>2.944338012505535E-2</v>
      </c>
      <c r="O84" s="332">
        <f t="shared" si="6"/>
        <v>2.1591812091707255E-2</v>
      </c>
      <c r="P84" s="332">
        <f t="shared" si="7"/>
        <v>2.0166698715791333E-2</v>
      </c>
      <c r="Q84" s="516">
        <f t="shared" si="8"/>
        <v>8.0149700024298894E-3</v>
      </c>
      <c r="AE84" s="26"/>
      <c r="AF84" s="26"/>
      <c r="AG84" s="26"/>
      <c r="AH84" s="26"/>
      <c r="AI84" s="26"/>
      <c r="AJ84" s="26"/>
      <c r="AK84" s="26"/>
    </row>
    <row r="85" spans="3:37" x14ac:dyDescent="0.25">
      <c r="C85" s="512" t="str" cm="1">
        <f t="array" ref="C85">INDEX('List Values'!$B$2:$B$17,(1+ROUNDDOWN((ROW()-ROW($C$5))*1/6,2)))</f>
        <v>Fabrication or Use of Final Products or Articles</v>
      </c>
      <c r="D85" s="513" t="s">
        <v>72</v>
      </c>
      <c r="E85" s="514" t="s">
        <v>90</v>
      </c>
      <c r="F85" s="515">
        <f>IF(E85="High-End",SUMIFS(Inhalation_Exp[24hr_High-End],Inhalation_Exp[OES],$C85,Inhalation_Exp[Worker Type],$D85),SUMIFS(Inhalation_Exp[24hr_Central Tendency],Inhalation_Exp[OES],$C85,Inhalation_Exp[Worker Type],$D85))</f>
        <v>0.11598205039696236</v>
      </c>
      <c r="G85" s="394">
        <f>IF(E85="High-End",SUMIFS(Inhalation_Exp[Int_High-End],Inhalation_Exp[OES],$C85,Inhalation_Exp[Worker Type],$D85),SUMIFS(Inhalation_Exp[Int_Central Tendency],Inhalation_Exp[OES],$C85,Inhalation_Exp[Worker Type],$D85))</f>
        <v>8.5053503624439059E-2</v>
      </c>
      <c r="H85" s="394">
        <f>IF(E85="High-End",SUMIFS(Inhalation_Exp[ADD_High-End],Inhalation_Exp[OES],$C85,Inhalation_Exp[Worker Type],$D85),SUMIFS(Inhalation_Exp[ADD_Central Tendency],Inhalation_Exp[OES],$C85,Inhalation_Exp[Worker Type],$D85))</f>
        <v>7.9439760545864629E-2</v>
      </c>
      <c r="I85" s="394">
        <f>IF(E85="High-End",SUMIFS(Inhalation_Exp[LADD_High-End],Inhalation_Exp[OES],$C85,Inhalation_Exp[Worker Type],$D85),SUMIFS(Inhalation_Exp[LADD_Central Tendency],Inhalation_Exp[OES],$C85,Inhalation_Exp[Worker Type],$D85))</f>
        <v>4.0738338741469038E-2</v>
      </c>
      <c r="J85" s="394">
        <f>IF($E85="High-End",SUMIFS(Dermal_Exp[High-End AD (mg/kg-day)],Dermal_Exp[Worker Type],$D85,Dermal_Exp[OES],$C85),SUMIFS(Dermal_Exp[Central Tendency AD (mg/kg-day)],Dermal_Exp[Worker Type],$D85,Dermal_Exp[OES],$C85))</f>
        <v>3.1144954430318089E-2</v>
      </c>
      <c r="K85" s="332">
        <f>IF($E85="High-End",SUMIFS(Dermal_Exp[High-End IADD (mg/kg-day)],Dermal_Exp[Worker Type],$D85,Dermal_Exp[OES],$C85),SUMIFS(Dermal_Exp[Central Tendency IADD (mg/kg-day)],Dermal_Exp[Worker Type],$D85,Dermal_Exp[OES],$C85))</f>
        <v>2.2839633248899933E-2</v>
      </c>
      <c r="L85" s="332">
        <f>IF($E85="High-End",SUMIFS(Dermal_Exp[High-End ADD (mg/kg-day)],Dermal_Exp[Worker Type],$D85,Dermal_Exp[OES],$C85),SUMIFS(Dermal_Exp[Central Tendency ADD (mg/kg-day)],Dermal_Exp[Worker Type],$D85,Dermal_Exp[OES],$C85))</f>
        <v>2.1332160568711022E-2</v>
      </c>
      <c r="M85" s="332">
        <f>IF($E85="High-End",SUMIFS(Dermal_Exp[High-End LADD (mg/kg-day)],Dermal_Exp[Worker Type],$D85,Dermal_Exp[OES],$C85),SUMIFS(Dermal_Exp[Central Tendency LADD (mg/kg-day)],Dermal_Exp[Worker Type],$D85,Dermal_Exp[OES],$C85))</f>
        <v>1.0939569522415909E-2</v>
      </c>
      <c r="N85" s="332">
        <f t="shared" si="9"/>
        <v>0.14712700482728044</v>
      </c>
      <c r="O85" s="332">
        <f t="shared" si="6"/>
        <v>0.10789313687333899</v>
      </c>
      <c r="P85" s="332">
        <f t="shared" si="7"/>
        <v>0.10077192111457565</v>
      </c>
      <c r="Q85" s="516">
        <f t="shared" si="8"/>
        <v>5.167790826388495E-2</v>
      </c>
      <c r="AE85" s="26"/>
      <c r="AF85" s="26"/>
      <c r="AG85" s="26"/>
      <c r="AH85" s="26"/>
      <c r="AI85" s="26"/>
      <c r="AJ85" s="26"/>
      <c r="AK85" s="26"/>
    </row>
    <row r="86" spans="3:37" x14ac:dyDescent="0.25">
      <c r="C86" s="512" t="str" cm="1">
        <f t="array" ref="C86">INDEX('List Values'!$B$2:$B$17,(1+ROUNDDOWN((ROW()-ROW($C$5))*1/6,2)))</f>
        <v>Fabrication or Use of Final Products or Articles</v>
      </c>
      <c r="D86" s="513" t="s">
        <v>72</v>
      </c>
      <c r="E86" s="514" t="s">
        <v>91</v>
      </c>
      <c r="F86" s="515">
        <f>IF(E86="High-End",SUMIFS(Inhalation_Exp[24hr_High-End],Inhalation_Exp[OES],$C86,Inhalation_Exp[Worker Type],$D86),SUMIFS(Inhalation_Exp[24hr_Central Tendency],Inhalation_Exp[OES],$C86,Inhalation_Exp[Worker Type],$D86))</f>
        <v>1.3807386952019328E-2</v>
      </c>
      <c r="G86" s="394">
        <f>IF(E86="High-End",SUMIFS(Inhalation_Exp[Int_High-End],Inhalation_Exp[OES],$C86,Inhalation_Exp[Worker Type],$D86),SUMIFS(Inhalation_Exp[Int_Central Tendency],Inhalation_Exp[OES],$C86,Inhalation_Exp[Worker Type],$D86))</f>
        <v>1.0125417098147507E-2</v>
      </c>
      <c r="H86" s="394">
        <f>IF(E86="High-End",SUMIFS(Inhalation_Exp[ADD_High-End],Inhalation_Exp[OES],$C86,Inhalation_Exp[Worker Type],$D86),SUMIFS(Inhalation_Exp[ADD_Central Tendency],Inhalation_Exp[OES],$C86,Inhalation_Exp[Worker Type],$D86))</f>
        <v>9.457114350698171E-3</v>
      </c>
      <c r="I86" s="394">
        <f>IF(E86="High-End",SUMIFS(Inhalation_Exp[LADD_High-End],Inhalation_Exp[OES],$C86,Inhalation_Exp[Worker Type],$D86),SUMIFS(Inhalation_Exp[LADD_Central Tendency],Inhalation_Exp[OES],$C86,Inhalation_Exp[Worker Type],$D86))</f>
        <v>3.7585967291236316E-3</v>
      </c>
      <c r="J86" s="394">
        <f>IF($E86="High-End",SUMIFS(Dermal_Exp[High-End AD (mg/kg-day)],Dermal_Exp[Worker Type],$D86,Dermal_Exp[OES],$C86),SUMIFS(Dermal_Exp[Central Tendency AD (mg/kg-day)],Dermal_Exp[Worker Type],$D86,Dermal_Exp[OES],$C86))</f>
        <v>1.5572477215159045E-2</v>
      </c>
      <c r="K86" s="332">
        <f>IF($E86="High-End",SUMIFS(Dermal_Exp[High-End IADD (mg/kg-day)],Dermal_Exp[Worker Type],$D86,Dermal_Exp[OES],$C86),SUMIFS(Dermal_Exp[Central Tendency IADD (mg/kg-day)],Dermal_Exp[Worker Type],$D86,Dermal_Exp[OES],$C86))</f>
        <v>1.1419816624449967E-2</v>
      </c>
      <c r="L86" s="332">
        <f>IF($E86="High-End",SUMIFS(Dermal_Exp[High-End ADD (mg/kg-day)],Dermal_Exp[Worker Type],$D86,Dermal_Exp[OES],$C86),SUMIFS(Dermal_Exp[Central Tendency ADD (mg/kg-day)],Dermal_Exp[Worker Type],$D86,Dermal_Exp[OES],$C86))</f>
        <v>1.0666080284355511E-2</v>
      </c>
      <c r="M86" s="332">
        <f>IF($E86="High-End",SUMIFS(Dermal_Exp[High-End LADD (mg/kg-day)],Dermal_Exp[Worker Type],$D86,Dermal_Exp[OES],$C86),SUMIFS(Dermal_Exp[Central Tendency LADD (mg/kg-day)],Dermal_Exp[Worker Type],$D86,Dermal_Exp[OES],$C86))</f>
        <v>4.2390831899361643E-3</v>
      </c>
      <c r="N86" s="332">
        <f t="shared" si="9"/>
        <v>2.9379864167178374E-2</v>
      </c>
      <c r="O86" s="332">
        <f t="shared" si="6"/>
        <v>2.1545233722597472E-2</v>
      </c>
      <c r="P86" s="332">
        <f t="shared" si="7"/>
        <v>2.012319463505368E-2</v>
      </c>
      <c r="Q86" s="516">
        <f t="shared" si="8"/>
        <v>7.9976799190597959E-3</v>
      </c>
      <c r="AE86" s="26"/>
      <c r="AF86" s="26"/>
      <c r="AG86" s="26"/>
      <c r="AH86" s="26"/>
      <c r="AI86" s="26"/>
      <c r="AJ86" s="26"/>
      <c r="AK86" s="26"/>
    </row>
    <row r="87" spans="3:37" x14ac:dyDescent="0.25">
      <c r="C87" s="512" t="str" cm="1">
        <f t="array" ref="C87">INDEX('List Values'!$B$2:$B$17,(1+ROUNDDOWN((ROW()-ROW($C$5))*1/6,2)))</f>
        <v>Fabrication or Use of Final Products or Articles</v>
      </c>
      <c r="D87" s="513" t="s">
        <v>92</v>
      </c>
      <c r="E87" s="514" t="s">
        <v>90</v>
      </c>
      <c r="F87" s="515">
        <f>IF(E87="High-End",SUMIFS(Inhalation_Exp[24hr_High-End],Inhalation_Exp[OES],$C87,Inhalation_Exp[Worker Type],$D87),SUMIFS(Inhalation_Exp[24hr_Central Tendency],Inhalation_Exp[OES],$C87,Inhalation_Exp[Worker Type],$D87))</f>
        <v>1.2500000000000001E-2</v>
      </c>
      <c r="G87" s="394">
        <f>IF(E87="High-End",SUMIFS(Inhalation_Exp[Int_High-End],Inhalation_Exp[OES],$C87,Inhalation_Exp[Worker Type],$D87),SUMIFS(Inhalation_Exp[Int_Central Tendency],Inhalation_Exp[OES],$C87,Inhalation_Exp[Worker Type],$D87))</f>
        <v>9.1666666666666667E-3</v>
      </c>
      <c r="H87" s="394">
        <f>IF(E87="High-End",SUMIFS(Inhalation_Exp[ADD_High-End],Inhalation_Exp[OES],$C87,Inhalation_Exp[Worker Type],$D87),SUMIFS(Inhalation_Exp[ADD_Central Tendency],Inhalation_Exp[OES],$C87,Inhalation_Exp[Worker Type],$D87))</f>
        <v>8.5616438356164379E-3</v>
      </c>
      <c r="I87" s="394">
        <f>IF(E87="High-End",SUMIFS(Inhalation_Exp[LADD_High-End],Inhalation_Exp[OES],$C87,Inhalation_Exp[Worker Type],$D87),SUMIFS(Inhalation_Exp[LADD_Central Tendency],Inhalation_Exp[OES],$C87,Inhalation_Exp[Worker Type],$D87))</f>
        <v>4.3905865823674044E-3</v>
      </c>
      <c r="J87" s="394">
        <f>IF($E87="High-End",SUMIFS(Dermal_Exp[High-End AD (mg/kg-day)],Dermal_Exp[Worker Type],$D87,Dermal_Exp[OES],$C87),SUMIFS(Dermal_Exp[Central Tendency AD (mg/kg-day)],Dermal_Exp[Worker Type],$D87,Dermal_Exp[OES],$C87))</f>
        <v>1.6943380125055349E-2</v>
      </c>
      <c r="K87" s="332">
        <f>IF($E87="High-End",SUMIFS(Dermal_Exp[High-End IADD (mg/kg-day)],Dermal_Exp[Worker Type],$D87,Dermal_Exp[OES],$C87),SUMIFS(Dermal_Exp[Central Tendency IADD (mg/kg-day)],Dermal_Exp[Worker Type],$D87,Dermal_Exp[OES],$C87))</f>
        <v>1.2425145425040588E-2</v>
      </c>
      <c r="L87" s="332">
        <f>IF($E87="High-End",SUMIFS(Dermal_Exp[High-End ADD (mg/kg-day)],Dermal_Exp[Worker Type],$D87,Dermal_Exp[OES],$C87),SUMIFS(Dermal_Exp[Central Tendency ADD (mg/kg-day)],Dermal_Exp[Worker Type],$D87,Dermal_Exp[OES],$C87))</f>
        <v>1.1605054880174895E-2</v>
      </c>
      <c r="M87" s="332">
        <f>IF($E87="High-End",SUMIFS(Dermal_Exp[High-End LADD (mg/kg-day)],Dermal_Exp[Worker Type],$D87,Dermal_Exp[OES],$C87),SUMIFS(Dermal_Exp[Central Tendency LADD (mg/kg-day)],Dermal_Exp[Worker Type],$D87,Dermal_Exp[OES],$C87))</f>
        <v>5.9513101949614849E-3</v>
      </c>
      <c r="N87" s="332">
        <f t="shared" si="9"/>
        <v>2.944338012505535E-2</v>
      </c>
      <c r="O87" s="332">
        <f t="shared" si="6"/>
        <v>2.1591812091707255E-2</v>
      </c>
      <c r="P87" s="332">
        <f t="shared" si="7"/>
        <v>2.0166698715791333E-2</v>
      </c>
      <c r="Q87" s="516">
        <f t="shared" si="8"/>
        <v>1.0341896777328888E-2</v>
      </c>
      <c r="AE87" s="26"/>
      <c r="AF87" s="26"/>
      <c r="AG87" s="26"/>
      <c r="AH87" s="26"/>
      <c r="AI87" s="26"/>
      <c r="AJ87" s="26"/>
      <c r="AK87" s="26"/>
    </row>
    <row r="88" spans="3:37" x14ac:dyDescent="0.25">
      <c r="C88" s="512" t="str" cm="1">
        <f t="array" ref="C88">INDEX('List Values'!$B$2:$B$17,(1+ROUNDDOWN((ROW()-ROW($C$5))*1/6,2)))</f>
        <v>Fabrication or Use of Final Products or Articles</v>
      </c>
      <c r="D88" s="513" t="s">
        <v>92</v>
      </c>
      <c r="E88" s="514" t="s">
        <v>91</v>
      </c>
      <c r="F88" s="515">
        <f>IF(E88="High-End",SUMIFS(Inhalation_Exp[24hr_High-End],Inhalation_Exp[OES],$C88,Inhalation_Exp[Worker Type],$D88),SUMIFS(Inhalation_Exp[24hr_Central Tendency],Inhalation_Exp[OES],$C88,Inhalation_Exp[Worker Type],$D88))</f>
        <v>1.2500000000000001E-2</v>
      </c>
      <c r="G88" s="394">
        <f>IF(E88="High-End",SUMIFS(Inhalation_Exp[Int_High-End],Inhalation_Exp[OES],$C88,Inhalation_Exp[Worker Type],$D88),SUMIFS(Inhalation_Exp[Int_Central Tendency],Inhalation_Exp[OES],$C88,Inhalation_Exp[Worker Type],$D88))</f>
        <v>9.1666666666666667E-3</v>
      </c>
      <c r="H88" s="394">
        <f>IF(E88="High-End",SUMIFS(Inhalation_Exp[ADD_High-End],Inhalation_Exp[OES],$C88,Inhalation_Exp[Worker Type],$D88),SUMIFS(Inhalation_Exp[ADD_Central Tendency],Inhalation_Exp[OES],$C88,Inhalation_Exp[Worker Type],$D88))</f>
        <v>8.5616438356164379E-3</v>
      </c>
      <c r="I88" s="394">
        <f>IF(E88="High-End",SUMIFS(Inhalation_Exp[LADD_High-End],Inhalation_Exp[OES],$C88,Inhalation_Exp[Worker Type],$D88),SUMIFS(Inhalation_Exp[LADD_Central Tendency],Inhalation_Exp[OES],$C88,Inhalation_Exp[Worker Type],$D88))</f>
        <v>3.4027046013347384E-3</v>
      </c>
      <c r="J88" s="394">
        <f>IF($E88="High-End",SUMIFS(Dermal_Exp[High-End AD (mg/kg-day)],Dermal_Exp[Worker Type],$D88,Dermal_Exp[OES],$C88),SUMIFS(Dermal_Exp[Central Tendency AD (mg/kg-day)],Dermal_Exp[Worker Type],$D88,Dermal_Exp[OES],$C88))</f>
        <v>1.6943380125055349E-2</v>
      </c>
      <c r="K88" s="332">
        <f>IF($E88="High-End",SUMIFS(Dermal_Exp[High-End IADD (mg/kg-day)],Dermal_Exp[Worker Type],$D88,Dermal_Exp[OES],$C88),SUMIFS(Dermal_Exp[Central Tendency IADD (mg/kg-day)],Dermal_Exp[Worker Type],$D88,Dermal_Exp[OES],$C88))</f>
        <v>1.2425145425040588E-2</v>
      </c>
      <c r="L88" s="332">
        <f>IF($E88="High-End",SUMIFS(Dermal_Exp[High-End ADD (mg/kg-day)],Dermal_Exp[Worker Type],$D88,Dermal_Exp[OES],$C88),SUMIFS(Dermal_Exp[Central Tendency ADD (mg/kg-day)],Dermal_Exp[Worker Type],$D88,Dermal_Exp[OES],$C88))</f>
        <v>1.1605054880174897E-2</v>
      </c>
      <c r="M88" s="332">
        <f>IF($E88="High-End",SUMIFS(Dermal_Exp[High-End LADD (mg/kg-day)],Dermal_Exp[Worker Type],$D88,Dermal_Exp[OES],$C88),SUMIFS(Dermal_Exp[Central Tendency LADD (mg/kg-day)],Dermal_Exp[Worker Type],$D88,Dermal_Exp[OES],$C88))</f>
        <v>4.612265401095151E-3</v>
      </c>
      <c r="N88" s="332">
        <f t="shared" si="9"/>
        <v>2.944338012505535E-2</v>
      </c>
      <c r="O88" s="332">
        <f t="shared" si="6"/>
        <v>2.1591812091707255E-2</v>
      </c>
      <c r="P88" s="332">
        <f t="shared" si="7"/>
        <v>2.0166698715791333E-2</v>
      </c>
      <c r="Q88" s="516">
        <f t="shared" si="8"/>
        <v>8.0149700024298894E-3</v>
      </c>
      <c r="AE88" s="26"/>
      <c r="AF88" s="26"/>
      <c r="AG88" s="26"/>
      <c r="AH88" s="26"/>
      <c r="AI88" s="26"/>
      <c r="AJ88" s="26"/>
      <c r="AK88" s="26"/>
    </row>
    <row r="89" spans="3:37" x14ac:dyDescent="0.25">
      <c r="C89" s="512" t="str" cm="1">
        <f t="array" ref="C89">INDEX('List Values'!$B$2:$B$17,(1+ROUNDDOWN((ROW()-ROW($C$5))*1/6,2)))</f>
        <v>Recycling</v>
      </c>
      <c r="D89" s="513" t="s">
        <v>197</v>
      </c>
      <c r="E89" s="514" t="s">
        <v>90</v>
      </c>
      <c r="F89" s="515">
        <f>IF(E89="High-End",SUMIFS(Inhalation_Exp[24hr_High-End],Inhalation_Exp[OES],$C89,Inhalation_Exp[Worker Type],$D89),SUMIFS(Inhalation_Exp[24hr_Central Tendency],Inhalation_Exp[OES],$C89,Inhalation_Exp[Worker Type],$D89))</f>
        <v>0.19687499999999999</v>
      </c>
      <c r="G89" s="394">
        <f>IF(E89="High-End",SUMIFS(Inhalation_Exp[Int_High-End],Inhalation_Exp[OES],$C89,Inhalation_Exp[Worker Type],$D89),SUMIFS(Inhalation_Exp[Int_Central Tendency],Inhalation_Exp[OES],$C89,Inhalation_Exp[Worker Type],$D89))</f>
        <v>0.144375</v>
      </c>
      <c r="H89" s="394">
        <f>IF(E89="High-End",SUMIFS(Inhalation_Exp[ADD_High-End],Inhalation_Exp[OES],$C89,Inhalation_Exp[Worker Type],$D89),SUMIFS(Inhalation_Exp[ADD_Central Tendency],Inhalation_Exp[OES],$C89,Inhalation_Exp[Worker Type],$D89))</f>
        <v>0.1348458904109589</v>
      </c>
      <c r="I89" s="394">
        <f>IF(E89="High-End",SUMIFS(Inhalation_Exp[LADD_High-End],Inhalation_Exp[OES],$C89,Inhalation_Exp[Worker Type],$D89),SUMIFS(Inhalation_Exp[LADD_Central Tendency],Inhalation_Exp[OES],$C89,Inhalation_Exp[Worker Type],$D89))</f>
        <v>6.915173867228662E-2</v>
      </c>
      <c r="J89" s="394">
        <f>IF($E89="High-End",SUMIFS(Dermal_Exp[High-End AD (mg/kg-day)],Dermal_Exp[Worker Type],$D89,Dermal_Exp[OES],$C89),SUMIFS(Dermal_Exp[Central Tendency AD (mg/kg-day)],Dermal_Exp[Worker Type],$D89,Dermal_Exp[OES],$C89))</f>
        <v>3.3886760250110698E-2</v>
      </c>
      <c r="K89" s="332">
        <f>IF($E89="High-End",SUMIFS(Dermal_Exp[High-End IADD (mg/kg-day)],Dermal_Exp[Worker Type],$D89,Dermal_Exp[OES],$C89),SUMIFS(Dermal_Exp[Central Tendency IADD (mg/kg-day)],Dermal_Exp[Worker Type],$D89,Dermal_Exp[OES],$C89))</f>
        <v>2.4850290850081176E-2</v>
      </c>
      <c r="L89" s="332">
        <f>IF($E89="High-End",SUMIFS(Dermal_Exp[High-End ADD (mg/kg-day)],Dermal_Exp[Worker Type],$D89,Dermal_Exp[OES],$C89),SUMIFS(Dermal_Exp[Central Tendency ADD (mg/kg-day)],Dermal_Exp[Worker Type],$D89,Dermal_Exp[OES],$C89))</f>
        <v>2.321010976034979E-2</v>
      </c>
      <c r="M89" s="332">
        <f>IF($E89="High-End",SUMIFS(Dermal_Exp[High-End LADD (mg/kg-day)],Dermal_Exp[Worker Type],$D89,Dermal_Exp[OES],$C89),SUMIFS(Dermal_Exp[Central Tendency LADD (mg/kg-day)],Dermal_Exp[Worker Type],$D89,Dermal_Exp[OES],$C89))</f>
        <v>1.190262038992297E-2</v>
      </c>
      <c r="N89" s="332">
        <f t="shared" si="9"/>
        <v>0.23076176025011069</v>
      </c>
      <c r="O89" s="332">
        <f t="shared" si="6"/>
        <v>0.16922529085008117</v>
      </c>
      <c r="P89" s="332">
        <f t="shared" si="7"/>
        <v>0.15805600017130869</v>
      </c>
      <c r="Q89" s="516">
        <f t="shared" si="8"/>
        <v>8.1054359062209591E-2</v>
      </c>
      <c r="AE89" s="26"/>
      <c r="AF89" s="26"/>
      <c r="AG89" s="26"/>
      <c r="AH89" s="26"/>
      <c r="AI89" s="26"/>
      <c r="AJ89" s="26"/>
      <c r="AK89" s="26"/>
    </row>
    <row r="90" spans="3:37" x14ac:dyDescent="0.25">
      <c r="C90" s="512" t="str" cm="1">
        <f t="array" ref="C90">INDEX('List Values'!$B$2:$B$17,(1+ROUNDDOWN((ROW()-ROW($C$5))*1/6,2)))</f>
        <v>Recycling</v>
      </c>
      <c r="D90" s="513" t="s">
        <v>197</v>
      </c>
      <c r="E90" s="514" t="s">
        <v>91</v>
      </c>
      <c r="F90" s="515">
        <f>IF(E90="High-End",SUMIFS(Inhalation_Exp[24hr_High-End],Inhalation_Exp[OES],$C90,Inhalation_Exp[Worker Type],$D90),SUMIFS(Inhalation_Exp[24hr_Central Tendency],Inhalation_Exp[OES],$C90,Inhalation_Exp[Worker Type],$D90))</f>
        <v>1.3500000000000002E-2</v>
      </c>
      <c r="G90" s="394">
        <f>IF(E90="High-End",SUMIFS(Inhalation_Exp[Int_High-End],Inhalation_Exp[OES],$C90,Inhalation_Exp[Worker Type],$D90),SUMIFS(Inhalation_Exp[Int_Central Tendency],Inhalation_Exp[OES],$C90,Inhalation_Exp[Worker Type],$D90))</f>
        <v>9.9000000000000008E-3</v>
      </c>
      <c r="H90" s="394">
        <f>IF(E90="High-End",SUMIFS(Inhalation_Exp[ADD_High-End],Inhalation_Exp[OES],$C90,Inhalation_Exp[Worker Type],$D90),SUMIFS(Inhalation_Exp[ADD_Central Tendency],Inhalation_Exp[OES],$C90,Inhalation_Exp[Worker Type],$D90))</f>
        <v>9.2465753424657553E-3</v>
      </c>
      <c r="I90" s="394">
        <f>IF(E90="High-End",SUMIFS(Inhalation_Exp[LADD_High-End],Inhalation_Exp[OES],$C90,Inhalation_Exp[Worker Type],$D90),SUMIFS(Inhalation_Exp[LADD_Central Tendency],Inhalation_Exp[OES],$C90,Inhalation_Exp[Worker Type],$D90))</f>
        <v>3.6749209694415179E-3</v>
      </c>
      <c r="J90" s="394">
        <f>IF($E90="High-End",SUMIFS(Dermal_Exp[High-End AD (mg/kg-day)],Dermal_Exp[Worker Type],$D90,Dermal_Exp[OES],$C90),SUMIFS(Dermal_Exp[Central Tendency AD (mg/kg-day)],Dermal_Exp[Worker Type],$D90,Dermal_Exp[OES],$C90))</f>
        <v>1.6943380125055349E-2</v>
      </c>
      <c r="K90" s="332">
        <f>IF($E90="High-End",SUMIFS(Dermal_Exp[High-End IADD (mg/kg-day)],Dermal_Exp[Worker Type],$D90,Dermal_Exp[OES],$C90),SUMIFS(Dermal_Exp[Central Tendency IADD (mg/kg-day)],Dermal_Exp[Worker Type],$D90,Dermal_Exp[OES],$C90))</f>
        <v>1.2425145425040588E-2</v>
      </c>
      <c r="L90" s="332">
        <f>IF($E90="High-End",SUMIFS(Dermal_Exp[High-End ADD (mg/kg-day)],Dermal_Exp[Worker Type],$D90,Dermal_Exp[OES],$C90),SUMIFS(Dermal_Exp[Central Tendency ADD (mg/kg-day)],Dermal_Exp[Worker Type],$D90,Dermal_Exp[OES],$C90))</f>
        <v>1.1605054880174897E-2</v>
      </c>
      <c r="M90" s="332">
        <f>IF($E90="High-End",SUMIFS(Dermal_Exp[High-End LADD (mg/kg-day)],Dermal_Exp[Worker Type],$D90,Dermal_Exp[OES],$C90),SUMIFS(Dermal_Exp[Central Tendency LADD (mg/kg-day)],Dermal_Exp[Worker Type],$D90,Dermal_Exp[OES],$C90))</f>
        <v>4.612265401095151E-3</v>
      </c>
      <c r="N90" s="332">
        <f t="shared" si="9"/>
        <v>3.0443380125055351E-2</v>
      </c>
      <c r="O90" s="332">
        <f t="shared" si="6"/>
        <v>2.2325145425040591E-2</v>
      </c>
      <c r="P90" s="332">
        <f t="shared" si="7"/>
        <v>2.0851630222640652E-2</v>
      </c>
      <c r="Q90" s="516">
        <f t="shared" si="8"/>
        <v>8.2871863705366693E-3</v>
      </c>
      <c r="AE90" s="26"/>
      <c r="AF90" s="26"/>
      <c r="AG90" s="26"/>
      <c r="AH90" s="26"/>
      <c r="AI90" s="26"/>
      <c r="AJ90" s="26"/>
      <c r="AK90" s="26"/>
    </row>
    <row r="91" spans="3:37" x14ac:dyDescent="0.25">
      <c r="C91" s="512" t="str" cm="1">
        <f t="array" ref="C91">INDEX('List Values'!$B$2:$B$17,(1+ROUNDDOWN((ROW()-ROW($C$5))*1/6,2)))</f>
        <v>Recycling</v>
      </c>
      <c r="D91" s="513" t="s">
        <v>72</v>
      </c>
      <c r="E91" s="514" t="s">
        <v>90</v>
      </c>
      <c r="F91" s="515">
        <f>IF(E91="High-End",SUMIFS(Inhalation_Exp[24hr_High-End],Inhalation_Exp[OES],$C91,Inhalation_Exp[Worker Type],$D91),SUMIFS(Inhalation_Exp[24hr_Central Tendency],Inhalation_Exp[OES],$C91,Inhalation_Exp[Worker Type],$D91))</f>
        <v>0.21746634449430441</v>
      </c>
      <c r="G91" s="394">
        <f>IF(E91="High-End",SUMIFS(Inhalation_Exp[Int_High-End],Inhalation_Exp[OES],$C91,Inhalation_Exp[Worker Type],$D91),SUMIFS(Inhalation_Exp[Int_Central Tendency],Inhalation_Exp[OES],$C91,Inhalation_Exp[Worker Type],$D91))</f>
        <v>0.15947531929582323</v>
      </c>
      <c r="H91" s="394">
        <f>IF(E91="High-End",SUMIFS(Inhalation_Exp[ADD_High-End],Inhalation_Exp[OES],$C91,Inhalation_Exp[Worker Type],$D91),SUMIFS(Inhalation_Exp[ADD_Central Tendency],Inhalation_Exp[OES],$C91,Inhalation_Exp[Worker Type],$D91))</f>
        <v>0.14894955102349619</v>
      </c>
      <c r="I91" s="394">
        <f>IF(E91="High-End",SUMIFS(Inhalation_Exp[LADD_High-End],Inhalation_Exp[OES],$C91,Inhalation_Exp[Worker Type],$D91),SUMIFS(Inhalation_Exp[LADD_Central Tendency],Inhalation_Exp[OES],$C91,Inhalation_Exp[Worker Type],$D91))</f>
        <v>7.638438514025446E-2</v>
      </c>
      <c r="J91" s="394">
        <f>IF($E91="High-End",SUMIFS(Dermal_Exp[High-End AD (mg/kg-day)],Dermal_Exp[Worker Type],$D91,Dermal_Exp[OES],$C91),SUMIFS(Dermal_Exp[Central Tendency AD (mg/kg-day)],Dermal_Exp[Worker Type],$D91,Dermal_Exp[OES],$C91))</f>
        <v>3.1144954430318089E-2</v>
      </c>
      <c r="K91" s="332">
        <f>IF($E91="High-End",SUMIFS(Dermal_Exp[High-End IADD (mg/kg-day)],Dermal_Exp[Worker Type],$D91,Dermal_Exp[OES],$C91),SUMIFS(Dermal_Exp[Central Tendency IADD (mg/kg-day)],Dermal_Exp[Worker Type],$D91,Dermal_Exp[OES],$C91))</f>
        <v>2.2839633248899933E-2</v>
      </c>
      <c r="L91" s="332">
        <f>IF($E91="High-End",SUMIFS(Dermal_Exp[High-End ADD (mg/kg-day)],Dermal_Exp[Worker Type],$D91,Dermal_Exp[OES],$C91),SUMIFS(Dermal_Exp[Central Tendency ADD (mg/kg-day)],Dermal_Exp[Worker Type],$D91,Dermal_Exp[OES],$C91))</f>
        <v>2.1332160568711022E-2</v>
      </c>
      <c r="M91" s="332">
        <f>IF($E91="High-End",SUMIFS(Dermal_Exp[High-End LADD (mg/kg-day)],Dermal_Exp[Worker Type],$D91,Dermal_Exp[OES],$C91),SUMIFS(Dermal_Exp[Central Tendency LADD (mg/kg-day)],Dermal_Exp[Worker Type],$D91,Dermal_Exp[OES],$C91))</f>
        <v>1.0939569522415909E-2</v>
      </c>
      <c r="N91" s="332">
        <f t="shared" si="9"/>
        <v>0.2486112989246225</v>
      </c>
      <c r="O91" s="332">
        <f t="shared" si="6"/>
        <v>0.18231495254472316</v>
      </c>
      <c r="P91" s="332">
        <f t="shared" si="7"/>
        <v>0.1702817115922072</v>
      </c>
      <c r="Q91" s="516">
        <f t="shared" si="8"/>
        <v>8.7323954662670372E-2</v>
      </c>
      <c r="AE91" s="26"/>
      <c r="AF91" s="26"/>
      <c r="AG91" s="26"/>
      <c r="AH91" s="26"/>
      <c r="AI91" s="26"/>
      <c r="AJ91" s="26"/>
      <c r="AK91" s="26"/>
    </row>
    <row r="92" spans="3:37" x14ac:dyDescent="0.25">
      <c r="C92" s="512" t="str" cm="1">
        <f t="array" ref="C92">INDEX('List Values'!$B$2:$B$17,(1+ROUNDDOWN((ROW()-ROW($C$5))*1/6,2)))</f>
        <v>Recycling</v>
      </c>
      <c r="D92" s="513" t="s">
        <v>72</v>
      </c>
      <c r="E92" s="514" t="s">
        <v>91</v>
      </c>
      <c r="F92" s="515">
        <f>IF(E92="High-End",SUMIFS(Inhalation_Exp[24hr_High-End],Inhalation_Exp[OES],$C92,Inhalation_Exp[Worker Type],$D92),SUMIFS(Inhalation_Exp[24hr_Central Tendency],Inhalation_Exp[OES],$C92,Inhalation_Exp[Worker Type],$D92))</f>
        <v>1.4911977908180876E-2</v>
      </c>
      <c r="G92" s="394">
        <f>IF(E92="High-End",SUMIFS(Inhalation_Exp[Int_High-End],Inhalation_Exp[OES],$C92,Inhalation_Exp[Worker Type],$D92),SUMIFS(Inhalation_Exp[Int_Central Tendency],Inhalation_Exp[OES],$C92,Inhalation_Exp[Worker Type],$D92))</f>
        <v>1.093545046599931E-2</v>
      </c>
      <c r="H92" s="394">
        <f>IF(E92="High-End",SUMIFS(Inhalation_Exp[ADD_High-End],Inhalation_Exp[OES],$C92,Inhalation_Exp[Worker Type],$D92),SUMIFS(Inhalation_Exp[ADD_Central Tendency],Inhalation_Exp[OES],$C92,Inhalation_Exp[Worker Type],$D92))</f>
        <v>1.0213683498754025E-2</v>
      </c>
      <c r="I92" s="394">
        <f>IF(E92="High-End",SUMIFS(Inhalation_Exp[LADD_High-End],Inhalation_Exp[OES],$C92,Inhalation_Exp[Worker Type],$D92),SUMIFS(Inhalation_Exp[LADD_Central Tendency],Inhalation_Exp[OES],$C92,Inhalation_Exp[Worker Type],$D92))</f>
        <v>4.0592844674535227E-3</v>
      </c>
      <c r="J92" s="394">
        <f>IF($E92="High-End",SUMIFS(Dermal_Exp[High-End AD (mg/kg-day)],Dermal_Exp[Worker Type],$D92,Dermal_Exp[OES],$C92),SUMIFS(Dermal_Exp[Central Tendency AD (mg/kg-day)],Dermal_Exp[Worker Type],$D92,Dermal_Exp[OES],$C92))</f>
        <v>1.5572477215159045E-2</v>
      </c>
      <c r="K92" s="332">
        <f>IF($E92="High-End",SUMIFS(Dermal_Exp[High-End IADD (mg/kg-day)],Dermal_Exp[Worker Type],$D92,Dermal_Exp[OES],$C92),SUMIFS(Dermal_Exp[Central Tendency IADD (mg/kg-day)],Dermal_Exp[Worker Type],$D92,Dermal_Exp[OES],$C92))</f>
        <v>1.1419816624449967E-2</v>
      </c>
      <c r="L92" s="332">
        <f>IF($E92="High-End",SUMIFS(Dermal_Exp[High-End ADD (mg/kg-day)],Dermal_Exp[Worker Type],$D92,Dermal_Exp[OES],$C92),SUMIFS(Dermal_Exp[Central Tendency ADD (mg/kg-day)],Dermal_Exp[Worker Type],$D92,Dermal_Exp[OES],$C92))</f>
        <v>1.0666080284355511E-2</v>
      </c>
      <c r="M92" s="332">
        <f>IF($E92="High-End",SUMIFS(Dermal_Exp[High-End LADD (mg/kg-day)],Dermal_Exp[Worker Type],$D92,Dermal_Exp[OES],$C92),SUMIFS(Dermal_Exp[Central Tendency LADD (mg/kg-day)],Dermal_Exp[Worker Type],$D92,Dermal_Exp[OES],$C92))</f>
        <v>4.2390831899361643E-3</v>
      </c>
      <c r="N92" s="332">
        <f t="shared" si="9"/>
        <v>3.0484455123339922E-2</v>
      </c>
      <c r="O92" s="332">
        <f t="shared" si="6"/>
        <v>2.2355267090449278E-2</v>
      </c>
      <c r="P92" s="332">
        <f t="shared" si="7"/>
        <v>2.0879763783109538E-2</v>
      </c>
      <c r="Q92" s="516">
        <f t="shared" si="8"/>
        <v>8.298367657389687E-3</v>
      </c>
      <c r="AE92" s="26"/>
      <c r="AF92" s="26"/>
      <c r="AG92" s="26"/>
      <c r="AH92" s="26"/>
      <c r="AI92" s="26"/>
      <c r="AJ92" s="26"/>
      <c r="AK92" s="26"/>
    </row>
    <row r="93" spans="3:37" x14ac:dyDescent="0.25">
      <c r="C93" s="512" t="str" cm="1">
        <f t="array" ref="C93">INDEX('List Values'!$B$2:$B$17,(1+ROUNDDOWN((ROW()-ROW($C$5))*1/6,2)))</f>
        <v>Recycling</v>
      </c>
      <c r="D93" s="513" t="s">
        <v>92</v>
      </c>
      <c r="E93" s="514" t="s">
        <v>90</v>
      </c>
      <c r="F93" s="515">
        <f>IF(E93="High-End",SUMIFS(Inhalation_Exp[24hr_High-End],Inhalation_Exp[OES],$C93,Inhalation_Exp[Worker Type],$D93),SUMIFS(Inhalation_Exp[24hr_Central Tendency],Inhalation_Exp[OES],$C93,Inhalation_Exp[Worker Type],$D93))</f>
        <v>1.3500000000000002E-2</v>
      </c>
      <c r="G93" s="394">
        <f>IF(E93="High-End",SUMIFS(Inhalation_Exp[Int_High-End],Inhalation_Exp[OES],$C93,Inhalation_Exp[Worker Type],$D93),SUMIFS(Inhalation_Exp[Int_Central Tendency],Inhalation_Exp[OES],$C93,Inhalation_Exp[Worker Type],$D93))</f>
        <v>9.9000000000000008E-3</v>
      </c>
      <c r="H93" s="394">
        <f>IF(E93="High-End",SUMIFS(Inhalation_Exp[ADD_High-End],Inhalation_Exp[OES],$C93,Inhalation_Exp[Worker Type],$D93),SUMIFS(Inhalation_Exp[ADD_Central Tendency],Inhalation_Exp[OES],$C93,Inhalation_Exp[Worker Type],$D93))</f>
        <v>9.2465753424657553E-3</v>
      </c>
      <c r="I93" s="394">
        <f>IF(E93="High-End",SUMIFS(Inhalation_Exp[LADD_High-End],Inhalation_Exp[OES],$C93,Inhalation_Exp[Worker Type],$D93),SUMIFS(Inhalation_Exp[LADD_Central Tendency],Inhalation_Exp[OES],$C93,Inhalation_Exp[Worker Type],$D93))</f>
        <v>4.7418335089567977E-3</v>
      </c>
      <c r="J93" s="394">
        <f>IF($E93="High-End",SUMIFS(Dermal_Exp[High-End AD (mg/kg-day)],Dermal_Exp[Worker Type],$D93,Dermal_Exp[OES],$C93),SUMIFS(Dermal_Exp[Central Tendency AD (mg/kg-day)],Dermal_Exp[Worker Type],$D93,Dermal_Exp[OES],$C93))</f>
        <v>1.6943380125055349E-2</v>
      </c>
      <c r="K93" s="332">
        <f>IF($E93="High-End",SUMIFS(Dermal_Exp[High-End IADD (mg/kg-day)],Dermal_Exp[Worker Type],$D93,Dermal_Exp[OES],$C93),SUMIFS(Dermal_Exp[Central Tendency IADD (mg/kg-day)],Dermal_Exp[Worker Type],$D93,Dermal_Exp[OES],$C93))</f>
        <v>1.2425145425040588E-2</v>
      </c>
      <c r="L93" s="332">
        <f>IF($E93="High-End",SUMIFS(Dermal_Exp[High-End ADD (mg/kg-day)],Dermal_Exp[Worker Type],$D93,Dermal_Exp[OES],$C93),SUMIFS(Dermal_Exp[Central Tendency ADD (mg/kg-day)],Dermal_Exp[Worker Type],$D93,Dermal_Exp[OES],$C93))</f>
        <v>1.1605054880174895E-2</v>
      </c>
      <c r="M93" s="332">
        <f>IF($E93="High-End",SUMIFS(Dermal_Exp[High-End LADD (mg/kg-day)],Dermal_Exp[Worker Type],$D93,Dermal_Exp[OES],$C93),SUMIFS(Dermal_Exp[Central Tendency LADD (mg/kg-day)],Dermal_Exp[Worker Type],$D93,Dermal_Exp[OES],$C93))</f>
        <v>5.9513101949614849E-3</v>
      </c>
      <c r="N93" s="332">
        <f t="shared" si="9"/>
        <v>3.0443380125055351E-2</v>
      </c>
      <c r="O93" s="332">
        <f t="shared" si="6"/>
        <v>2.2325145425040591E-2</v>
      </c>
      <c r="P93" s="332">
        <f t="shared" si="7"/>
        <v>2.0851630222640652E-2</v>
      </c>
      <c r="Q93" s="516">
        <f t="shared" si="8"/>
        <v>1.0693143703918283E-2</v>
      </c>
      <c r="AE93" s="26"/>
      <c r="AF93" s="26"/>
      <c r="AG93" s="26"/>
      <c r="AH93" s="26"/>
      <c r="AI93" s="26"/>
      <c r="AJ93" s="26"/>
      <c r="AK93" s="26"/>
    </row>
    <row r="94" spans="3:37" x14ac:dyDescent="0.25">
      <c r="C94" s="512" t="str" cm="1">
        <f t="array" ref="C94">INDEX('List Values'!$B$2:$B$17,(1+ROUNDDOWN((ROW()-ROW($C$5))*1/6,2)))</f>
        <v>Recycling</v>
      </c>
      <c r="D94" s="513" t="s">
        <v>92</v>
      </c>
      <c r="E94" s="514" t="s">
        <v>91</v>
      </c>
      <c r="F94" s="515">
        <f>IF(E94="High-End",SUMIFS(Inhalation_Exp[24hr_High-End],Inhalation_Exp[OES],$C94,Inhalation_Exp[Worker Type],$D94),SUMIFS(Inhalation_Exp[24hr_Central Tendency],Inhalation_Exp[OES],$C94,Inhalation_Exp[Worker Type],$D94))</f>
        <v>1.3500000000000002E-2</v>
      </c>
      <c r="G94" s="394">
        <f>IF(E94="High-End",SUMIFS(Inhalation_Exp[Int_High-End],Inhalation_Exp[OES],$C94,Inhalation_Exp[Worker Type],$D94),SUMIFS(Inhalation_Exp[Int_Central Tendency],Inhalation_Exp[OES],$C94,Inhalation_Exp[Worker Type],$D94))</f>
        <v>9.9000000000000008E-3</v>
      </c>
      <c r="H94" s="394">
        <f>IF(E94="High-End",SUMIFS(Inhalation_Exp[ADD_High-End],Inhalation_Exp[OES],$C94,Inhalation_Exp[Worker Type],$D94),SUMIFS(Inhalation_Exp[ADD_Central Tendency],Inhalation_Exp[OES],$C94,Inhalation_Exp[Worker Type],$D94))</f>
        <v>9.2465753424657553E-3</v>
      </c>
      <c r="I94" s="394">
        <f>IF(E94="High-End",SUMIFS(Inhalation_Exp[LADD_High-End],Inhalation_Exp[OES],$C94,Inhalation_Exp[Worker Type],$D94),SUMIFS(Inhalation_Exp[LADD_Central Tendency],Inhalation_Exp[OES],$C94,Inhalation_Exp[Worker Type],$D94))</f>
        <v>3.6749209694415179E-3</v>
      </c>
      <c r="J94" s="394">
        <f>IF($E94="High-End",SUMIFS(Dermal_Exp[High-End AD (mg/kg-day)],Dermal_Exp[Worker Type],$D94,Dermal_Exp[OES],$C94),SUMIFS(Dermal_Exp[Central Tendency AD (mg/kg-day)],Dermal_Exp[Worker Type],$D94,Dermal_Exp[OES],$C94))</f>
        <v>1.6943380125055349E-2</v>
      </c>
      <c r="K94" s="332">
        <f>IF($E94="High-End",SUMIFS(Dermal_Exp[High-End IADD (mg/kg-day)],Dermal_Exp[Worker Type],$D94,Dermal_Exp[OES],$C94),SUMIFS(Dermal_Exp[Central Tendency IADD (mg/kg-day)],Dermal_Exp[Worker Type],$D94,Dermal_Exp[OES],$C94))</f>
        <v>1.2425145425040588E-2</v>
      </c>
      <c r="L94" s="332">
        <f>IF($E94="High-End",SUMIFS(Dermal_Exp[High-End ADD (mg/kg-day)],Dermal_Exp[Worker Type],$D94,Dermal_Exp[OES],$C94),SUMIFS(Dermal_Exp[Central Tendency ADD (mg/kg-day)],Dermal_Exp[Worker Type],$D94,Dermal_Exp[OES],$C94))</f>
        <v>1.1605054880174897E-2</v>
      </c>
      <c r="M94" s="332">
        <f>IF($E94="High-End",SUMIFS(Dermal_Exp[High-End LADD (mg/kg-day)],Dermal_Exp[Worker Type],$D94,Dermal_Exp[OES],$C94),SUMIFS(Dermal_Exp[Central Tendency LADD (mg/kg-day)],Dermal_Exp[Worker Type],$D94,Dermal_Exp[OES],$C94))</f>
        <v>4.612265401095151E-3</v>
      </c>
      <c r="N94" s="332">
        <f t="shared" si="9"/>
        <v>3.0443380125055351E-2</v>
      </c>
      <c r="O94" s="332">
        <f t="shared" si="6"/>
        <v>2.2325145425040591E-2</v>
      </c>
      <c r="P94" s="332">
        <f t="shared" si="7"/>
        <v>2.0851630222640652E-2</v>
      </c>
      <c r="Q94" s="516">
        <f t="shared" si="8"/>
        <v>8.2871863705366693E-3</v>
      </c>
      <c r="AE94" s="26"/>
      <c r="AF94" s="26"/>
      <c r="AG94" s="26"/>
      <c r="AH94" s="26"/>
      <c r="AI94" s="26"/>
      <c r="AJ94" s="26"/>
      <c r="AK94" s="26"/>
    </row>
    <row r="95" spans="3:37" x14ac:dyDescent="0.25">
      <c r="C95" s="512" t="str" cm="1">
        <f t="array" ref="C95">INDEX('List Values'!$B$2:$B$17,(1+ROUNDDOWN((ROW()-ROW($C$5))*1/6,2)))</f>
        <v>Waste Handling, Treatment, and Disposal</v>
      </c>
      <c r="D95" s="513" t="s">
        <v>197</v>
      </c>
      <c r="E95" s="514" t="s">
        <v>90</v>
      </c>
      <c r="F95" s="515">
        <f>IF(E95="High-End",SUMIFS(Inhalation_Exp[24hr_High-End],Inhalation_Exp[OES],$C95,Inhalation_Exp[Worker Type],$D95),SUMIFS(Inhalation_Exp[24hr_Central Tendency],Inhalation_Exp[OES],$C95,Inhalation_Exp[Worker Type],$D95))</f>
        <v>0.19687499999999999</v>
      </c>
      <c r="G95" s="394">
        <f>IF(E95="High-End",SUMIFS(Inhalation_Exp[Int_High-End],Inhalation_Exp[OES],$C95,Inhalation_Exp[Worker Type],$D95),SUMIFS(Inhalation_Exp[Int_Central Tendency],Inhalation_Exp[OES],$C95,Inhalation_Exp[Worker Type],$D95))</f>
        <v>0.144375</v>
      </c>
      <c r="H95" s="394">
        <f>IF(E95="High-End",SUMIFS(Inhalation_Exp[ADD_High-End],Inhalation_Exp[OES],$C95,Inhalation_Exp[Worker Type],$D95),SUMIFS(Inhalation_Exp[ADD_Central Tendency],Inhalation_Exp[OES],$C95,Inhalation_Exp[Worker Type],$D95))</f>
        <v>0.1348458904109589</v>
      </c>
      <c r="I95" s="394">
        <f>IF(E95="High-End",SUMIFS(Inhalation_Exp[LADD_High-End],Inhalation_Exp[OES],$C95,Inhalation_Exp[Worker Type],$D95),SUMIFS(Inhalation_Exp[LADD_Central Tendency],Inhalation_Exp[OES],$C95,Inhalation_Exp[Worker Type],$D95))</f>
        <v>6.915173867228662E-2</v>
      </c>
      <c r="J95" s="394">
        <f>IF($E95="High-End",SUMIFS(Dermal_Exp[High-End AD (mg/kg-day)],Dermal_Exp[Worker Type],$D95,Dermal_Exp[OES],$C95),SUMIFS(Dermal_Exp[Central Tendency AD (mg/kg-day)],Dermal_Exp[Worker Type],$D95,Dermal_Exp[OES],$C95))</f>
        <v>3.3886760250110698E-2</v>
      </c>
      <c r="K95" s="332">
        <f>IF($E95="High-End",SUMIFS(Dermal_Exp[High-End IADD (mg/kg-day)],Dermal_Exp[Worker Type],$D95,Dermal_Exp[OES],$C95),SUMIFS(Dermal_Exp[Central Tendency IADD (mg/kg-day)],Dermal_Exp[Worker Type],$D95,Dermal_Exp[OES],$C95))</f>
        <v>2.4850290850081176E-2</v>
      </c>
      <c r="L95" s="332">
        <f>IF($E95="High-End",SUMIFS(Dermal_Exp[High-End ADD (mg/kg-day)],Dermal_Exp[Worker Type],$D95,Dermal_Exp[OES],$C95),SUMIFS(Dermal_Exp[Central Tendency ADD (mg/kg-day)],Dermal_Exp[Worker Type],$D95,Dermal_Exp[OES],$C95))</f>
        <v>2.321010976034979E-2</v>
      </c>
      <c r="M95" s="332">
        <f>IF($E95="High-End",SUMIFS(Dermal_Exp[High-End LADD (mg/kg-day)],Dermal_Exp[Worker Type],$D95,Dermal_Exp[OES],$C95),SUMIFS(Dermal_Exp[Central Tendency LADD (mg/kg-day)],Dermal_Exp[Worker Type],$D95,Dermal_Exp[OES],$C95))</f>
        <v>1.190262038992297E-2</v>
      </c>
      <c r="N95" s="332">
        <f t="shared" ref="N95:N100" si="10">F95+J95</f>
        <v>0.23076176025011069</v>
      </c>
      <c r="O95" s="332">
        <f t="shared" ref="O95:O100" si="11">G95+K95</f>
        <v>0.16922529085008117</v>
      </c>
      <c r="P95" s="332">
        <f t="shared" ref="P95:P100" si="12">H95+L95</f>
        <v>0.15805600017130869</v>
      </c>
      <c r="Q95" s="516">
        <f t="shared" ref="Q95:Q100" si="13">I95+M95</f>
        <v>8.1054359062209591E-2</v>
      </c>
      <c r="AE95" s="26"/>
      <c r="AF95" s="26"/>
      <c r="AG95" s="26"/>
      <c r="AH95" s="26"/>
      <c r="AI95" s="26"/>
      <c r="AJ95" s="26"/>
      <c r="AK95" s="26"/>
    </row>
    <row r="96" spans="3:37" x14ac:dyDescent="0.25">
      <c r="C96" s="512" t="str" cm="1">
        <f t="array" ref="C96">INDEX('List Values'!$B$2:$B$17,(1+ROUNDDOWN((ROW()-ROW($C$5))*1/6,2)))</f>
        <v>Waste Handling, Treatment, and Disposal</v>
      </c>
      <c r="D96" s="513" t="s">
        <v>197</v>
      </c>
      <c r="E96" s="514" t="s">
        <v>91</v>
      </c>
      <c r="F96" s="515">
        <f>IF(E96="High-End",SUMIFS(Inhalation_Exp[24hr_High-End],Inhalation_Exp[OES],$C96,Inhalation_Exp[Worker Type],$D96),SUMIFS(Inhalation_Exp[24hr_Central Tendency],Inhalation_Exp[OES],$C96,Inhalation_Exp[Worker Type],$D96))</f>
        <v>1.3500000000000002E-2</v>
      </c>
      <c r="G96" s="394">
        <f>IF(E96="High-End",SUMIFS(Inhalation_Exp[Int_High-End],Inhalation_Exp[OES],$C96,Inhalation_Exp[Worker Type],$D96),SUMIFS(Inhalation_Exp[Int_Central Tendency],Inhalation_Exp[OES],$C96,Inhalation_Exp[Worker Type],$D96))</f>
        <v>9.9000000000000008E-3</v>
      </c>
      <c r="H96" s="394">
        <f>IF(E96="High-End",SUMIFS(Inhalation_Exp[ADD_High-End],Inhalation_Exp[OES],$C96,Inhalation_Exp[Worker Type],$D96),SUMIFS(Inhalation_Exp[ADD_Central Tendency],Inhalation_Exp[OES],$C96,Inhalation_Exp[Worker Type],$D96))</f>
        <v>9.2465753424657553E-3</v>
      </c>
      <c r="I96" s="394">
        <f>IF(E96="High-End",SUMIFS(Inhalation_Exp[LADD_High-End],Inhalation_Exp[OES],$C96,Inhalation_Exp[Worker Type],$D96),SUMIFS(Inhalation_Exp[LADD_Central Tendency],Inhalation_Exp[OES],$C96,Inhalation_Exp[Worker Type],$D96))</f>
        <v>3.6749209694415179E-3</v>
      </c>
      <c r="J96" s="394">
        <f>IF($E96="High-End",SUMIFS(Dermal_Exp[High-End AD (mg/kg-day)],Dermal_Exp[Worker Type],$D96,Dermal_Exp[OES],$C96),SUMIFS(Dermal_Exp[Central Tendency AD (mg/kg-day)],Dermal_Exp[Worker Type],$D96,Dermal_Exp[OES],$C96))</f>
        <v>1.6943380125055349E-2</v>
      </c>
      <c r="K96" s="332">
        <f>IF($E96="High-End",SUMIFS(Dermal_Exp[High-End IADD (mg/kg-day)],Dermal_Exp[Worker Type],$D96,Dermal_Exp[OES],$C96),SUMIFS(Dermal_Exp[Central Tendency IADD (mg/kg-day)],Dermal_Exp[Worker Type],$D96,Dermal_Exp[OES],$C96))</f>
        <v>1.2425145425040588E-2</v>
      </c>
      <c r="L96" s="332">
        <f>IF($E96="High-End",SUMIFS(Dermal_Exp[High-End ADD (mg/kg-day)],Dermal_Exp[Worker Type],$D96,Dermal_Exp[OES],$C96),SUMIFS(Dermal_Exp[Central Tendency ADD (mg/kg-day)],Dermal_Exp[Worker Type],$D96,Dermal_Exp[OES],$C96))</f>
        <v>1.1605054880174897E-2</v>
      </c>
      <c r="M96" s="332">
        <f>IF($E96="High-End",SUMIFS(Dermal_Exp[High-End LADD (mg/kg-day)],Dermal_Exp[Worker Type],$D96,Dermal_Exp[OES],$C96),SUMIFS(Dermal_Exp[Central Tendency LADD (mg/kg-day)],Dermal_Exp[Worker Type],$D96,Dermal_Exp[OES],$C96))</f>
        <v>4.612265401095151E-3</v>
      </c>
      <c r="N96" s="332">
        <f t="shared" si="10"/>
        <v>3.0443380125055351E-2</v>
      </c>
      <c r="O96" s="332">
        <f t="shared" si="11"/>
        <v>2.2325145425040591E-2</v>
      </c>
      <c r="P96" s="332">
        <f t="shared" si="12"/>
        <v>2.0851630222640652E-2</v>
      </c>
      <c r="Q96" s="516">
        <f t="shared" si="13"/>
        <v>8.2871863705366693E-3</v>
      </c>
      <c r="AE96" s="26"/>
      <c r="AF96" s="26"/>
      <c r="AG96" s="26"/>
      <c r="AH96" s="26"/>
      <c r="AI96" s="26"/>
      <c r="AJ96" s="26"/>
      <c r="AK96" s="26"/>
    </row>
    <row r="97" spans="3:37" x14ac:dyDescent="0.25">
      <c r="C97" s="512" t="str" cm="1">
        <f t="array" ref="C97">INDEX('List Values'!$B$2:$B$17,(1+ROUNDDOWN((ROW()-ROW($C$5))*1/6,2)))</f>
        <v>Waste Handling, Treatment, and Disposal</v>
      </c>
      <c r="D97" s="513" t="s">
        <v>72</v>
      </c>
      <c r="E97" s="514" t="s">
        <v>90</v>
      </c>
      <c r="F97" s="515">
        <f>IF(E97="High-End",SUMIFS(Inhalation_Exp[24hr_High-End],Inhalation_Exp[OES],$C97,Inhalation_Exp[Worker Type],$D97),SUMIFS(Inhalation_Exp[24hr_Central Tendency],Inhalation_Exp[OES],$C97,Inhalation_Exp[Worker Type],$D97))</f>
        <v>0.21746634449430441</v>
      </c>
      <c r="G97" s="394">
        <f>IF(E97="High-End",SUMIFS(Inhalation_Exp[Int_High-End],Inhalation_Exp[OES],$C97,Inhalation_Exp[Worker Type],$D97),SUMIFS(Inhalation_Exp[Int_Central Tendency],Inhalation_Exp[OES],$C97,Inhalation_Exp[Worker Type],$D97))</f>
        <v>0.15947531929582323</v>
      </c>
      <c r="H97" s="394">
        <f>IF(E97="High-End",SUMIFS(Inhalation_Exp[ADD_High-End],Inhalation_Exp[OES],$C97,Inhalation_Exp[Worker Type],$D97),SUMIFS(Inhalation_Exp[ADD_Central Tendency],Inhalation_Exp[OES],$C97,Inhalation_Exp[Worker Type],$D97))</f>
        <v>0.14894955102349619</v>
      </c>
      <c r="I97" s="394">
        <f>IF(E97="High-End",SUMIFS(Inhalation_Exp[LADD_High-End],Inhalation_Exp[OES],$C97,Inhalation_Exp[Worker Type],$D97),SUMIFS(Inhalation_Exp[LADD_Central Tendency],Inhalation_Exp[OES],$C97,Inhalation_Exp[Worker Type],$D97))</f>
        <v>7.638438514025446E-2</v>
      </c>
      <c r="J97" s="394">
        <f>IF($E97="High-End",SUMIFS(Dermal_Exp[High-End AD (mg/kg-day)],Dermal_Exp[Worker Type],$D97,Dermal_Exp[OES],$C97),SUMIFS(Dermal_Exp[Central Tendency AD (mg/kg-day)],Dermal_Exp[Worker Type],$D97,Dermal_Exp[OES],$C97))</f>
        <v>3.1144954430318089E-2</v>
      </c>
      <c r="K97" s="332">
        <f>IF($E97="High-End",SUMIFS(Dermal_Exp[High-End IADD (mg/kg-day)],Dermal_Exp[Worker Type],$D97,Dermal_Exp[OES],$C97),SUMIFS(Dermal_Exp[Central Tendency IADD (mg/kg-day)],Dermal_Exp[Worker Type],$D97,Dermal_Exp[OES],$C97))</f>
        <v>2.2839633248899933E-2</v>
      </c>
      <c r="L97" s="332">
        <f>IF($E97="High-End",SUMIFS(Dermal_Exp[High-End ADD (mg/kg-day)],Dermal_Exp[Worker Type],$D97,Dermal_Exp[OES],$C97),SUMIFS(Dermal_Exp[Central Tendency ADD (mg/kg-day)],Dermal_Exp[Worker Type],$D97,Dermal_Exp[OES],$C97))</f>
        <v>2.1332160568711022E-2</v>
      </c>
      <c r="M97" s="332">
        <f>IF($E97="High-End",SUMIFS(Dermal_Exp[High-End LADD (mg/kg-day)],Dermal_Exp[Worker Type],$D97,Dermal_Exp[OES],$C97),SUMIFS(Dermal_Exp[Central Tendency LADD (mg/kg-day)],Dermal_Exp[Worker Type],$D97,Dermal_Exp[OES],$C97))</f>
        <v>1.0939569522415909E-2</v>
      </c>
      <c r="N97" s="332">
        <f t="shared" si="10"/>
        <v>0.2486112989246225</v>
      </c>
      <c r="O97" s="332">
        <f t="shared" si="11"/>
        <v>0.18231495254472316</v>
      </c>
      <c r="P97" s="332">
        <f t="shared" si="12"/>
        <v>0.1702817115922072</v>
      </c>
      <c r="Q97" s="516">
        <f t="shared" si="13"/>
        <v>8.7323954662670372E-2</v>
      </c>
      <c r="AE97" s="26"/>
      <c r="AF97" s="26"/>
      <c r="AG97" s="26"/>
      <c r="AH97" s="26"/>
      <c r="AI97" s="26"/>
      <c r="AJ97" s="26"/>
      <c r="AK97" s="26"/>
    </row>
    <row r="98" spans="3:37" x14ac:dyDescent="0.25">
      <c r="C98" s="512" t="str" cm="1">
        <f t="array" ref="C98">INDEX('List Values'!$B$2:$B$17,(1+ROUNDDOWN((ROW()-ROW($C$5))*1/6,2)))</f>
        <v>Waste Handling, Treatment, and Disposal</v>
      </c>
      <c r="D98" s="513" t="s">
        <v>72</v>
      </c>
      <c r="E98" s="514" t="s">
        <v>91</v>
      </c>
      <c r="F98" s="515">
        <f>IF(E98="High-End",SUMIFS(Inhalation_Exp[24hr_High-End],Inhalation_Exp[OES],$C98,Inhalation_Exp[Worker Type],$D98),SUMIFS(Inhalation_Exp[24hr_Central Tendency],Inhalation_Exp[OES],$C98,Inhalation_Exp[Worker Type],$D98))</f>
        <v>1.4911977908180876E-2</v>
      </c>
      <c r="G98" s="394">
        <f>IF(E98="High-End",SUMIFS(Inhalation_Exp[Int_High-End],Inhalation_Exp[OES],$C98,Inhalation_Exp[Worker Type],$D98),SUMIFS(Inhalation_Exp[Int_Central Tendency],Inhalation_Exp[OES],$C98,Inhalation_Exp[Worker Type],$D98))</f>
        <v>1.093545046599931E-2</v>
      </c>
      <c r="H98" s="394">
        <f>IF(E98="High-End",SUMIFS(Inhalation_Exp[ADD_High-End],Inhalation_Exp[OES],$C98,Inhalation_Exp[Worker Type],$D98),SUMIFS(Inhalation_Exp[ADD_Central Tendency],Inhalation_Exp[OES],$C98,Inhalation_Exp[Worker Type],$D98))</f>
        <v>1.0213683498754025E-2</v>
      </c>
      <c r="I98" s="394">
        <f>IF(E98="High-End",SUMIFS(Inhalation_Exp[LADD_High-End],Inhalation_Exp[OES],$C98,Inhalation_Exp[Worker Type],$D98),SUMIFS(Inhalation_Exp[LADD_Central Tendency],Inhalation_Exp[OES],$C98,Inhalation_Exp[Worker Type],$D98))</f>
        <v>4.0592844674535227E-3</v>
      </c>
      <c r="J98" s="394">
        <f>IF($E98="High-End",SUMIFS(Dermal_Exp[High-End AD (mg/kg-day)],Dermal_Exp[Worker Type],$D98,Dermal_Exp[OES],$C98),SUMIFS(Dermal_Exp[Central Tendency AD (mg/kg-day)],Dermal_Exp[Worker Type],$D98,Dermal_Exp[OES],$C98))</f>
        <v>1.5572477215159045E-2</v>
      </c>
      <c r="K98" s="332">
        <f>IF($E98="High-End",SUMIFS(Dermal_Exp[High-End IADD (mg/kg-day)],Dermal_Exp[Worker Type],$D98,Dermal_Exp[OES],$C98),SUMIFS(Dermal_Exp[Central Tendency IADD (mg/kg-day)],Dermal_Exp[Worker Type],$D98,Dermal_Exp[OES],$C98))</f>
        <v>1.1419816624449967E-2</v>
      </c>
      <c r="L98" s="332">
        <f>IF($E98="High-End",SUMIFS(Dermal_Exp[High-End ADD (mg/kg-day)],Dermal_Exp[Worker Type],$D98,Dermal_Exp[OES],$C98),SUMIFS(Dermal_Exp[Central Tendency ADD (mg/kg-day)],Dermal_Exp[Worker Type],$D98,Dermal_Exp[OES],$C98))</f>
        <v>1.0666080284355511E-2</v>
      </c>
      <c r="M98" s="332">
        <f>IF($E98="High-End",SUMIFS(Dermal_Exp[High-End LADD (mg/kg-day)],Dermal_Exp[Worker Type],$D98,Dermal_Exp[OES],$C98),SUMIFS(Dermal_Exp[Central Tendency LADD (mg/kg-day)],Dermal_Exp[Worker Type],$D98,Dermal_Exp[OES],$C98))</f>
        <v>4.2390831899361643E-3</v>
      </c>
      <c r="N98" s="332">
        <f t="shared" si="10"/>
        <v>3.0484455123339922E-2</v>
      </c>
      <c r="O98" s="332">
        <f t="shared" si="11"/>
        <v>2.2355267090449278E-2</v>
      </c>
      <c r="P98" s="332">
        <f t="shared" si="12"/>
        <v>2.0879763783109538E-2</v>
      </c>
      <c r="Q98" s="516">
        <f t="shared" si="13"/>
        <v>8.298367657389687E-3</v>
      </c>
      <c r="AE98" s="26"/>
      <c r="AF98" s="26"/>
      <c r="AG98" s="26"/>
      <c r="AH98" s="26"/>
      <c r="AI98" s="26"/>
      <c r="AJ98" s="26"/>
      <c r="AK98" s="26"/>
    </row>
    <row r="99" spans="3:37" x14ac:dyDescent="0.25">
      <c r="C99" s="512" t="str" cm="1">
        <f t="array" ref="C99">INDEX('List Values'!$B$2:$B$17,(1+ROUNDDOWN((ROW()-ROW($C$5))*1/6,2)))</f>
        <v>Waste Handling, Treatment, and Disposal</v>
      </c>
      <c r="D99" s="513" t="s">
        <v>92</v>
      </c>
      <c r="E99" s="514" t="s">
        <v>90</v>
      </c>
      <c r="F99" s="515">
        <f>IF(E99="High-End",SUMIFS(Inhalation_Exp[24hr_High-End],Inhalation_Exp[OES],$C99,Inhalation_Exp[Worker Type],$D99),SUMIFS(Inhalation_Exp[24hr_Central Tendency],Inhalation_Exp[OES],$C99,Inhalation_Exp[Worker Type],$D99))</f>
        <v>1.3500000000000002E-2</v>
      </c>
      <c r="G99" s="394">
        <f>IF(E99="High-End",SUMIFS(Inhalation_Exp[Int_High-End],Inhalation_Exp[OES],$C99,Inhalation_Exp[Worker Type],$D99),SUMIFS(Inhalation_Exp[Int_Central Tendency],Inhalation_Exp[OES],$C99,Inhalation_Exp[Worker Type],$D99))</f>
        <v>9.9000000000000008E-3</v>
      </c>
      <c r="H99" s="394">
        <f>IF(E99="High-End",SUMIFS(Inhalation_Exp[ADD_High-End],Inhalation_Exp[OES],$C99,Inhalation_Exp[Worker Type],$D99),SUMIFS(Inhalation_Exp[ADD_Central Tendency],Inhalation_Exp[OES],$C99,Inhalation_Exp[Worker Type],$D99))</f>
        <v>9.2465753424657553E-3</v>
      </c>
      <c r="I99" s="394">
        <f>IF(E99="High-End",SUMIFS(Inhalation_Exp[LADD_High-End],Inhalation_Exp[OES],$C99,Inhalation_Exp[Worker Type],$D99),SUMIFS(Inhalation_Exp[LADD_Central Tendency],Inhalation_Exp[OES],$C99,Inhalation_Exp[Worker Type],$D99))</f>
        <v>4.7418335089567977E-3</v>
      </c>
      <c r="J99" s="394">
        <f>IF($E99="High-End",SUMIFS(Dermal_Exp[High-End AD (mg/kg-day)],Dermal_Exp[Worker Type],$D99,Dermal_Exp[OES],$C99),SUMIFS(Dermal_Exp[Central Tendency AD (mg/kg-day)],Dermal_Exp[Worker Type],$D99,Dermal_Exp[OES],$C99))</f>
        <v>1.6943380125055349E-2</v>
      </c>
      <c r="K99" s="332">
        <f>IF($E99="High-End",SUMIFS(Dermal_Exp[High-End IADD (mg/kg-day)],Dermal_Exp[Worker Type],$D99,Dermal_Exp[OES],$C99),SUMIFS(Dermal_Exp[Central Tendency IADD (mg/kg-day)],Dermal_Exp[Worker Type],$D99,Dermal_Exp[OES],$C99))</f>
        <v>1.2425145425040588E-2</v>
      </c>
      <c r="L99" s="332">
        <f>IF($E99="High-End",SUMIFS(Dermal_Exp[High-End ADD (mg/kg-day)],Dermal_Exp[Worker Type],$D99,Dermal_Exp[OES],$C99),SUMIFS(Dermal_Exp[Central Tendency ADD (mg/kg-day)],Dermal_Exp[Worker Type],$D99,Dermal_Exp[OES],$C99))</f>
        <v>1.1605054880174895E-2</v>
      </c>
      <c r="M99" s="332">
        <f>IF($E99="High-End",SUMIFS(Dermal_Exp[High-End LADD (mg/kg-day)],Dermal_Exp[Worker Type],$D99,Dermal_Exp[OES],$C99),SUMIFS(Dermal_Exp[Central Tendency LADD (mg/kg-day)],Dermal_Exp[Worker Type],$D99,Dermal_Exp[OES],$C99))</f>
        <v>5.9513101949614849E-3</v>
      </c>
      <c r="N99" s="332">
        <f t="shared" si="10"/>
        <v>3.0443380125055351E-2</v>
      </c>
      <c r="O99" s="332">
        <f t="shared" si="11"/>
        <v>2.2325145425040591E-2</v>
      </c>
      <c r="P99" s="332">
        <f t="shared" si="12"/>
        <v>2.0851630222640652E-2</v>
      </c>
      <c r="Q99" s="516">
        <f t="shared" si="13"/>
        <v>1.0693143703918283E-2</v>
      </c>
      <c r="AE99" s="26"/>
      <c r="AF99" s="26"/>
      <c r="AG99" s="26"/>
      <c r="AH99" s="26"/>
      <c r="AI99" s="26"/>
      <c r="AJ99" s="26"/>
      <c r="AK99" s="26"/>
    </row>
    <row r="100" spans="3:37" x14ac:dyDescent="0.25">
      <c r="C100" s="517" t="str" cm="1">
        <f t="array" ref="C100">INDEX('List Values'!$B$2:$B$17,(1+ROUNDDOWN((ROW()-ROW($C$5))*1/6,2)))</f>
        <v>Waste Handling, Treatment, and Disposal</v>
      </c>
      <c r="D100" s="518" t="s">
        <v>92</v>
      </c>
      <c r="E100" s="519" t="s">
        <v>91</v>
      </c>
      <c r="F100" s="520">
        <f>IF(E100="High-End",SUMIFS(Inhalation_Exp[24hr_High-End],Inhalation_Exp[OES],$C100,Inhalation_Exp[Worker Type],$D100),SUMIFS(Inhalation_Exp[24hr_Central Tendency],Inhalation_Exp[OES],$C100,Inhalation_Exp[Worker Type],$D100))</f>
        <v>1.3500000000000002E-2</v>
      </c>
      <c r="G100" s="410">
        <f>IF(E100="High-End",SUMIFS(Inhalation_Exp[Int_High-End],Inhalation_Exp[OES],$C100,Inhalation_Exp[Worker Type],$D100),SUMIFS(Inhalation_Exp[Int_Central Tendency],Inhalation_Exp[OES],$C100,Inhalation_Exp[Worker Type],$D100))</f>
        <v>9.9000000000000008E-3</v>
      </c>
      <c r="H100" s="410">
        <f>IF(E100="High-End",SUMIFS(Inhalation_Exp[ADD_High-End],Inhalation_Exp[OES],$C100,Inhalation_Exp[Worker Type],$D100),SUMIFS(Inhalation_Exp[ADD_Central Tendency],Inhalation_Exp[OES],$C100,Inhalation_Exp[Worker Type],$D100))</f>
        <v>9.2465753424657553E-3</v>
      </c>
      <c r="I100" s="410">
        <f>IF(E100="High-End",SUMIFS(Inhalation_Exp[LADD_High-End],Inhalation_Exp[OES],$C100,Inhalation_Exp[Worker Type],$D100),SUMIFS(Inhalation_Exp[LADD_Central Tendency],Inhalation_Exp[OES],$C100,Inhalation_Exp[Worker Type],$D100))</f>
        <v>3.6749209694415179E-3</v>
      </c>
      <c r="J100" s="410">
        <f>IF($E100="High-End",SUMIFS(Dermal_Exp[High-End AD (mg/kg-day)],Dermal_Exp[Worker Type],$D100,Dermal_Exp[OES],$C100),SUMIFS(Dermal_Exp[Central Tendency AD (mg/kg-day)],Dermal_Exp[Worker Type],$D100,Dermal_Exp[OES],$C100))</f>
        <v>1.6943380125055349E-2</v>
      </c>
      <c r="K100" s="91">
        <f>IF($E100="High-End",SUMIFS(Dermal_Exp[High-End IADD (mg/kg-day)],Dermal_Exp[Worker Type],$D100,Dermal_Exp[OES],$C100),SUMIFS(Dermal_Exp[Central Tendency IADD (mg/kg-day)],Dermal_Exp[Worker Type],$D100,Dermal_Exp[OES],$C100))</f>
        <v>1.2425145425040588E-2</v>
      </c>
      <c r="L100" s="91">
        <f>IF($E100="High-End",SUMIFS(Dermal_Exp[High-End ADD (mg/kg-day)],Dermal_Exp[Worker Type],$D100,Dermal_Exp[OES],$C100),SUMIFS(Dermal_Exp[Central Tendency ADD (mg/kg-day)],Dermal_Exp[Worker Type],$D100,Dermal_Exp[OES],$C100))</f>
        <v>1.1605054880174897E-2</v>
      </c>
      <c r="M100" s="91">
        <f>IF($E100="High-End",SUMIFS(Dermal_Exp[High-End LADD (mg/kg-day)],Dermal_Exp[Worker Type],$D100,Dermal_Exp[OES],$C100),SUMIFS(Dermal_Exp[Central Tendency LADD (mg/kg-day)],Dermal_Exp[Worker Type],$D100,Dermal_Exp[OES],$C100))</f>
        <v>4.612265401095151E-3</v>
      </c>
      <c r="N100" s="91">
        <f t="shared" si="10"/>
        <v>3.0443380125055351E-2</v>
      </c>
      <c r="O100" s="91">
        <f t="shared" si="11"/>
        <v>2.2325145425040591E-2</v>
      </c>
      <c r="P100" s="91">
        <f t="shared" si="12"/>
        <v>2.0851630222640652E-2</v>
      </c>
      <c r="Q100" s="521">
        <f t="shared" si="13"/>
        <v>8.2871863705366693E-3</v>
      </c>
      <c r="AE100" s="26"/>
      <c r="AF100" s="26"/>
      <c r="AG100" s="26"/>
      <c r="AH100" s="26"/>
      <c r="AI100" s="26"/>
      <c r="AJ100" s="26"/>
      <c r="AK100" s="26"/>
    </row>
    <row r="101" spans="3:37" x14ac:dyDescent="0.25">
      <c r="E101" s="26"/>
      <c r="F101" s="27"/>
      <c r="H101" s="27"/>
      <c r="J101" s="27"/>
      <c r="L101" s="27"/>
      <c r="N101" s="27"/>
      <c r="P101" s="27"/>
      <c r="S101" s="27"/>
      <c r="AE101" s="26"/>
      <c r="AF101" s="26"/>
      <c r="AG101" s="26"/>
      <c r="AH101" s="26"/>
      <c r="AI101" s="26"/>
      <c r="AJ101" s="26"/>
      <c r="AK101" s="26"/>
    </row>
    <row r="102" spans="3:37" x14ac:dyDescent="0.25">
      <c r="E102" s="26"/>
      <c r="F102" s="27"/>
      <c r="H102" s="27"/>
      <c r="J102" s="27"/>
      <c r="L102" s="27"/>
      <c r="N102" s="27"/>
      <c r="P102" s="27"/>
      <c r="S102" s="27"/>
      <c r="AE102" s="26"/>
      <c r="AF102" s="26"/>
      <c r="AG102" s="26"/>
      <c r="AH102" s="26"/>
      <c r="AI102" s="26"/>
      <c r="AJ102" s="26"/>
      <c r="AK102" s="26"/>
    </row>
    <row r="103" spans="3:37" x14ac:dyDescent="0.25">
      <c r="AE103" s="26"/>
      <c r="AF103" s="26"/>
      <c r="AG103" s="26"/>
      <c r="AH103" s="26"/>
      <c r="AI103" s="26"/>
      <c r="AJ103" s="26"/>
      <c r="AK103" s="26"/>
    </row>
    <row r="104" spans="3:37" ht="13.5" thickBot="1" x14ac:dyDescent="0.3">
      <c r="AE104" s="26"/>
      <c r="AF104" s="26"/>
      <c r="AG104" s="26"/>
      <c r="AH104" s="26"/>
      <c r="AI104" s="26"/>
      <c r="AJ104" s="26"/>
      <c r="AK104" s="26"/>
    </row>
    <row r="105" spans="3:37" ht="13.5" thickBot="1" x14ac:dyDescent="0.3">
      <c r="F105" s="522" t="s">
        <v>285</v>
      </c>
      <c r="G105" s="523"/>
      <c r="H105" s="523"/>
      <c r="I105" s="524"/>
      <c r="J105" s="522" t="s">
        <v>286</v>
      </c>
      <c r="K105" s="523"/>
      <c r="L105" s="523"/>
      <c r="M105" s="524"/>
      <c r="N105" s="522" t="s">
        <v>287</v>
      </c>
      <c r="O105" s="523"/>
      <c r="P105" s="523"/>
      <c r="Q105" s="524"/>
      <c r="AE105" s="26"/>
      <c r="AF105" s="26"/>
      <c r="AG105" s="26"/>
      <c r="AH105" s="26"/>
      <c r="AI105" s="26"/>
      <c r="AJ105" s="26"/>
      <c r="AK105" s="26"/>
    </row>
    <row r="106" spans="3:37" ht="13.5" thickBot="1" x14ac:dyDescent="0.3">
      <c r="D106" s="26"/>
      <c r="E106" s="497" t="s">
        <v>288</v>
      </c>
      <c r="F106" s="525">
        <f>'Hazard Values'!$J$12</f>
        <v>30</v>
      </c>
      <c r="G106" s="526">
        <f>'Hazard Values'!$J$13</f>
        <v>30</v>
      </c>
      <c r="H106" s="526">
        <f>'Hazard Values'!$J$14</f>
        <v>30</v>
      </c>
      <c r="I106" s="527" t="s">
        <v>289</v>
      </c>
      <c r="J106" s="526">
        <f>'Hazard Values'!$J$12</f>
        <v>30</v>
      </c>
      <c r="K106" s="526">
        <f>'Hazard Values'!$J$13</f>
        <v>30</v>
      </c>
      <c r="L106" s="526">
        <f>'Hazard Values'!$J$14</f>
        <v>30</v>
      </c>
      <c r="M106" s="527" t="s">
        <v>289</v>
      </c>
      <c r="N106" s="526">
        <f>'Hazard Values'!$J$12</f>
        <v>30</v>
      </c>
      <c r="O106" s="526">
        <f>'Hazard Values'!$J$13</f>
        <v>30</v>
      </c>
      <c r="P106" s="526">
        <f>'Hazard Values'!$J$14</f>
        <v>30</v>
      </c>
      <c r="Q106" s="527" t="s">
        <v>289</v>
      </c>
      <c r="AE106" s="26"/>
      <c r="AF106" s="26"/>
      <c r="AG106" s="26"/>
      <c r="AH106" s="26"/>
      <c r="AI106" s="26"/>
      <c r="AJ106" s="26"/>
      <c r="AK106" s="26"/>
    </row>
    <row r="107" spans="3:37" ht="13.5" thickBot="1" x14ac:dyDescent="0.3">
      <c r="C107" s="528"/>
      <c r="D107" s="528"/>
      <c r="E107" s="529" t="s">
        <v>290</v>
      </c>
      <c r="F107" s="530">
        <f>'Hazard Values'!$I$12</f>
        <v>2.1</v>
      </c>
      <c r="G107" s="531">
        <f>'Hazard Values'!$I$13</f>
        <v>2.1</v>
      </c>
      <c r="H107" s="531">
        <f>'Hazard Values'!$I$14</f>
        <v>2.1</v>
      </c>
      <c r="I107" s="531">
        <f>'Hazard Values'!$L$15</f>
        <v>0</v>
      </c>
      <c r="J107" s="531">
        <f>'Hazard Values'!$I$12</f>
        <v>2.1</v>
      </c>
      <c r="K107" s="531">
        <f>'Hazard Values'!$I$13</f>
        <v>2.1</v>
      </c>
      <c r="L107" s="531">
        <f>'Hazard Values'!$I$14</f>
        <v>2.1</v>
      </c>
      <c r="M107" s="531">
        <f>'Hazard Values'!$L$15</f>
        <v>0</v>
      </c>
      <c r="N107" s="531">
        <f>'Hazard Values'!$I$12</f>
        <v>2.1</v>
      </c>
      <c r="O107" s="531">
        <f>'Hazard Values'!$I$13</f>
        <v>2.1</v>
      </c>
      <c r="P107" s="531">
        <f>'Hazard Values'!$I$14</f>
        <v>2.1</v>
      </c>
      <c r="Q107" s="532">
        <f>'Hazard Values'!$L$15</f>
        <v>0</v>
      </c>
      <c r="AE107" s="26"/>
      <c r="AF107" s="26"/>
      <c r="AG107" s="26"/>
      <c r="AH107" s="26"/>
      <c r="AI107" s="26"/>
      <c r="AJ107" s="26"/>
      <c r="AK107" s="26"/>
    </row>
    <row r="108" spans="3:37" ht="13.5" thickBot="1" x14ac:dyDescent="0.3">
      <c r="C108" s="533" t="s">
        <v>174</v>
      </c>
      <c r="D108" s="533" t="s">
        <v>275</v>
      </c>
      <c r="E108" s="534" t="s">
        <v>77</v>
      </c>
      <c r="F108" s="533" t="s">
        <v>281</v>
      </c>
      <c r="G108" s="533" t="s">
        <v>282</v>
      </c>
      <c r="H108" s="533" t="s">
        <v>291</v>
      </c>
      <c r="I108" s="533" t="s">
        <v>284</v>
      </c>
      <c r="J108" s="533" t="s">
        <v>281</v>
      </c>
      <c r="K108" s="533" t="s">
        <v>282</v>
      </c>
      <c r="L108" s="533" t="s">
        <v>291</v>
      </c>
      <c r="M108" s="533" t="s">
        <v>284</v>
      </c>
      <c r="N108" s="533" t="s">
        <v>281</v>
      </c>
      <c r="O108" s="533" t="s">
        <v>282</v>
      </c>
      <c r="P108" s="533" t="s">
        <v>291</v>
      </c>
      <c r="Q108" s="533" t="s">
        <v>284</v>
      </c>
      <c r="AE108" s="26"/>
      <c r="AF108" s="26"/>
      <c r="AG108" s="26"/>
      <c r="AH108" s="26"/>
      <c r="AI108" s="26"/>
      <c r="AJ108" s="26"/>
      <c r="AK108" s="26"/>
    </row>
    <row r="109" spans="3:37" x14ac:dyDescent="0.25">
      <c r="C109" s="26" t="str" cm="1">
        <f t="array" ref="C109">INDEX('List Values'!$B$2:$B$17,(1+ROUNDDOWN((ROW()-ROW($C$109))*1/6,2)))</f>
        <v>Manufacturing</v>
      </c>
      <c r="D109" s="513" t="s">
        <v>197</v>
      </c>
      <c r="E109" s="514" t="s">
        <v>90</v>
      </c>
      <c r="F109" s="535">
        <f t="shared" ref="F109:H128" si="14">F$107/F5</f>
        <v>16.8</v>
      </c>
      <c r="G109" s="535">
        <f t="shared" si="14"/>
        <v>22.90909090909091</v>
      </c>
      <c r="H109" s="535">
        <f t="shared" si="14"/>
        <v>24.528000000000002</v>
      </c>
      <c r="I109" s="536">
        <f t="shared" ref="I109:I140" si="15">I$107*I5</f>
        <v>0</v>
      </c>
      <c r="J109" s="537">
        <f t="shared" ref="J109:L128" si="16">IFERROR(J$107/J5,"")</f>
        <v>0.83663949801630133</v>
      </c>
      <c r="K109" s="537">
        <f t="shared" si="16"/>
        <v>1.1408720427495018</v>
      </c>
      <c r="L109" s="537">
        <f t="shared" si="16"/>
        <v>1.2214936671037999</v>
      </c>
      <c r="M109" s="538">
        <f t="shared" ref="M109:M140" si="17">IFERROR(M$107*M5,"")</f>
        <v>0</v>
      </c>
      <c r="N109" s="538">
        <f t="shared" ref="N109:P128" si="18">N$107/N5</f>
        <v>0.79695134485539454</v>
      </c>
      <c r="O109" s="538">
        <f t="shared" si="18"/>
        <v>1.0867518338937199</v>
      </c>
      <c r="P109" s="538">
        <f t="shared" si="18"/>
        <v>1.163548963488876</v>
      </c>
      <c r="Q109" s="143">
        <f t="shared" ref="Q109:Q140" si="19">Q$107*Q5</f>
        <v>0</v>
      </c>
      <c r="AE109" s="26"/>
      <c r="AF109" s="26"/>
      <c r="AG109" s="26"/>
      <c r="AH109" s="26"/>
      <c r="AI109" s="26"/>
      <c r="AJ109" s="26"/>
      <c r="AK109" s="26"/>
    </row>
    <row r="110" spans="3:37" x14ac:dyDescent="0.25">
      <c r="C110" s="26" t="str" cm="1">
        <f t="array" ref="C110">INDEX('List Values'!$B$2:$B$17,(1+ROUNDDOWN((ROW()-ROW($C$109))*1/6,2)))</f>
        <v>Manufacturing</v>
      </c>
      <c r="D110" s="513" t="s">
        <v>197</v>
      </c>
      <c r="E110" s="513" t="s">
        <v>91</v>
      </c>
      <c r="F110" s="535">
        <f t="shared" si="14"/>
        <v>33.6</v>
      </c>
      <c r="G110" s="535">
        <f t="shared" si="14"/>
        <v>45.81818181818182</v>
      </c>
      <c r="H110" s="535">
        <f t="shared" si="14"/>
        <v>49.056000000000004</v>
      </c>
      <c r="I110" s="536">
        <f t="shared" si="15"/>
        <v>0</v>
      </c>
      <c r="J110" s="537">
        <f t="shared" si="16"/>
        <v>1.6732789960326027</v>
      </c>
      <c r="K110" s="537">
        <f t="shared" si="16"/>
        <v>2.2817440854990036</v>
      </c>
      <c r="L110" s="537">
        <f t="shared" si="16"/>
        <v>2.4429873342075998</v>
      </c>
      <c r="M110" s="538">
        <f t="shared" si="17"/>
        <v>0</v>
      </c>
      <c r="N110" s="538">
        <f t="shared" si="18"/>
        <v>1.5939026897107891</v>
      </c>
      <c r="O110" s="538">
        <f t="shared" si="18"/>
        <v>2.1735036677874398</v>
      </c>
      <c r="P110" s="538">
        <f t="shared" si="18"/>
        <v>2.3270979269777521</v>
      </c>
      <c r="Q110" s="143">
        <f t="shared" si="19"/>
        <v>0</v>
      </c>
      <c r="AD110" s="113"/>
      <c r="AK110" s="26"/>
    </row>
    <row r="111" spans="3:37" x14ac:dyDescent="0.25">
      <c r="C111" s="26" t="str" cm="1">
        <f t="array" ref="C111">INDEX('List Values'!$B$2:$B$17,(1+ROUNDDOWN((ROW()-ROW($C$109))*1/6,2)))</f>
        <v>Manufacturing</v>
      </c>
      <c r="D111" s="513" t="s">
        <v>72</v>
      </c>
      <c r="E111" s="514" t="s">
        <v>90</v>
      </c>
      <c r="F111" s="535">
        <f t="shared" si="14"/>
        <v>15.209250000000003</v>
      </c>
      <c r="G111" s="535">
        <f t="shared" si="14"/>
        <v>20.739886363636366</v>
      </c>
      <c r="H111" s="535">
        <f t="shared" si="14"/>
        <v>22.205505000000002</v>
      </c>
      <c r="I111" s="536">
        <f t="shared" si="15"/>
        <v>0</v>
      </c>
      <c r="J111" s="537">
        <f t="shared" si="16"/>
        <v>0.91029197517312976</v>
      </c>
      <c r="K111" s="537">
        <f t="shared" si="16"/>
        <v>1.2413072388724498</v>
      </c>
      <c r="L111" s="537">
        <f t="shared" si="16"/>
        <v>1.3290262837527695</v>
      </c>
      <c r="M111" s="538">
        <f t="shared" si="17"/>
        <v>0</v>
      </c>
      <c r="N111" s="538">
        <f t="shared" si="18"/>
        <v>0.85888657659909884</v>
      </c>
      <c r="O111" s="538">
        <f t="shared" si="18"/>
        <v>1.17120896808968</v>
      </c>
      <c r="P111" s="538">
        <f t="shared" si="18"/>
        <v>1.2539744018346841</v>
      </c>
      <c r="Q111" s="143">
        <f t="shared" si="19"/>
        <v>0</v>
      </c>
      <c r="AD111" s="113"/>
      <c r="AK111" s="26"/>
    </row>
    <row r="112" spans="3:37" x14ac:dyDescent="0.25">
      <c r="C112" s="26" t="str" cm="1">
        <f t="array" ref="C112">INDEX('List Values'!$B$2:$B$17,(1+ROUNDDOWN((ROW()-ROW($C$109))*1/6,2)))</f>
        <v>Manufacturing</v>
      </c>
      <c r="D112" s="513" t="s">
        <v>72</v>
      </c>
      <c r="E112" s="513" t="s">
        <v>91</v>
      </c>
      <c r="F112" s="535">
        <f t="shared" si="14"/>
        <v>30.418500000000005</v>
      </c>
      <c r="G112" s="535">
        <f t="shared" si="14"/>
        <v>41.479772727272731</v>
      </c>
      <c r="H112" s="535">
        <f t="shared" si="14"/>
        <v>44.411010000000005</v>
      </c>
      <c r="I112" s="536">
        <f t="shared" si="15"/>
        <v>0</v>
      </c>
      <c r="J112" s="537">
        <f t="shared" si="16"/>
        <v>1.8205839503462595</v>
      </c>
      <c r="K112" s="537">
        <f t="shared" si="16"/>
        <v>2.4826144777448995</v>
      </c>
      <c r="L112" s="537">
        <f t="shared" si="16"/>
        <v>2.6580525675055391</v>
      </c>
      <c r="M112" s="538">
        <f t="shared" si="17"/>
        <v>0</v>
      </c>
      <c r="N112" s="538">
        <f t="shared" si="18"/>
        <v>1.7177731531981977</v>
      </c>
      <c r="O112" s="538">
        <f t="shared" si="18"/>
        <v>2.34241793617936</v>
      </c>
      <c r="P112" s="538">
        <f t="shared" si="18"/>
        <v>2.5079488036693682</v>
      </c>
      <c r="Q112" s="143">
        <f t="shared" si="19"/>
        <v>0</v>
      </c>
      <c r="AD112" s="113"/>
      <c r="AK112" s="26"/>
    </row>
    <row r="113" spans="3:37" ht="13.5" thickBot="1" x14ac:dyDescent="0.3">
      <c r="C113" s="26" t="str" cm="1">
        <f t="array" ref="C113">INDEX('List Values'!$B$2:$B$17,(1+ROUNDDOWN((ROW()-ROW($C$109))*1/6,2)))</f>
        <v>Manufacturing</v>
      </c>
      <c r="D113" s="513" t="s">
        <v>92</v>
      </c>
      <c r="E113" s="514" t="s">
        <v>90</v>
      </c>
      <c r="F113" s="535">
        <f t="shared" si="14"/>
        <v>33.6</v>
      </c>
      <c r="G113" s="535">
        <f t="shared" si="14"/>
        <v>45.81818181818182</v>
      </c>
      <c r="H113" s="535">
        <f t="shared" si="14"/>
        <v>49.056000000000004</v>
      </c>
      <c r="I113" s="536">
        <f t="shared" si="15"/>
        <v>0</v>
      </c>
      <c r="J113" s="535" t="str">
        <f t="shared" si="16"/>
        <v/>
      </c>
      <c r="K113" s="535" t="str">
        <f t="shared" si="16"/>
        <v/>
      </c>
      <c r="L113" s="535" t="str">
        <f t="shared" si="16"/>
        <v/>
      </c>
      <c r="M113" s="536">
        <f t="shared" si="17"/>
        <v>0</v>
      </c>
      <c r="N113" s="536">
        <f t="shared" si="18"/>
        <v>33.6</v>
      </c>
      <c r="O113" s="536">
        <f t="shared" si="18"/>
        <v>45.81818181818182</v>
      </c>
      <c r="P113" s="536">
        <f t="shared" si="18"/>
        <v>49.056000000000004</v>
      </c>
      <c r="Q113" s="143">
        <f t="shared" si="19"/>
        <v>0</v>
      </c>
      <c r="AD113" s="113"/>
      <c r="AK113" s="26"/>
    </row>
    <row r="114" spans="3:37" ht="13.5" thickBot="1" x14ac:dyDescent="0.3">
      <c r="C114" s="26" t="str" cm="1">
        <f t="array" ref="C114">INDEX('List Values'!$B$2:$B$17,(1+ROUNDDOWN((ROW()-ROW($C$109))*1/6,2)))</f>
        <v>Manufacturing</v>
      </c>
      <c r="D114" s="513" t="s">
        <v>92</v>
      </c>
      <c r="E114" s="513" t="s">
        <v>91</v>
      </c>
      <c r="F114" s="535">
        <f t="shared" si="14"/>
        <v>33.6</v>
      </c>
      <c r="G114" s="535">
        <f t="shared" si="14"/>
        <v>45.81818181818182</v>
      </c>
      <c r="H114" s="535">
        <f t="shared" si="14"/>
        <v>49.056000000000004</v>
      </c>
      <c r="I114" s="536">
        <f t="shared" si="15"/>
        <v>0</v>
      </c>
      <c r="J114" s="535" t="str">
        <f t="shared" si="16"/>
        <v/>
      </c>
      <c r="K114" s="535" t="str">
        <f t="shared" si="16"/>
        <v/>
      </c>
      <c r="L114" s="535" t="str">
        <f t="shared" si="16"/>
        <v/>
      </c>
      <c r="M114" s="536">
        <f t="shared" si="17"/>
        <v>0</v>
      </c>
      <c r="N114" s="536">
        <f t="shared" si="18"/>
        <v>33.6</v>
      </c>
      <c r="O114" s="536">
        <f t="shared" si="18"/>
        <v>45.81818181818182</v>
      </c>
      <c r="P114" s="536">
        <f t="shared" si="18"/>
        <v>49.056000000000004</v>
      </c>
      <c r="Q114" s="143">
        <f t="shared" si="19"/>
        <v>0</v>
      </c>
      <c r="AD114" s="113"/>
      <c r="AK114" s="26"/>
    </row>
    <row r="115" spans="3:37" x14ac:dyDescent="0.25">
      <c r="C115" s="26" t="str" cm="1">
        <f t="array" ref="C115">INDEX('List Values'!$B$2:$B$17,(1+ROUNDDOWN((ROW()-ROW($C$109))*1/6,2)))</f>
        <v>Import and Repackaging</v>
      </c>
      <c r="D115" s="513" t="s">
        <v>197</v>
      </c>
      <c r="E115" s="514" t="s">
        <v>90</v>
      </c>
      <c r="F115" s="535">
        <f t="shared" si="14"/>
        <v>16.8</v>
      </c>
      <c r="G115" s="535">
        <f t="shared" si="14"/>
        <v>22.90909090909091</v>
      </c>
      <c r="H115" s="535">
        <f t="shared" si="14"/>
        <v>24.528000000000002</v>
      </c>
      <c r="I115" s="536">
        <f t="shared" si="15"/>
        <v>0</v>
      </c>
      <c r="J115" s="537">
        <f t="shared" si="16"/>
        <v>0.83663949801630133</v>
      </c>
      <c r="K115" s="537">
        <f t="shared" si="16"/>
        <v>1.1408720427495018</v>
      </c>
      <c r="L115" s="537">
        <f t="shared" si="16"/>
        <v>1.2214936671037999</v>
      </c>
      <c r="M115" s="538">
        <f t="shared" si="17"/>
        <v>0</v>
      </c>
      <c r="N115" s="538">
        <f t="shared" si="18"/>
        <v>0.79695134485539454</v>
      </c>
      <c r="O115" s="538">
        <f t="shared" si="18"/>
        <v>1.0867518338937199</v>
      </c>
      <c r="P115" s="538">
        <f t="shared" si="18"/>
        <v>1.163548963488876</v>
      </c>
      <c r="Q115" s="143">
        <f t="shared" si="19"/>
        <v>0</v>
      </c>
      <c r="AD115" s="113"/>
      <c r="AK115" s="26"/>
    </row>
    <row r="116" spans="3:37" x14ac:dyDescent="0.25">
      <c r="C116" s="26" t="str" cm="1">
        <f t="array" ref="C116">INDEX('List Values'!$B$2:$B$17,(1+ROUNDDOWN((ROW()-ROW($C$109))*1/6,2)))</f>
        <v>Import and Repackaging</v>
      </c>
      <c r="D116" s="513" t="s">
        <v>197</v>
      </c>
      <c r="E116" s="513" t="s">
        <v>91</v>
      </c>
      <c r="F116" s="535">
        <f t="shared" si="14"/>
        <v>33.6</v>
      </c>
      <c r="G116" s="535">
        <f t="shared" si="14"/>
        <v>45.81818181818182</v>
      </c>
      <c r="H116" s="535">
        <f t="shared" si="14"/>
        <v>49.056000000000004</v>
      </c>
      <c r="I116" s="536">
        <f t="shared" si="15"/>
        <v>0</v>
      </c>
      <c r="J116" s="537">
        <f t="shared" si="16"/>
        <v>1.6732789960326027</v>
      </c>
      <c r="K116" s="537">
        <f t="shared" si="16"/>
        <v>2.2817440854990036</v>
      </c>
      <c r="L116" s="537">
        <f t="shared" si="16"/>
        <v>2.4429873342075998</v>
      </c>
      <c r="M116" s="538">
        <f t="shared" si="17"/>
        <v>0</v>
      </c>
      <c r="N116" s="538">
        <f t="shared" si="18"/>
        <v>1.5939026897107891</v>
      </c>
      <c r="O116" s="538">
        <f t="shared" si="18"/>
        <v>2.1735036677874398</v>
      </c>
      <c r="P116" s="538">
        <f t="shared" si="18"/>
        <v>2.3270979269777521</v>
      </c>
      <c r="Q116" s="143">
        <f t="shared" si="19"/>
        <v>0</v>
      </c>
      <c r="AD116" s="113"/>
      <c r="AK116" s="26"/>
    </row>
    <row r="117" spans="3:37" x14ac:dyDescent="0.25">
      <c r="C117" s="26" t="str" cm="1">
        <f t="array" ref="C117">INDEX('List Values'!$B$2:$B$17,(1+ROUNDDOWN((ROW()-ROW($C$109))*1/6,2)))</f>
        <v>Import and Repackaging</v>
      </c>
      <c r="D117" s="513" t="s">
        <v>72</v>
      </c>
      <c r="E117" s="514" t="s">
        <v>90</v>
      </c>
      <c r="F117" s="535">
        <f t="shared" si="14"/>
        <v>15.209250000000003</v>
      </c>
      <c r="G117" s="535">
        <f t="shared" si="14"/>
        <v>20.739886363636366</v>
      </c>
      <c r="H117" s="535">
        <f t="shared" si="14"/>
        <v>22.205505000000002</v>
      </c>
      <c r="I117" s="536">
        <f t="shared" si="15"/>
        <v>0</v>
      </c>
      <c r="J117" s="537">
        <f t="shared" si="16"/>
        <v>0.91029197517312976</v>
      </c>
      <c r="K117" s="537">
        <f t="shared" si="16"/>
        <v>1.2413072388724498</v>
      </c>
      <c r="L117" s="537">
        <f t="shared" si="16"/>
        <v>1.3290262837527695</v>
      </c>
      <c r="M117" s="538">
        <f t="shared" si="17"/>
        <v>0</v>
      </c>
      <c r="N117" s="538">
        <f t="shared" si="18"/>
        <v>0.85888657659909884</v>
      </c>
      <c r="O117" s="538">
        <f t="shared" si="18"/>
        <v>1.17120896808968</v>
      </c>
      <c r="P117" s="538">
        <f t="shared" si="18"/>
        <v>1.2539744018346841</v>
      </c>
      <c r="Q117" s="143">
        <f t="shared" si="19"/>
        <v>0</v>
      </c>
      <c r="AD117" s="113"/>
      <c r="AK117" s="26"/>
    </row>
    <row r="118" spans="3:37" x14ac:dyDescent="0.25">
      <c r="C118" s="26" t="str" cm="1">
        <f t="array" ref="C118">INDEX('List Values'!$B$2:$B$17,(1+ROUNDDOWN((ROW()-ROW($C$109))*1/6,2)))</f>
        <v>Import and Repackaging</v>
      </c>
      <c r="D118" s="513" t="s">
        <v>72</v>
      </c>
      <c r="E118" s="513" t="s">
        <v>91</v>
      </c>
      <c r="F118" s="535">
        <f t="shared" si="14"/>
        <v>30.418500000000005</v>
      </c>
      <c r="G118" s="535">
        <f t="shared" si="14"/>
        <v>41.479772727272731</v>
      </c>
      <c r="H118" s="535">
        <f t="shared" si="14"/>
        <v>44.411010000000005</v>
      </c>
      <c r="I118" s="536">
        <f t="shared" si="15"/>
        <v>0</v>
      </c>
      <c r="J118" s="537">
        <f t="shared" si="16"/>
        <v>1.8205839503462595</v>
      </c>
      <c r="K118" s="537">
        <f t="shared" si="16"/>
        <v>2.4826144777448995</v>
      </c>
      <c r="L118" s="537">
        <f t="shared" si="16"/>
        <v>2.6580525675055391</v>
      </c>
      <c r="M118" s="538">
        <f t="shared" si="17"/>
        <v>0</v>
      </c>
      <c r="N118" s="538">
        <f t="shared" si="18"/>
        <v>1.7177731531981977</v>
      </c>
      <c r="O118" s="538">
        <f t="shared" si="18"/>
        <v>2.34241793617936</v>
      </c>
      <c r="P118" s="538">
        <f t="shared" si="18"/>
        <v>2.5079488036693682</v>
      </c>
      <c r="Q118" s="143">
        <f t="shared" si="19"/>
        <v>0</v>
      </c>
      <c r="AD118" s="113"/>
      <c r="AK118" s="26"/>
    </row>
    <row r="119" spans="3:37" ht="13.5" thickBot="1" x14ac:dyDescent="0.3">
      <c r="C119" s="26" t="str" cm="1">
        <f t="array" ref="C119">INDEX('List Values'!$B$2:$B$17,(1+ROUNDDOWN((ROW()-ROW($C$109))*1/6,2)))</f>
        <v>Import and Repackaging</v>
      </c>
      <c r="D119" s="513" t="s">
        <v>92</v>
      </c>
      <c r="E119" s="514" t="s">
        <v>90</v>
      </c>
      <c r="F119" s="535">
        <f t="shared" si="14"/>
        <v>33.6</v>
      </c>
      <c r="G119" s="535">
        <f t="shared" si="14"/>
        <v>45.81818181818182</v>
      </c>
      <c r="H119" s="535">
        <f t="shared" si="14"/>
        <v>49.056000000000004</v>
      </c>
      <c r="I119" s="536">
        <f t="shared" si="15"/>
        <v>0</v>
      </c>
      <c r="J119" s="535" t="str">
        <f t="shared" si="16"/>
        <v/>
      </c>
      <c r="K119" s="535" t="str">
        <f t="shared" si="16"/>
        <v/>
      </c>
      <c r="L119" s="535" t="str">
        <f t="shared" si="16"/>
        <v/>
      </c>
      <c r="M119" s="536">
        <f t="shared" si="17"/>
        <v>0</v>
      </c>
      <c r="N119" s="536">
        <f t="shared" si="18"/>
        <v>33.6</v>
      </c>
      <c r="O119" s="536">
        <f t="shared" si="18"/>
        <v>45.81818181818182</v>
      </c>
      <c r="P119" s="536">
        <f t="shared" si="18"/>
        <v>49.056000000000004</v>
      </c>
      <c r="Q119" s="143">
        <f t="shared" si="19"/>
        <v>0</v>
      </c>
      <c r="AD119" s="113"/>
      <c r="AK119" s="26"/>
    </row>
    <row r="120" spans="3:37" ht="13.5" thickBot="1" x14ac:dyDescent="0.3">
      <c r="C120" s="26" t="str" cm="1">
        <f t="array" ref="C120">INDEX('List Values'!$B$2:$B$17,(1+ROUNDDOWN((ROW()-ROW($C$109))*1/6,2)))</f>
        <v>Import and Repackaging</v>
      </c>
      <c r="D120" s="513" t="s">
        <v>92</v>
      </c>
      <c r="E120" s="513" t="s">
        <v>91</v>
      </c>
      <c r="F120" s="535">
        <f t="shared" si="14"/>
        <v>33.6</v>
      </c>
      <c r="G120" s="535">
        <f t="shared" si="14"/>
        <v>45.81818181818182</v>
      </c>
      <c r="H120" s="535">
        <f t="shared" si="14"/>
        <v>49.056000000000004</v>
      </c>
      <c r="I120" s="536">
        <f t="shared" si="15"/>
        <v>0</v>
      </c>
      <c r="J120" s="535" t="str">
        <f t="shared" si="16"/>
        <v/>
      </c>
      <c r="K120" s="535" t="str">
        <f t="shared" si="16"/>
        <v/>
      </c>
      <c r="L120" s="535" t="str">
        <f t="shared" si="16"/>
        <v/>
      </c>
      <c r="M120" s="536">
        <f t="shared" si="17"/>
        <v>0</v>
      </c>
      <c r="N120" s="536">
        <f t="shared" si="18"/>
        <v>33.6</v>
      </c>
      <c r="O120" s="536">
        <f t="shared" si="18"/>
        <v>45.81818181818182</v>
      </c>
      <c r="P120" s="536">
        <f t="shared" si="18"/>
        <v>49.056000000000004</v>
      </c>
      <c r="Q120" s="143">
        <f t="shared" si="19"/>
        <v>0</v>
      </c>
      <c r="AD120" s="113"/>
      <c r="AK120" s="26"/>
    </row>
    <row r="121" spans="3:37" x14ac:dyDescent="0.25">
      <c r="C121" s="26" t="str" cm="1">
        <f t="array" ref="C121">INDEX('List Values'!$B$2:$B$17,(1+ROUNDDOWN((ROW()-ROW($C$109))*1/6,2)))</f>
        <v>Incorporation into Formulations, Mixtures, or Reaction Products</v>
      </c>
      <c r="D121" s="513" t="s">
        <v>197</v>
      </c>
      <c r="E121" s="514" t="s">
        <v>90</v>
      </c>
      <c r="F121" s="535">
        <f t="shared" si="14"/>
        <v>16.8</v>
      </c>
      <c r="G121" s="535">
        <f t="shared" si="14"/>
        <v>22.90909090909091</v>
      </c>
      <c r="H121" s="535">
        <f t="shared" si="14"/>
        <v>24.528000000000002</v>
      </c>
      <c r="I121" s="536">
        <f t="shared" si="15"/>
        <v>0</v>
      </c>
      <c r="J121" s="537">
        <f t="shared" si="16"/>
        <v>0.83663949801630133</v>
      </c>
      <c r="K121" s="537">
        <f t="shared" si="16"/>
        <v>1.1408720427495018</v>
      </c>
      <c r="L121" s="537">
        <f t="shared" si="16"/>
        <v>1.2214936671037999</v>
      </c>
      <c r="M121" s="538">
        <f t="shared" si="17"/>
        <v>0</v>
      </c>
      <c r="N121" s="538">
        <f t="shared" si="18"/>
        <v>0.79695134485539454</v>
      </c>
      <c r="O121" s="538">
        <f t="shared" si="18"/>
        <v>1.0867518338937199</v>
      </c>
      <c r="P121" s="538">
        <f t="shared" si="18"/>
        <v>1.163548963488876</v>
      </c>
      <c r="Q121" s="143">
        <f t="shared" si="19"/>
        <v>0</v>
      </c>
      <c r="AD121" s="113"/>
      <c r="AK121" s="26"/>
    </row>
    <row r="122" spans="3:37" x14ac:dyDescent="0.25">
      <c r="C122" s="26" t="str" cm="1">
        <f t="array" ref="C122">INDEX('List Values'!$B$2:$B$17,(1+ROUNDDOWN((ROW()-ROW($C$109))*1/6,2)))</f>
        <v>Incorporation into Formulations, Mixtures, or Reaction Products</v>
      </c>
      <c r="D122" s="513" t="s">
        <v>197</v>
      </c>
      <c r="E122" s="513" t="s">
        <v>91</v>
      </c>
      <c r="F122" s="535">
        <f t="shared" si="14"/>
        <v>33.6</v>
      </c>
      <c r="G122" s="535">
        <f t="shared" si="14"/>
        <v>45.81818181818182</v>
      </c>
      <c r="H122" s="535">
        <f t="shared" si="14"/>
        <v>49.056000000000004</v>
      </c>
      <c r="I122" s="536">
        <f t="shared" si="15"/>
        <v>0</v>
      </c>
      <c r="J122" s="537">
        <f t="shared" si="16"/>
        <v>1.6732789960326027</v>
      </c>
      <c r="K122" s="537">
        <f t="shared" si="16"/>
        <v>2.2817440854990036</v>
      </c>
      <c r="L122" s="537">
        <f t="shared" si="16"/>
        <v>2.4429873342075998</v>
      </c>
      <c r="M122" s="538">
        <f t="shared" si="17"/>
        <v>0</v>
      </c>
      <c r="N122" s="538">
        <f t="shared" si="18"/>
        <v>1.5939026897107891</v>
      </c>
      <c r="O122" s="538">
        <f t="shared" si="18"/>
        <v>2.1735036677874398</v>
      </c>
      <c r="P122" s="538">
        <f t="shared" si="18"/>
        <v>2.3270979269777521</v>
      </c>
      <c r="Q122" s="143">
        <f t="shared" si="19"/>
        <v>0</v>
      </c>
      <c r="AD122" s="113"/>
      <c r="AK122" s="26"/>
    </row>
    <row r="123" spans="3:37" x14ac:dyDescent="0.25">
      <c r="C123" s="26" t="str" cm="1">
        <f t="array" ref="C123">INDEX('List Values'!$B$2:$B$17,(1+ROUNDDOWN((ROW()-ROW($C$109))*1/6,2)))</f>
        <v>Incorporation into Formulations, Mixtures, or Reaction Products</v>
      </c>
      <c r="D123" s="513" t="s">
        <v>72</v>
      </c>
      <c r="E123" s="514" t="s">
        <v>90</v>
      </c>
      <c r="F123" s="535">
        <f t="shared" si="14"/>
        <v>15.209250000000003</v>
      </c>
      <c r="G123" s="535">
        <f t="shared" si="14"/>
        <v>20.739886363636366</v>
      </c>
      <c r="H123" s="535">
        <f t="shared" si="14"/>
        <v>22.205505000000002</v>
      </c>
      <c r="I123" s="536">
        <f t="shared" si="15"/>
        <v>0</v>
      </c>
      <c r="J123" s="537">
        <f t="shared" si="16"/>
        <v>0.91029197517312976</v>
      </c>
      <c r="K123" s="537">
        <f t="shared" si="16"/>
        <v>1.2413072388724498</v>
      </c>
      <c r="L123" s="537">
        <f t="shared" si="16"/>
        <v>1.3290262837527695</v>
      </c>
      <c r="M123" s="538">
        <f t="shared" si="17"/>
        <v>0</v>
      </c>
      <c r="N123" s="538">
        <f t="shared" si="18"/>
        <v>0.85888657659909884</v>
      </c>
      <c r="O123" s="538">
        <f t="shared" si="18"/>
        <v>1.17120896808968</v>
      </c>
      <c r="P123" s="538">
        <f t="shared" si="18"/>
        <v>1.2539744018346841</v>
      </c>
      <c r="Q123" s="143">
        <f t="shared" si="19"/>
        <v>0</v>
      </c>
      <c r="AD123" s="113"/>
      <c r="AK123" s="26"/>
    </row>
    <row r="124" spans="3:37" x14ac:dyDescent="0.25">
      <c r="C124" s="26" t="str" cm="1">
        <f t="array" ref="C124">INDEX('List Values'!$B$2:$B$17,(1+ROUNDDOWN((ROW()-ROW($C$109))*1/6,2)))</f>
        <v>Incorporation into Formulations, Mixtures, or Reaction Products</v>
      </c>
      <c r="D124" s="513" t="s">
        <v>72</v>
      </c>
      <c r="E124" s="513" t="s">
        <v>91</v>
      </c>
      <c r="F124" s="535">
        <f t="shared" si="14"/>
        <v>30.418500000000005</v>
      </c>
      <c r="G124" s="535">
        <f t="shared" si="14"/>
        <v>41.479772727272731</v>
      </c>
      <c r="H124" s="535">
        <f t="shared" si="14"/>
        <v>44.411010000000005</v>
      </c>
      <c r="I124" s="536">
        <f t="shared" si="15"/>
        <v>0</v>
      </c>
      <c r="J124" s="537">
        <f t="shared" si="16"/>
        <v>1.8205839503462595</v>
      </c>
      <c r="K124" s="537">
        <f t="shared" si="16"/>
        <v>2.4826144777448995</v>
      </c>
      <c r="L124" s="537">
        <f t="shared" si="16"/>
        <v>2.6580525675055391</v>
      </c>
      <c r="M124" s="538">
        <f t="shared" si="17"/>
        <v>0</v>
      </c>
      <c r="N124" s="538">
        <f t="shared" si="18"/>
        <v>1.7177731531981977</v>
      </c>
      <c r="O124" s="538">
        <f t="shared" si="18"/>
        <v>2.34241793617936</v>
      </c>
      <c r="P124" s="538">
        <f t="shared" si="18"/>
        <v>2.5079488036693682</v>
      </c>
      <c r="Q124" s="143">
        <f t="shared" si="19"/>
        <v>0</v>
      </c>
      <c r="AD124" s="113"/>
      <c r="AK124" s="26"/>
    </row>
    <row r="125" spans="3:37" ht="13.5" thickBot="1" x14ac:dyDescent="0.3">
      <c r="C125" s="26" t="str" cm="1">
        <f t="array" ref="C125">INDEX('List Values'!$B$2:$B$17,(1+ROUNDDOWN((ROW()-ROW($C$109))*1/6,2)))</f>
        <v>Incorporation into Formulations, Mixtures, or Reaction Products</v>
      </c>
      <c r="D125" s="513" t="s">
        <v>92</v>
      </c>
      <c r="E125" s="514" t="s">
        <v>90</v>
      </c>
      <c r="F125" s="535">
        <f t="shared" si="14"/>
        <v>33.6</v>
      </c>
      <c r="G125" s="535">
        <f t="shared" si="14"/>
        <v>45.81818181818182</v>
      </c>
      <c r="H125" s="535">
        <f t="shared" si="14"/>
        <v>49.056000000000004</v>
      </c>
      <c r="I125" s="536">
        <f t="shared" si="15"/>
        <v>0</v>
      </c>
      <c r="J125" s="535" t="str">
        <f t="shared" si="16"/>
        <v/>
      </c>
      <c r="K125" s="535" t="str">
        <f t="shared" si="16"/>
        <v/>
      </c>
      <c r="L125" s="535" t="str">
        <f t="shared" si="16"/>
        <v/>
      </c>
      <c r="M125" s="536">
        <f t="shared" si="17"/>
        <v>0</v>
      </c>
      <c r="N125" s="536">
        <f t="shared" si="18"/>
        <v>33.6</v>
      </c>
      <c r="O125" s="536">
        <f t="shared" si="18"/>
        <v>45.81818181818182</v>
      </c>
      <c r="P125" s="536">
        <f t="shared" si="18"/>
        <v>49.056000000000004</v>
      </c>
      <c r="Q125" s="143">
        <f t="shared" si="19"/>
        <v>0</v>
      </c>
      <c r="AD125" s="113"/>
      <c r="AK125" s="26"/>
    </row>
    <row r="126" spans="3:37" ht="13.5" thickBot="1" x14ac:dyDescent="0.3">
      <c r="C126" s="26" t="str" cm="1">
        <f t="array" ref="C126">INDEX('List Values'!$B$2:$B$17,(1+ROUNDDOWN((ROW()-ROW($C$109))*1/6,2)))</f>
        <v>Incorporation into Formulations, Mixtures, or Reaction Products</v>
      </c>
      <c r="D126" s="513" t="s">
        <v>92</v>
      </c>
      <c r="E126" s="513" t="s">
        <v>91</v>
      </c>
      <c r="F126" s="535">
        <f t="shared" si="14"/>
        <v>33.6</v>
      </c>
      <c r="G126" s="535">
        <f t="shared" si="14"/>
        <v>45.81818181818182</v>
      </c>
      <c r="H126" s="535">
        <f t="shared" si="14"/>
        <v>49.056000000000004</v>
      </c>
      <c r="I126" s="536">
        <f t="shared" si="15"/>
        <v>0</v>
      </c>
      <c r="J126" s="535" t="str">
        <f t="shared" si="16"/>
        <v/>
      </c>
      <c r="K126" s="535" t="str">
        <f t="shared" si="16"/>
        <v/>
      </c>
      <c r="L126" s="535" t="str">
        <f t="shared" si="16"/>
        <v/>
      </c>
      <c r="M126" s="536">
        <f t="shared" si="17"/>
        <v>0</v>
      </c>
      <c r="N126" s="536">
        <f t="shared" si="18"/>
        <v>33.6</v>
      </c>
      <c r="O126" s="536">
        <f t="shared" si="18"/>
        <v>45.81818181818182</v>
      </c>
      <c r="P126" s="536">
        <f t="shared" si="18"/>
        <v>49.056000000000004</v>
      </c>
      <c r="Q126" s="143">
        <f t="shared" si="19"/>
        <v>0</v>
      </c>
      <c r="AD126" s="113"/>
      <c r="AK126" s="26"/>
    </row>
    <row r="127" spans="3:37" x14ac:dyDescent="0.25">
      <c r="C127" s="26" t="str" cm="1">
        <f t="array" ref="C127">INDEX('List Values'!$B$2:$B$17,(1+ROUNDDOWN((ROW()-ROW($C$109))*1/6,2)))</f>
        <v>PVC Plastics Compounding</v>
      </c>
      <c r="D127" s="513" t="s">
        <v>197</v>
      </c>
      <c r="E127" s="514" t="s">
        <v>90</v>
      </c>
      <c r="F127" s="539">
        <f t="shared" si="14"/>
        <v>5.8638743455497382</v>
      </c>
      <c r="G127" s="539">
        <f t="shared" si="14"/>
        <v>7.9961922893860073</v>
      </c>
      <c r="H127" s="539">
        <f t="shared" si="14"/>
        <v>8.5612565445026192</v>
      </c>
      <c r="I127" s="536">
        <f t="shared" si="15"/>
        <v>0</v>
      </c>
      <c r="J127" s="537">
        <f t="shared" si="16"/>
        <v>0.82549492264811275</v>
      </c>
      <c r="K127" s="537">
        <f t="shared" si="16"/>
        <v>1.1256748945201536</v>
      </c>
      <c r="L127" s="537">
        <f t="shared" si="16"/>
        <v>1.2052225870662445</v>
      </c>
      <c r="M127" s="538">
        <f t="shared" si="17"/>
        <v>0</v>
      </c>
      <c r="N127" s="538">
        <f t="shared" si="18"/>
        <v>0.72362554752518771</v>
      </c>
      <c r="O127" s="538">
        <f t="shared" si="18"/>
        <v>0.98676211026161942</v>
      </c>
      <c r="P127" s="538">
        <f t="shared" si="18"/>
        <v>1.0564932993867739</v>
      </c>
      <c r="Q127" s="143">
        <f t="shared" si="19"/>
        <v>0</v>
      </c>
      <c r="AD127" s="113"/>
      <c r="AK127" s="26"/>
    </row>
    <row r="128" spans="3:37" x14ac:dyDescent="0.25">
      <c r="C128" s="26" t="str" cm="1">
        <f t="array" ref="C128">INDEX('List Values'!$B$2:$B$17,(1+ROUNDDOWN((ROW()-ROW($C$109))*1/6,2)))</f>
        <v>PVC Plastics Compounding</v>
      </c>
      <c r="D128" s="513" t="s">
        <v>197</v>
      </c>
      <c r="E128" s="513" t="s">
        <v>91</v>
      </c>
      <c r="F128" s="535">
        <f t="shared" si="14"/>
        <v>48.908296943231441</v>
      </c>
      <c r="G128" s="535">
        <f t="shared" si="14"/>
        <v>66.693132195315599</v>
      </c>
      <c r="H128" s="535">
        <f t="shared" si="14"/>
        <v>71.406113537117903</v>
      </c>
      <c r="I128" s="536">
        <f t="shared" si="15"/>
        <v>0</v>
      </c>
      <c r="J128" s="537">
        <f t="shared" si="16"/>
        <v>1.6509898452962255</v>
      </c>
      <c r="K128" s="537">
        <f t="shared" si="16"/>
        <v>2.2513497890403071</v>
      </c>
      <c r="L128" s="537">
        <f t="shared" si="16"/>
        <v>2.410445174132489</v>
      </c>
      <c r="M128" s="538">
        <f t="shared" si="17"/>
        <v>0</v>
      </c>
      <c r="N128" s="538">
        <f t="shared" si="18"/>
        <v>1.5970775446604941</v>
      </c>
      <c r="O128" s="538">
        <f t="shared" si="18"/>
        <v>2.1778330154461285</v>
      </c>
      <c r="P128" s="538">
        <f t="shared" si="18"/>
        <v>2.3317332152043218</v>
      </c>
      <c r="Q128" s="143">
        <f t="shared" si="19"/>
        <v>0</v>
      </c>
      <c r="AD128" s="113"/>
      <c r="AK128" s="26"/>
    </row>
    <row r="129" spans="3:37" x14ac:dyDescent="0.25">
      <c r="C129" s="26" t="str" cm="1">
        <f t="array" ref="C129">INDEX('List Values'!$B$2:$B$17,(1+ROUNDDOWN((ROW()-ROW($C$109))*1/6,2)))</f>
        <v>PVC Plastics Compounding</v>
      </c>
      <c r="D129" s="513" t="s">
        <v>72</v>
      </c>
      <c r="E129" s="514" t="s">
        <v>90</v>
      </c>
      <c r="F129" s="539">
        <f t="shared" ref="F129:H148" si="20">F$107/F25</f>
        <v>5.3086387434554974</v>
      </c>
      <c r="G129" s="539">
        <f t="shared" si="20"/>
        <v>7.23905283198477</v>
      </c>
      <c r="H129" s="539">
        <f t="shared" si="20"/>
        <v>7.7506125654450262</v>
      </c>
      <c r="I129" s="536">
        <f t="shared" si="15"/>
        <v>0</v>
      </c>
      <c r="J129" s="537">
        <f t="shared" ref="J129:L148" si="21">IFERROR(J$107/J25,"")</f>
        <v>0.89816630151269672</v>
      </c>
      <c r="K129" s="537">
        <f t="shared" si="21"/>
        <v>1.2247722293354955</v>
      </c>
      <c r="L129" s="537">
        <f t="shared" si="21"/>
        <v>1.3113228002085371</v>
      </c>
      <c r="M129" s="538">
        <f t="shared" si="17"/>
        <v>0</v>
      </c>
      <c r="N129" s="538">
        <f t="shared" ref="N129:P148" si="22">N$107/N25</f>
        <v>0.76819561621994958</v>
      </c>
      <c r="O129" s="538">
        <f t="shared" si="22"/>
        <v>1.0475394766635677</v>
      </c>
      <c r="P129" s="538">
        <f t="shared" si="22"/>
        <v>1.1215655996811262</v>
      </c>
      <c r="Q129" s="143">
        <f t="shared" si="19"/>
        <v>0</v>
      </c>
      <c r="AD129" s="113"/>
      <c r="AK129" s="26"/>
    </row>
    <row r="130" spans="3:37" x14ac:dyDescent="0.25">
      <c r="C130" s="26" t="str" cm="1">
        <f t="array" ref="C130">INDEX('List Values'!$B$2:$B$17,(1+ROUNDDOWN((ROW()-ROW($C$109))*1/6,2)))</f>
        <v>PVC Plastics Compounding</v>
      </c>
      <c r="D130" s="513" t="s">
        <v>72</v>
      </c>
      <c r="E130" s="513" t="s">
        <v>91</v>
      </c>
      <c r="F130" s="535">
        <f t="shared" si="20"/>
        <v>44.277292576419221</v>
      </c>
      <c r="G130" s="535">
        <f t="shared" si="20"/>
        <v>60.378126240571667</v>
      </c>
      <c r="H130" s="535">
        <f t="shared" si="20"/>
        <v>64.644847161572059</v>
      </c>
      <c r="I130" s="536">
        <f t="shared" si="15"/>
        <v>0</v>
      </c>
      <c r="J130" s="537">
        <f t="shared" si="21"/>
        <v>1.7963326030253934</v>
      </c>
      <c r="K130" s="537">
        <f t="shared" si="21"/>
        <v>2.4495444586709909</v>
      </c>
      <c r="L130" s="537">
        <f t="shared" si="21"/>
        <v>2.6226456004170742</v>
      </c>
      <c r="M130" s="538">
        <f t="shared" si="17"/>
        <v>0</v>
      </c>
      <c r="N130" s="538">
        <f t="shared" si="22"/>
        <v>1.7262966375869369</v>
      </c>
      <c r="O130" s="538">
        <f t="shared" si="22"/>
        <v>2.3540408694367323</v>
      </c>
      <c r="P130" s="538">
        <f t="shared" si="22"/>
        <v>2.5203930908769276</v>
      </c>
      <c r="Q130" s="143">
        <f t="shared" si="19"/>
        <v>0</v>
      </c>
      <c r="AD130" s="113"/>
      <c r="AK130" s="26"/>
    </row>
    <row r="131" spans="3:37" ht="13.5" thickBot="1" x14ac:dyDescent="0.3">
      <c r="C131" s="26" t="str" cm="1">
        <f t="array" ref="C131">INDEX('List Values'!$B$2:$B$17,(1+ROUNDDOWN((ROW()-ROW($C$109))*1/6,2)))</f>
        <v>PVC Plastics Compounding</v>
      </c>
      <c r="D131" s="513" t="s">
        <v>92</v>
      </c>
      <c r="E131" s="514" t="s">
        <v>90</v>
      </c>
      <c r="F131" s="535">
        <f t="shared" si="20"/>
        <v>48.908296943231441</v>
      </c>
      <c r="G131" s="535">
        <f t="shared" si="20"/>
        <v>66.693132195315599</v>
      </c>
      <c r="H131" s="535">
        <f t="shared" si="20"/>
        <v>71.406113537117903</v>
      </c>
      <c r="I131" s="536">
        <f t="shared" si="15"/>
        <v>0</v>
      </c>
      <c r="J131" s="535">
        <f t="shared" si="21"/>
        <v>123.94221132385412</v>
      </c>
      <c r="K131" s="535">
        <f t="shared" si="21"/>
        <v>169.01210635071018</v>
      </c>
      <c r="L131" s="535">
        <f t="shared" si="21"/>
        <v>180.95562853282706</v>
      </c>
      <c r="M131" s="536">
        <f t="shared" si="17"/>
        <v>0</v>
      </c>
      <c r="N131" s="536">
        <f t="shared" si="22"/>
        <v>35.069624822052646</v>
      </c>
      <c r="O131" s="536">
        <f t="shared" si="22"/>
        <v>47.822215666435433</v>
      </c>
      <c r="P131" s="536">
        <f t="shared" si="22"/>
        <v>51.201652240196864</v>
      </c>
      <c r="Q131" s="143">
        <f t="shared" si="19"/>
        <v>0</v>
      </c>
      <c r="AD131" s="113"/>
      <c r="AK131" s="26"/>
    </row>
    <row r="132" spans="3:37" ht="13.5" thickBot="1" x14ac:dyDescent="0.3">
      <c r="C132" s="26" t="str" cm="1">
        <f t="array" ref="C132">INDEX('List Values'!$B$2:$B$17,(1+ROUNDDOWN((ROW()-ROW($C$109))*1/6,2)))</f>
        <v>PVC Plastics Compounding</v>
      </c>
      <c r="D132" s="513" t="s">
        <v>92</v>
      </c>
      <c r="E132" s="513" t="s">
        <v>91</v>
      </c>
      <c r="F132" s="535">
        <f t="shared" si="20"/>
        <v>48.908296943231441</v>
      </c>
      <c r="G132" s="535">
        <f t="shared" si="20"/>
        <v>66.693132195315599</v>
      </c>
      <c r="H132" s="535">
        <f t="shared" si="20"/>
        <v>71.406113537117903</v>
      </c>
      <c r="I132" s="536">
        <f t="shared" si="15"/>
        <v>0</v>
      </c>
      <c r="J132" s="535">
        <f t="shared" si="21"/>
        <v>123.94221132385412</v>
      </c>
      <c r="K132" s="535">
        <f t="shared" si="21"/>
        <v>169.01210635071018</v>
      </c>
      <c r="L132" s="535">
        <f t="shared" si="21"/>
        <v>180.95562853282703</v>
      </c>
      <c r="M132" s="536">
        <f t="shared" si="17"/>
        <v>0</v>
      </c>
      <c r="N132" s="536">
        <f t="shared" si="22"/>
        <v>35.069624822052646</v>
      </c>
      <c r="O132" s="536">
        <f t="shared" si="22"/>
        <v>47.822215666435433</v>
      </c>
      <c r="P132" s="536">
        <f t="shared" si="22"/>
        <v>51.201652240196864</v>
      </c>
      <c r="Q132" s="143">
        <f t="shared" si="19"/>
        <v>0</v>
      </c>
      <c r="AD132" s="113"/>
      <c r="AK132" s="26"/>
    </row>
    <row r="133" spans="3:37" ht="13.5" thickBot="1" x14ac:dyDescent="0.3">
      <c r="C133" s="26" t="str" cm="1">
        <f t="array" ref="C133">INDEX('List Values'!$B$2:$B$17,(1+ROUNDDOWN((ROW()-ROW($C$109))*1/6,2)))</f>
        <v>PVC Plastics Converting</v>
      </c>
      <c r="D133" s="513" t="s">
        <v>197</v>
      </c>
      <c r="E133" s="514" t="s">
        <v>90</v>
      </c>
      <c r="F133" s="539">
        <f t="shared" si="20"/>
        <v>5.8638743455497382</v>
      </c>
      <c r="G133" s="539">
        <f t="shared" si="20"/>
        <v>7.9961922893860073</v>
      </c>
      <c r="H133" s="539">
        <f t="shared" si="20"/>
        <v>8.5612565445026192</v>
      </c>
      <c r="I133" s="536">
        <f t="shared" si="15"/>
        <v>0</v>
      </c>
      <c r="J133" s="535">
        <f t="shared" si="21"/>
        <v>61.971105661927062</v>
      </c>
      <c r="K133" s="535">
        <f t="shared" si="21"/>
        <v>84.506053175355092</v>
      </c>
      <c r="L133" s="535">
        <f t="shared" si="21"/>
        <v>90.477814266413532</v>
      </c>
      <c r="M133" s="536">
        <f t="shared" si="17"/>
        <v>0</v>
      </c>
      <c r="N133" s="540">
        <f t="shared" si="22"/>
        <v>5.3569821442605736</v>
      </c>
      <c r="O133" s="540">
        <f t="shared" si="22"/>
        <v>7.3049756512644199</v>
      </c>
      <c r="P133" s="540">
        <f t="shared" si="22"/>
        <v>7.8211939306204386</v>
      </c>
      <c r="Q133" s="143">
        <f t="shared" si="19"/>
        <v>0</v>
      </c>
      <c r="AD133" s="113"/>
      <c r="AK133" s="26"/>
    </row>
    <row r="134" spans="3:37" ht="13.5" thickBot="1" x14ac:dyDescent="0.3">
      <c r="C134" s="26" t="str" cm="1">
        <f t="array" ref="C134">INDEX('List Values'!$B$2:$B$17,(1+ROUNDDOWN((ROW()-ROW($C$109))*1/6,2)))</f>
        <v>PVC Plastics Converting</v>
      </c>
      <c r="D134" s="513" t="s">
        <v>197</v>
      </c>
      <c r="E134" s="513" t="s">
        <v>91</v>
      </c>
      <c r="F134" s="535">
        <f t="shared" si="20"/>
        <v>48.908296943231441</v>
      </c>
      <c r="G134" s="535">
        <f t="shared" si="20"/>
        <v>66.693132195315599</v>
      </c>
      <c r="H134" s="535">
        <f t="shared" si="20"/>
        <v>71.406113537117903</v>
      </c>
      <c r="I134" s="536">
        <f t="shared" si="15"/>
        <v>0</v>
      </c>
      <c r="J134" s="535">
        <f t="shared" si="21"/>
        <v>123.94221132385412</v>
      </c>
      <c r="K134" s="535">
        <f t="shared" si="21"/>
        <v>169.01210635071018</v>
      </c>
      <c r="L134" s="535">
        <f t="shared" si="21"/>
        <v>180.95562853282703</v>
      </c>
      <c r="M134" s="536">
        <f t="shared" si="17"/>
        <v>0</v>
      </c>
      <c r="N134" s="536">
        <f t="shared" si="22"/>
        <v>35.069624822052646</v>
      </c>
      <c r="O134" s="536">
        <f t="shared" si="22"/>
        <v>47.822215666435433</v>
      </c>
      <c r="P134" s="536">
        <f t="shared" si="22"/>
        <v>51.201652240196864</v>
      </c>
      <c r="Q134" s="143">
        <f t="shared" si="19"/>
        <v>0</v>
      </c>
      <c r="AD134" s="113"/>
      <c r="AK134" s="26"/>
    </row>
    <row r="135" spans="3:37" ht="13.5" thickBot="1" x14ac:dyDescent="0.3">
      <c r="C135" s="26" t="str" cm="1">
        <f t="array" ref="C135">INDEX('List Values'!$B$2:$B$17,(1+ROUNDDOWN((ROW()-ROW($C$109))*1/6,2)))</f>
        <v>PVC Plastics Converting</v>
      </c>
      <c r="D135" s="513" t="s">
        <v>72</v>
      </c>
      <c r="E135" s="514" t="s">
        <v>90</v>
      </c>
      <c r="F135" s="539">
        <f t="shared" si="20"/>
        <v>5.3086387434554974</v>
      </c>
      <c r="G135" s="539">
        <f t="shared" si="20"/>
        <v>7.23905283198477</v>
      </c>
      <c r="H135" s="539">
        <f t="shared" si="20"/>
        <v>7.7506125654450262</v>
      </c>
      <c r="I135" s="536">
        <f t="shared" si="15"/>
        <v>0</v>
      </c>
      <c r="J135" s="535">
        <f t="shared" si="21"/>
        <v>67.426651873850645</v>
      </c>
      <c r="K135" s="535">
        <f t="shared" si="21"/>
        <v>91.94543437343269</v>
      </c>
      <c r="L135" s="535">
        <f t="shared" si="21"/>
        <v>98.442911735821923</v>
      </c>
      <c r="M135" s="536">
        <f t="shared" si="17"/>
        <v>0</v>
      </c>
      <c r="N135" s="540">
        <f t="shared" si="22"/>
        <v>4.9211838358124753</v>
      </c>
      <c r="O135" s="540">
        <f t="shared" si="22"/>
        <v>6.7107052306533754</v>
      </c>
      <c r="P135" s="540">
        <f t="shared" si="22"/>
        <v>7.1849284002862133</v>
      </c>
      <c r="Q135" s="143">
        <f t="shared" si="19"/>
        <v>0</v>
      </c>
      <c r="AD135" s="113"/>
      <c r="AK135" s="26"/>
    </row>
    <row r="136" spans="3:37" ht="13.5" thickBot="1" x14ac:dyDescent="0.3">
      <c r="C136" s="26" t="str" cm="1">
        <f t="array" ref="C136">INDEX('List Values'!$B$2:$B$17,(1+ROUNDDOWN((ROW()-ROW($C$109))*1/6,2)))</f>
        <v>PVC Plastics Converting</v>
      </c>
      <c r="D136" s="513" t="s">
        <v>72</v>
      </c>
      <c r="E136" s="513" t="s">
        <v>91</v>
      </c>
      <c r="F136" s="535">
        <f t="shared" si="20"/>
        <v>44.277292576419221</v>
      </c>
      <c r="G136" s="535">
        <f t="shared" si="20"/>
        <v>60.378126240571667</v>
      </c>
      <c r="H136" s="535">
        <f t="shared" si="20"/>
        <v>64.644847161572059</v>
      </c>
      <c r="I136" s="536">
        <f t="shared" si="15"/>
        <v>0</v>
      </c>
      <c r="J136" s="535">
        <f t="shared" si="21"/>
        <v>134.85330374770129</v>
      </c>
      <c r="K136" s="535">
        <f t="shared" si="21"/>
        <v>183.89086874686538</v>
      </c>
      <c r="L136" s="535">
        <f t="shared" si="21"/>
        <v>196.88582347164385</v>
      </c>
      <c r="M136" s="536">
        <f t="shared" si="17"/>
        <v>0</v>
      </c>
      <c r="N136" s="536">
        <f t="shared" si="22"/>
        <v>33.3328828656933</v>
      </c>
      <c r="O136" s="536">
        <f t="shared" si="22"/>
        <v>45.453931180490869</v>
      </c>
      <c r="P136" s="536">
        <f t="shared" si="22"/>
        <v>48.666008983912221</v>
      </c>
      <c r="Q136" s="143">
        <f t="shared" si="19"/>
        <v>0</v>
      </c>
      <c r="AD136" s="113"/>
      <c r="AK136" s="26"/>
    </row>
    <row r="137" spans="3:37" ht="13.5" thickBot="1" x14ac:dyDescent="0.3">
      <c r="C137" s="26" t="str" cm="1">
        <f t="array" ref="C137">INDEX('List Values'!$B$2:$B$17,(1+ROUNDDOWN((ROW()-ROW($C$109))*1/6,2)))</f>
        <v>PVC Plastics Converting</v>
      </c>
      <c r="D137" s="513" t="s">
        <v>92</v>
      </c>
      <c r="E137" s="514" t="s">
        <v>90</v>
      </c>
      <c r="F137" s="535">
        <f t="shared" si="20"/>
        <v>48.908296943231441</v>
      </c>
      <c r="G137" s="535">
        <f t="shared" si="20"/>
        <v>66.693132195315599</v>
      </c>
      <c r="H137" s="535">
        <f t="shared" si="20"/>
        <v>71.406113537117903</v>
      </c>
      <c r="I137" s="536">
        <f t="shared" si="15"/>
        <v>0</v>
      </c>
      <c r="J137" s="535">
        <f t="shared" si="21"/>
        <v>123.94221132385412</v>
      </c>
      <c r="K137" s="535">
        <f t="shared" si="21"/>
        <v>169.01210635071018</v>
      </c>
      <c r="L137" s="535">
        <f t="shared" si="21"/>
        <v>180.95562853282706</v>
      </c>
      <c r="M137" s="536">
        <f t="shared" si="17"/>
        <v>0</v>
      </c>
      <c r="N137" s="536">
        <f t="shared" si="22"/>
        <v>35.069624822052646</v>
      </c>
      <c r="O137" s="536">
        <f t="shared" si="22"/>
        <v>47.822215666435433</v>
      </c>
      <c r="P137" s="536">
        <f t="shared" si="22"/>
        <v>51.201652240196864</v>
      </c>
      <c r="Q137" s="143">
        <f t="shared" si="19"/>
        <v>0</v>
      </c>
      <c r="AD137" s="113"/>
      <c r="AK137" s="26"/>
    </row>
    <row r="138" spans="3:37" ht="13.5" thickBot="1" x14ac:dyDescent="0.3">
      <c r="C138" s="26" t="str" cm="1">
        <f t="array" ref="C138">INDEX('List Values'!$B$2:$B$17,(1+ROUNDDOWN((ROW()-ROW($C$109))*1/6,2)))</f>
        <v>PVC Plastics Converting</v>
      </c>
      <c r="D138" s="513" t="s">
        <v>92</v>
      </c>
      <c r="E138" s="513" t="s">
        <v>91</v>
      </c>
      <c r="F138" s="535">
        <f t="shared" si="20"/>
        <v>48.908296943231441</v>
      </c>
      <c r="G138" s="535">
        <f t="shared" si="20"/>
        <v>66.693132195315599</v>
      </c>
      <c r="H138" s="535">
        <f t="shared" si="20"/>
        <v>71.406113537117903</v>
      </c>
      <c r="I138" s="536">
        <f t="shared" si="15"/>
        <v>0</v>
      </c>
      <c r="J138" s="535">
        <f t="shared" si="21"/>
        <v>123.94221132385412</v>
      </c>
      <c r="K138" s="535">
        <f t="shared" si="21"/>
        <v>169.01210635071018</v>
      </c>
      <c r="L138" s="535">
        <f t="shared" si="21"/>
        <v>180.95562853282703</v>
      </c>
      <c r="M138" s="536">
        <f t="shared" si="17"/>
        <v>0</v>
      </c>
      <c r="N138" s="536">
        <f t="shared" si="22"/>
        <v>35.069624822052646</v>
      </c>
      <c r="O138" s="536">
        <f t="shared" si="22"/>
        <v>47.822215666435433</v>
      </c>
      <c r="P138" s="536">
        <f t="shared" si="22"/>
        <v>51.201652240196864</v>
      </c>
      <c r="Q138" s="143">
        <f t="shared" si="19"/>
        <v>0</v>
      </c>
      <c r="AD138" s="113"/>
      <c r="AK138" s="26"/>
    </row>
    <row r="139" spans="3:37" x14ac:dyDescent="0.25">
      <c r="C139" s="26" t="str" cm="1">
        <f t="array" ref="C139">INDEX('List Values'!$B$2:$B$17,(1+ROUNDDOWN((ROW()-ROW($C$109))*1/6,2)))</f>
        <v>Non-PVC Materials Manufacturing (Compounding and Converting)</v>
      </c>
      <c r="D139" s="513" t="s">
        <v>197</v>
      </c>
      <c r="E139" s="514" t="s">
        <v>90</v>
      </c>
      <c r="F139" s="539">
        <f t="shared" si="20"/>
        <v>9.9408284023668649</v>
      </c>
      <c r="G139" s="535">
        <f t="shared" si="20"/>
        <v>13.555675094136632</v>
      </c>
      <c r="H139" s="535">
        <f t="shared" si="20"/>
        <v>14.513609467455622</v>
      </c>
      <c r="I139" s="536">
        <f t="shared" si="15"/>
        <v>0</v>
      </c>
      <c r="J139" s="537">
        <f t="shared" si="21"/>
        <v>0.82549492264811275</v>
      </c>
      <c r="K139" s="537">
        <f t="shared" si="21"/>
        <v>1.1256748945201536</v>
      </c>
      <c r="L139" s="537">
        <f t="shared" si="21"/>
        <v>1.2052225870662445</v>
      </c>
      <c r="M139" s="538">
        <f t="shared" si="17"/>
        <v>0</v>
      </c>
      <c r="N139" s="538">
        <f t="shared" si="22"/>
        <v>0.76220108994902214</v>
      </c>
      <c r="O139" s="538">
        <f t="shared" si="22"/>
        <v>1.0393651226577576</v>
      </c>
      <c r="P139" s="538">
        <f t="shared" si="22"/>
        <v>1.1128135913255723</v>
      </c>
      <c r="Q139" s="143">
        <f t="shared" si="19"/>
        <v>0</v>
      </c>
      <c r="AD139" s="113"/>
      <c r="AK139" s="26"/>
    </row>
    <row r="140" spans="3:37" x14ac:dyDescent="0.25">
      <c r="C140" s="26" t="str" cm="1">
        <f t="array" ref="C140">INDEX('List Values'!$B$2:$B$17,(1+ROUNDDOWN((ROW()-ROW($C$109))*1/6,2)))</f>
        <v>Non-PVC Materials Manufacturing (Compounding and Converting)</v>
      </c>
      <c r="D140" s="513" t="s">
        <v>197</v>
      </c>
      <c r="E140" s="513" t="s">
        <v>91</v>
      </c>
      <c r="F140" s="535">
        <f t="shared" si="20"/>
        <v>58.741258741258747</v>
      </c>
      <c r="G140" s="535">
        <f t="shared" si="20"/>
        <v>80.101716465352837</v>
      </c>
      <c r="H140" s="535">
        <f t="shared" si="20"/>
        <v>85.76223776223776</v>
      </c>
      <c r="I140" s="536">
        <f t="shared" si="15"/>
        <v>0</v>
      </c>
      <c r="J140" s="537">
        <f t="shared" si="21"/>
        <v>1.6509898452962255</v>
      </c>
      <c r="K140" s="537">
        <f t="shared" si="21"/>
        <v>2.2513497890403071</v>
      </c>
      <c r="L140" s="537">
        <f t="shared" si="21"/>
        <v>2.410445174132489</v>
      </c>
      <c r="M140" s="538">
        <f t="shared" si="17"/>
        <v>0</v>
      </c>
      <c r="N140" s="538">
        <f t="shared" si="22"/>
        <v>1.6058554525046631</v>
      </c>
      <c r="O140" s="538">
        <f t="shared" si="22"/>
        <v>2.1898028897790858</v>
      </c>
      <c r="P140" s="538">
        <f t="shared" si="22"/>
        <v>2.344548960656808</v>
      </c>
      <c r="Q140" s="143">
        <f t="shared" si="19"/>
        <v>0</v>
      </c>
      <c r="AD140" s="113"/>
      <c r="AK140" s="26"/>
    </row>
    <row r="141" spans="3:37" x14ac:dyDescent="0.25">
      <c r="C141" s="26" t="str" cm="1">
        <f t="array" ref="C141">INDEX('List Values'!$B$2:$B$17,(1+ROUNDDOWN((ROW()-ROW($C$109))*1/6,2)))</f>
        <v>Non-PVC Materials Manufacturing (Compounding and Converting)</v>
      </c>
      <c r="D141" s="513" t="s">
        <v>72</v>
      </c>
      <c r="E141" s="514" t="s">
        <v>90</v>
      </c>
      <c r="F141" s="539">
        <f t="shared" si="20"/>
        <v>8.9995562130177547</v>
      </c>
      <c r="G141" s="535">
        <f t="shared" si="20"/>
        <v>12.272122108660573</v>
      </c>
      <c r="H141" s="535">
        <f t="shared" si="20"/>
        <v>13.13935207100592</v>
      </c>
      <c r="I141" s="536">
        <f t="shared" ref="I141:I172" si="23">I$107*I37</f>
        <v>0</v>
      </c>
      <c r="J141" s="537">
        <f t="shared" si="21"/>
        <v>0.89816630151269672</v>
      </c>
      <c r="K141" s="537">
        <f t="shared" si="21"/>
        <v>1.2247722293354955</v>
      </c>
      <c r="L141" s="537">
        <f t="shared" si="21"/>
        <v>1.3113228002085371</v>
      </c>
      <c r="M141" s="538">
        <f t="shared" ref="M141:M172" si="24">IFERROR(M$107*M37,"")</f>
        <v>0</v>
      </c>
      <c r="N141" s="538">
        <f t="shared" si="22"/>
        <v>0.81666242989084548</v>
      </c>
      <c r="O141" s="538">
        <f t="shared" si="22"/>
        <v>1.1136305862147893</v>
      </c>
      <c r="P141" s="538">
        <f t="shared" si="22"/>
        <v>1.1923271476406343</v>
      </c>
      <c r="Q141" s="143">
        <f t="shared" ref="Q141:Q172" si="25">Q$107*Q37</f>
        <v>0</v>
      </c>
      <c r="AD141" s="113"/>
      <c r="AK141" s="26"/>
    </row>
    <row r="142" spans="3:37" x14ac:dyDescent="0.25">
      <c r="C142" s="26" t="str" cm="1">
        <f t="array" ref="C142">INDEX('List Values'!$B$2:$B$17,(1+ROUNDDOWN((ROW()-ROW($C$109))*1/6,2)))</f>
        <v>Non-PVC Materials Manufacturing (Compounding and Converting)</v>
      </c>
      <c r="D142" s="513" t="s">
        <v>72</v>
      </c>
      <c r="E142" s="513" t="s">
        <v>91</v>
      </c>
      <c r="F142" s="535">
        <f t="shared" si="20"/>
        <v>53.179195804195814</v>
      </c>
      <c r="G142" s="535">
        <f t="shared" si="20"/>
        <v>72.517085187539749</v>
      </c>
      <c r="H142" s="535">
        <f t="shared" si="20"/>
        <v>77.641625874125893</v>
      </c>
      <c r="I142" s="536">
        <f t="shared" si="23"/>
        <v>0</v>
      </c>
      <c r="J142" s="537">
        <f t="shared" si="21"/>
        <v>1.7963326030253934</v>
      </c>
      <c r="K142" s="537">
        <f t="shared" si="21"/>
        <v>2.4495444586709909</v>
      </c>
      <c r="L142" s="537">
        <f t="shared" si="21"/>
        <v>2.6226456004170742</v>
      </c>
      <c r="M142" s="538">
        <f t="shared" si="24"/>
        <v>0</v>
      </c>
      <c r="N142" s="538">
        <f t="shared" si="22"/>
        <v>1.7376371995580548</v>
      </c>
      <c r="O142" s="538">
        <f t="shared" si="22"/>
        <v>2.3695052721246204</v>
      </c>
      <c r="P142" s="538">
        <f t="shared" si="22"/>
        <v>2.5369503113547602</v>
      </c>
      <c r="Q142" s="143">
        <f t="shared" si="25"/>
        <v>0</v>
      </c>
      <c r="AD142" s="113"/>
      <c r="AK142" s="26"/>
    </row>
    <row r="143" spans="3:37" ht="13.5" thickBot="1" x14ac:dyDescent="0.3">
      <c r="C143" s="26" t="str" cm="1">
        <f t="array" ref="C143">INDEX('List Values'!$B$2:$B$17,(1+ROUNDDOWN((ROW()-ROW($C$109))*1/6,2)))</f>
        <v>Non-PVC Materials Manufacturing (Compounding and Converting)</v>
      </c>
      <c r="D143" s="513" t="s">
        <v>92</v>
      </c>
      <c r="E143" s="514" t="s">
        <v>90</v>
      </c>
      <c r="F143" s="535">
        <f t="shared" si="20"/>
        <v>58.741258741258747</v>
      </c>
      <c r="G143" s="535">
        <f t="shared" si="20"/>
        <v>80.101716465352837</v>
      </c>
      <c r="H143" s="535">
        <f t="shared" si="20"/>
        <v>85.76223776223776</v>
      </c>
      <c r="I143" s="536">
        <f t="shared" si="23"/>
        <v>0</v>
      </c>
      <c r="J143" s="535">
        <f t="shared" si="21"/>
        <v>123.94221132385412</v>
      </c>
      <c r="K143" s="535">
        <f t="shared" si="21"/>
        <v>169.01210635071018</v>
      </c>
      <c r="L143" s="535">
        <f t="shared" si="21"/>
        <v>180.95562853282706</v>
      </c>
      <c r="M143" s="536">
        <f t="shared" si="24"/>
        <v>0</v>
      </c>
      <c r="N143" s="536">
        <f t="shared" si="22"/>
        <v>39.853203476720303</v>
      </c>
      <c r="O143" s="536">
        <f t="shared" si="22"/>
        <v>54.345277468254956</v>
      </c>
      <c r="P143" s="536">
        <f t="shared" si="22"/>
        <v>58.185677076011629</v>
      </c>
      <c r="Q143" s="143">
        <f t="shared" si="25"/>
        <v>0</v>
      </c>
      <c r="AD143" s="113"/>
      <c r="AK143" s="26"/>
    </row>
    <row r="144" spans="3:37" ht="13.5" thickBot="1" x14ac:dyDescent="0.3">
      <c r="C144" s="26" t="str" cm="1">
        <f t="array" ref="C144">INDEX('List Values'!$B$2:$B$17,(1+ROUNDDOWN((ROW()-ROW($C$109))*1/6,2)))</f>
        <v>Non-PVC Materials Manufacturing (Compounding and Converting)</v>
      </c>
      <c r="D144" s="513" t="s">
        <v>92</v>
      </c>
      <c r="E144" s="513" t="s">
        <v>91</v>
      </c>
      <c r="F144" s="535">
        <f t="shared" si="20"/>
        <v>58.741258741258747</v>
      </c>
      <c r="G144" s="535">
        <f t="shared" si="20"/>
        <v>80.101716465352837</v>
      </c>
      <c r="H144" s="535">
        <f t="shared" si="20"/>
        <v>85.76223776223776</v>
      </c>
      <c r="I144" s="536">
        <f t="shared" si="23"/>
        <v>0</v>
      </c>
      <c r="J144" s="535">
        <f t="shared" si="21"/>
        <v>123.94221132385412</v>
      </c>
      <c r="K144" s="535">
        <f t="shared" si="21"/>
        <v>169.01210635071018</v>
      </c>
      <c r="L144" s="535">
        <f t="shared" si="21"/>
        <v>180.95562853282703</v>
      </c>
      <c r="M144" s="536">
        <f t="shared" si="24"/>
        <v>0</v>
      </c>
      <c r="N144" s="536">
        <f t="shared" si="22"/>
        <v>39.853203476720303</v>
      </c>
      <c r="O144" s="536">
        <f t="shared" si="22"/>
        <v>54.345277468254956</v>
      </c>
      <c r="P144" s="536">
        <f t="shared" si="22"/>
        <v>58.185677076011629</v>
      </c>
      <c r="Q144" s="143">
        <f t="shared" si="25"/>
        <v>0</v>
      </c>
      <c r="AD144" s="113"/>
      <c r="AK144" s="26"/>
    </row>
    <row r="145" spans="3:37" x14ac:dyDescent="0.25">
      <c r="C145" s="26" t="str" cm="1">
        <f t="array" ref="C145">INDEX('List Values'!$B$2:$B$17,(1+ROUNDDOWN((ROW()-ROW($C$109))*1/6,2)))</f>
        <v>Application of Adhesives and Sealants</v>
      </c>
      <c r="D145" s="513" t="s">
        <v>197</v>
      </c>
      <c r="E145" s="514" t="s">
        <v>90</v>
      </c>
      <c r="F145" s="535">
        <f t="shared" si="20"/>
        <v>168</v>
      </c>
      <c r="G145" s="535">
        <f t="shared" si="20"/>
        <v>229.09090909090909</v>
      </c>
      <c r="H145" s="535">
        <f t="shared" si="20"/>
        <v>245.28000000000003</v>
      </c>
      <c r="I145" s="536">
        <f t="shared" si="23"/>
        <v>0</v>
      </c>
      <c r="J145" s="541">
        <f t="shared" si="21"/>
        <v>0.83663949801630133</v>
      </c>
      <c r="K145" s="541">
        <f t="shared" si="21"/>
        <v>1.1408720427495018</v>
      </c>
      <c r="L145" s="541">
        <f t="shared" si="21"/>
        <v>1.2214936671037999</v>
      </c>
      <c r="M145" s="542">
        <f t="shared" si="24"/>
        <v>0</v>
      </c>
      <c r="N145" s="542">
        <f t="shared" si="22"/>
        <v>0.83249368196759221</v>
      </c>
      <c r="O145" s="542">
        <f t="shared" si="22"/>
        <v>1.135218657228535</v>
      </c>
      <c r="P145" s="542">
        <f t="shared" si="22"/>
        <v>1.2154407756726848</v>
      </c>
      <c r="Q145" s="143">
        <f t="shared" si="25"/>
        <v>0</v>
      </c>
      <c r="AD145" s="113"/>
      <c r="AK145" s="26"/>
    </row>
    <row r="146" spans="3:37" x14ac:dyDescent="0.25">
      <c r="C146" s="26" t="str" cm="1">
        <f t="array" ref="C146">INDEX('List Values'!$B$2:$B$17,(1+ROUNDDOWN((ROW()-ROW($C$109))*1/6,2)))</f>
        <v>Application of Adhesives and Sealants</v>
      </c>
      <c r="D146" s="513" t="s">
        <v>197</v>
      </c>
      <c r="E146" s="513" t="s">
        <v>91</v>
      </c>
      <c r="F146" s="535">
        <f t="shared" si="20"/>
        <v>336</v>
      </c>
      <c r="G146" s="535">
        <f t="shared" si="20"/>
        <v>458.18181818181819</v>
      </c>
      <c r="H146" s="535">
        <f t="shared" si="20"/>
        <v>528.62068965517244</v>
      </c>
      <c r="I146" s="536">
        <f t="shared" si="23"/>
        <v>0</v>
      </c>
      <c r="J146" s="541">
        <f t="shared" si="21"/>
        <v>1.6732789960326027</v>
      </c>
      <c r="K146" s="541">
        <f t="shared" si="21"/>
        <v>2.2817440854990036</v>
      </c>
      <c r="L146" s="541">
        <f t="shared" si="21"/>
        <v>2.6325294549650859</v>
      </c>
      <c r="M146" s="542">
        <f t="shared" si="24"/>
        <v>0</v>
      </c>
      <c r="N146" s="542">
        <f t="shared" si="22"/>
        <v>1.6649873639351844</v>
      </c>
      <c r="O146" s="542">
        <f t="shared" si="22"/>
        <v>2.27043731445707</v>
      </c>
      <c r="P146" s="542">
        <f t="shared" si="22"/>
        <v>2.6194844303290621</v>
      </c>
      <c r="Q146" s="143">
        <f t="shared" si="25"/>
        <v>0</v>
      </c>
      <c r="AD146" s="113"/>
      <c r="AK146" s="26"/>
    </row>
    <row r="147" spans="3:37" x14ac:dyDescent="0.25">
      <c r="C147" s="26" t="str" cm="1">
        <f t="array" ref="C147">INDEX('List Values'!$B$2:$B$17,(1+ROUNDDOWN((ROW()-ROW($C$109))*1/6,2)))</f>
        <v>Application of Adhesives and Sealants</v>
      </c>
      <c r="D147" s="513" t="s">
        <v>72</v>
      </c>
      <c r="E147" s="514" t="s">
        <v>90</v>
      </c>
      <c r="F147" s="535">
        <f t="shared" si="20"/>
        <v>152.09250000000003</v>
      </c>
      <c r="G147" s="535">
        <f t="shared" si="20"/>
        <v>207.3988636363637</v>
      </c>
      <c r="H147" s="535">
        <f t="shared" si="20"/>
        <v>222.05505000000002</v>
      </c>
      <c r="I147" s="536">
        <f t="shared" si="23"/>
        <v>0</v>
      </c>
      <c r="J147" s="541">
        <f t="shared" si="21"/>
        <v>0.91029197517312976</v>
      </c>
      <c r="K147" s="541">
        <f t="shared" si="21"/>
        <v>1.2413072388724498</v>
      </c>
      <c r="L147" s="541">
        <f t="shared" si="21"/>
        <v>1.3290262837527695</v>
      </c>
      <c r="M147" s="542">
        <f t="shared" si="24"/>
        <v>0</v>
      </c>
      <c r="N147" s="542">
        <f t="shared" si="22"/>
        <v>0.90487618197506148</v>
      </c>
      <c r="O147" s="542">
        <f t="shared" si="22"/>
        <v>1.2339220663296293</v>
      </c>
      <c r="P147" s="542">
        <f t="shared" si="22"/>
        <v>1.32111922568359</v>
      </c>
      <c r="Q147" s="143">
        <f t="shared" si="25"/>
        <v>0</v>
      </c>
      <c r="AD147" s="113"/>
      <c r="AK147" s="26"/>
    </row>
    <row r="148" spans="3:37" x14ac:dyDescent="0.25">
      <c r="C148" s="26" t="str" cm="1">
        <f t="array" ref="C148">INDEX('List Values'!$B$2:$B$17,(1+ROUNDDOWN((ROW()-ROW($C$109))*1/6,2)))</f>
        <v>Application of Adhesives and Sealants</v>
      </c>
      <c r="D148" s="513" t="s">
        <v>72</v>
      </c>
      <c r="E148" s="513" t="s">
        <v>91</v>
      </c>
      <c r="F148" s="535">
        <f t="shared" si="20"/>
        <v>304.18500000000006</v>
      </c>
      <c r="G148" s="535">
        <f t="shared" si="20"/>
        <v>414.7977272727274</v>
      </c>
      <c r="H148" s="535">
        <f t="shared" si="20"/>
        <v>478.56691810344842</v>
      </c>
      <c r="I148" s="536">
        <f t="shared" si="23"/>
        <v>0</v>
      </c>
      <c r="J148" s="541">
        <f t="shared" si="21"/>
        <v>1.8205839503462595</v>
      </c>
      <c r="K148" s="541">
        <f t="shared" si="21"/>
        <v>2.4826144777448995</v>
      </c>
      <c r="L148" s="541">
        <f t="shared" si="21"/>
        <v>2.8642807839499342</v>
      </c>
      <c r="M148" s="542">
        <f t="shared" si="24"/>
        <v>0</v>
      </c>
      <c r="N148" s="542">
        <f t="shared" si="22"/>
        <v>1.809752363950123</v>
      </c>
      <c r="O148" s="542">
        <f t="shared" si="22"/>
        <v>2.4678441326592586</v>
      </c>
      <c r="P148" s="542">
        <f t="shared" si="22"/>
        <v>2.8472397105249776</v>
      </c>
      <c r="Q148" s="143">
        <f t="shared" si="25"/>
        <v>0</v>
      </c>
      <c r="AD148" s="113"/>
      <c r="AK148" s="26"/>
    </row>
    <row r="149" spans="3:37" x14ac:dyDescent="0.25">
      <c r="C149" s="26" t="str" cm="1">
        <f t="array" ref="C149">INDEX('List Values'!$B$2:$B$17,(1+ROUNDDOWN((ROW()-ROW($C$109))*1/6,2)))</f>
        <v>Application of Adhesives and Sealants</v>
      </c>
      <c r="D149" s="513" t="s">
        <v>92</v>
      </c>
      <c r="E149" s="514" t="s">
        <v>90</v>
      </c>
      <c r="F149" s="535">
        <f t="shared" ref="F149:H168" si="26">F$107/F45</f>
        <v>336</v>
      </c>
      <c r="G149" s="535">
        <f t="shared" si="26"/>
        <v>458.18181818181819</v>
      </c>
      <c r="H149" s="535">
        <f t="shared" si="26"/>
        <v>490.56000000000006</v>
      </c>
      <c r="I149" s="536">
        <f t="shared" si="23"/>
        <v>0</v>
      </c>
      <c r="J149" s="541">
        <f t="shared" ref="J149:L168" si="27">IFERROR(J$107/J45,"")</f>
        <v>1.6732789960326027</v>
      </c>
      <c r="K149" s="541">
        <f t="shared" si="27"/>
        <v>2.2817440854990036</v>
      </c>
      <c r="L149" s="541">
        <f t="shared" si="27"/>
        <v>2.4429873342075998</v>
      </c>
      <c r="M149" s="542">
        <f t="shared" si="24"/>
        <v>0</v>
      </c>
      <c r="N149" s="542">
        <f t="shared" ref="N149:P168" si="28">N$107/N45</f>
        <v>1.6649873639351844</v>
      </c>
      <c r="O149" s="542">
        <f t="shared" si="28"/>
        <v>2.27043731445707</v>
      </c>
      <c r="P149" s="542">
        <f t="shared" si="28"/>
        <v>2.4308815513453697</v>
      </c>
      <c r="Q149" s="143">
        <f t="shared" si="25"/>
        <v>0</v>
      </c>
      <c r="AD149" s="113"/>
      <c r="AK149" s="26"/>
    </row>
    <row r="150" spans="3:37" x14ac:dyDescent="0.25">
      <c r="C150" s="26" t="str" cm="1">
        <f t="array" ref="C150">INDEX('List Values'!$B$2:$B$17,(1+ROUNDDOWN((ROW()-ROW($C$109))*1/6,2)))</f>
        <v>Application of Adhesives and Sealants</v>
      </c>
      <c r="D150" s="513" t="s">
        <v>92</v>
      </c>
      <c r="E150" s="513" t="s">
        <v>91</v>
      </c>
      <c r="F150" s="535">
        <f t="shared" si="26"/>
        <v>336</v>
      </c>
      <c r="G150" s="535">
        <f t="shared" si="26"/>
        <v>458.18181818181819</v>
      </c>
      <c r="H150" s="535">
        <f t="shared" si="26"/>
        <v>528.62068965517244</v>
      </c>
      <c r="I150" s="536">
        <f t="shared" si="23"/>
        <v>0</v>
      </c>
      <c r="J150" s="541">
        <f t="shared" si="27"/>
        <v>1.6732789960326027</v>
      </c>
      <c r="K150" s="541">
        <f t="shared" si="27"/>
        <v>2.2817440854990036</v>
      </c>
      <c r="L150" s="541">
        <f t="shared" si="27"/>
        <v>2.6325294549650859</v>
      </c>
      <c r="M150" s="542">
        <f t="shared" si="24"/>
        <v>0</v>
      </c>
      <c r="N150" s="542">
        <f t="shared" si="28"/>
        <v>1.6649873639351844</v>
      </c>
      <c r="O150" s="542">
        <f t="shared" si="28"/>
        <v>2.27043731445707</v>
      </c>
      <c r="P150" s="542">
        <f t="shared" si="28"/>
        <v>2.6194844303290621</v>
      </c>
      <c r="Q150" s="143">
        <f t="shared" si="25"/>
        <v>0</v>
      </c>
      <c r="AD150" s="113"/>
      <c r="AK150" s="26"/>
    </row>
    <row r="151" spans="3:37" x14ac:dyDescent="0.25">
      <c r="C151" s="26" t="str" cm="1">
        <f t="array" ref="C151">INDEX('List Values'!$B$2:$B$17,(1+ROUNDDOWN((ROW()-ROW($C$109))*1/6,2)))</f>
        <v>Application of Paints and Coatings</v>
      </c>
      <c r="D151" s="513" t="s">
        <v>197</v>
      </c>
      <c r="E151" s="514" t="s">
        <v>90</v>
      </c>
      <c r="F151" s="539">
        <f t="shared" si="26"/>
        <v>3.2036613272311221</v>
      </c>
      <c r="G151" s="539">
        <f t="shared" si="26"/>
        <v>4.3686290825878933</v>
      </c>
      <c r="H151" s="539">
        <f t="shared" si="26"/>
        <v>4.6773455377574384</v>
      </c>
      <c r="I151" s="536">
        <f t="shared" si="23"/>
        <v>0</v>
      </c>
      <c r="J151" s="541">
        <f t="shared" si="27"/>
        <v>0.83663949801630133</v>
      </c>
      <c r="K151" s="541">
        <f t="shared" si="27"/>
        <v>1.1408720427495018</v>
      </c>
      <c r="L151" s="541">
        <f t="shared" si="27"/>
        <v>1.2214936671037999</v>
      </c>
      <c r="M151" s="542">
        <f t="shared" si="24"/>
        <v>0</v>
      </c>
      <c r="N151" s="542">
        <f t="shared" si="28"/>
        <v>0.66339357403288013</v>
      </c>
      <c r="O151" s="542">
        <f t="shared" si="28"/>
        <v>0.90462760095392747</v>
      </c>
      <c r="P151" s="542">
        <f t="shared" si="28"/>
        <v>0.96855461808800514</v>
      </c>
      <c r="Q151" s="143">
        <f t="shared" si="25"/>
        <v>0</v>
      </c>
      <c r="AD151" s="113"/>
      <c r="AK151" s="26"/>
    </row>
    <row r="152" spans="3:37" x14ac:dyDescent="0.25">
      <c r="C152" s="26" t="str" cm="1">
        <f t="array" ref="C152">INDEX('List Values'!$B$2:$B$17,(1+ROUNDDOWN((ROW()-ROW($C$109))*1/6,2)))</f>
        <v>Application of Paints and Coatings</v>
      </c>
      <c r="D152" s="513" t="s">
        <v>197</v>
      </c>
      <c r="E152" s="513" t="s">
        <v>91</v>
      </c>
      <c r="F152" s="535">
        <f t="shared" si="26"/>
        <v>20.363636363636367</v>
      </c>
      <c r="G152" s="535">
        <f t="shared" si="26"/>
        <v>27.768595041322317</v>
      </c>
      <c r="H152" s="535">
        <f t="shared" si="26"/>
        <v>29.730909090909091</v>
      </c>
      <c r="I152" s="536">
        <f t="shared" si="23"/>
        <v>0</v>
      </c>
      <c r="J152" s="541">
        <f t="shared" si="27"/>
        <v>1.6732789960326027</v>
      </c>
      <c r="K152" s="541">
        <f t="shared" si="27"/>
        <v>2.2817440854990036</v>
      </c>
      <c r="L152" s="541">
        <f t="shared" si="27"/>
        <v>2.4429873342075998</v>
      </c>
      <c r="M152" s="542">
        <f t="shared" si="24"/>
        <v>0</v>
      </c>
      <c r="N152" s="542">
        <f t="shared" si="28"/>
        <v>1.5462257060023625</v>
      </c>
      <c r="O152" s="542">
        <f t="shared" si="28"/>
        <v>2.1084895990941308</v>
      </c>
      <c r="P152" s="542">
        <f t="shared" si="28"/>
        <v>2.2574895307634493</v>
      </c>
      <c r="Q152" s="143">
        <f t="shared" si="25"/>
        <v>0</v>
      </c>
      <c r="AD152" s="113"/>
      <c r="AK152" s="26"/>
    </row>
    <row r="153" spans="3:37" x14ac:dyDescent="0.25">
      <c r="C153" s="26" t="str" cm="1">
        <f t="array" ref="C153">INDEX('List Values'!$B$2:$B$17,(1+ROUNDDOWN((ROW()-ROW($C$109))*1/6,2)))</f>
        <v>Application of Paints and Coatings</v>
      </c>
      <c r="D153" s="513" t="s">
        <v>72</v>
      </c>
      <c r="E153" s="514" t="s">
        <v>90</v>
      </c>
      <c r="F153" s="539">
        <f t="shared" si="26"/>
        <v>2.9003146453089257</v>
      </c>
      <c r="G153" s="539">
        <f t="shared" si="26"/>
        <v>3.9549745163303527</v>
      </c>
      <c r="H153" s="539">
        <f t="shared" si="26"/>
        <v>4.2344593821510319</v>
      </c>
      <c r="I153" s="536">
        <f t="shared" si="23"/>
        <v>0</v>
      </c>
      <c r="J153" s="541">
        <f t="shared" si="27"/>
        <v>0.91029197517312976</v>
      </c>
      <c r="K153" s="541">
        <f t="shared" si="27"/>
        <v>1.2413072388724498</v>
      </c>
      <c r="L153" s="541">
        <f t="shared" si="27"/>
        <v>1.3290262837527695</v>
      </c>
      <c r="M153" s="542">
        <f t="shared" si="24"/>
        <v>0</v>
      </c>
      <c r="N153" s="542">
        <f t="shared" si="28"/>
        <v>0.69283802030654917</v>
      </c>
      <c r="O153" s="542">
        <f t="shared" si="28"/>
        <v>0.94477911859983987</v>
      </c>
      <c r="P153" s="542">
        <f t="shared" si="28"/>
        <v>1.0115435096475618</v>
      </c>
      <c r="Q153" s="143">
        <f t="shared" si="25"/>
        <v>0</v>
      </c>
      <c r="AD153" s="113"/>
      <c r="AK153" s="26"/>
    </row>
    <row r="154" spans="3:37" x14ac:dyDescent="0.25">
      <c r="C154" s="26" t="str" cm="1">
        <f t="array" ref="C154">INDEX('List Values'!$B$2:$B$17,(1+ROUNDDOWN((ROW()-ROW($C$109))*1/6,2)))</f>
        <v>Application of Paints and Coatings</v>
      </c>
      <c r="D154" s="513" t="s">
        <v>72</v>
      </c>
      <c r="E154" s="513" t="s">
        <v>91</v>
      </c>
      <c r="F154" s="535">
        <f t="shared" si="26"/>
        <v>18.435454545454551</v>
      </c>
      <c r="G154" s="535">
        <f t="shared" si="26"/>
        <v>25.139256198347113</v>
      </c>
      <c r="H154" s="535">
        <f t="shared" si="26"/>
        <v>26.915763636363643</v>
      </c>
      <c r="I154" s="536">
        <f t="shared" si="23"/>
        <v>0</v>
      </c>
      <c r="J154" s="541">
        <f t="shared" si="27"/>
        <v>1.8205839503462595</v>
      </c>
      <c r="K154" s="541">
        <f t="shared" si="27"/>
        <v>2.4826144777448995</v>
      </c>
      <c r="L154" s="541">
        <f t="shared" si="27"/>
        <v>2.6580525675055391</v>
      </c>
      <c r="M154" s="542">
        <f t="shared" si="24"/>
        <v>0</v>
      </c>
      <c r="N154" s="542">
        <f t="shared" si="28"/>
        <v>1.656952452462529</v>
      </c>
      <c r="O154" s="542">
        <f t="shared" si="28"/>
        <v>2.2594806169943582</v>
      </c>
      <c r="P154" s="542">
        <f t="shared" si="28"/>
        <v>2.4191505805952929</v>
      </c>
      <c r="Q154" s="143">
        <f t="shared" si="25"/>
        <v>0</v>
      </c>
      <c r="AD154" s="113"/>
      <c r="AK154" s="26"/>
    </row>
    <row r="155" spans="3:37" x14ac:dyDescent="0.25">
      <c r="C155" s="26" t="str" cm="1">
        <f t="array" ref="C155">INDEX('List Values'!$B$2:$B$17,(1+ROUNDDOWN((ROW()-ROW($C$109))*1/6,2)))</f>
        <v>Application of Paints and Coatings</v>
      </c>
      <c r="D155" s="513" t="s">
        <v>92</v>
      </c>
      <c r="E155" s="514" t="s">
        <v>90</v>
      </c>
      <c r="F155" s="535">
        <f t="shared" si="26"/>
        <v>20.363636363636367</v>
      </c>
      <c r="G155" s="535">
        <f t="shared" si="26"/>
        <v>27.768595041322317</v>
      </c>
      <c r="H155" s="535">
        <f t="shared" si="26"/>
        <v>29.730909090909091</v>
      </c>
      <c r="I155" s="536">
        <f t="shared" si="23"/>
        <v>0</v>
      </c>
      <c r="J155" s="541">
        <f t="shared" si="27"/>
        <v>2.2429906542056077</v>
      </c>
      <c r="K155" s="541">
        <f t="shared" si="27"/>
        <v>3.058623619371283</v>
      </c>
      <c r="L155" s="541">
        <f t="shared" si="27"/>
        <v>3.2747663551401871</v>
      </c>
      <c r="M155" s="542">
        <f t="shared" si="24"/>
        <v>0</v>
      </c>
      <c r="N155" s="542">
        <f t="shared" si="28"/>
        <v>2.0204449789536985</v>
      </c>
      <c r="O155" s="542">
        <f t="shared" si="28"/>
        <v>2.7551522440277703</v>
      </c>
      <c r="P155" s="542">
        <f t="shared" si="28"/>
        <v>2.9498496692723997</v>
      </c>
      <c r="Q155" s="143">
        <f t="shared" si="25"/>
        <v>0</v>
      </c>
      <c r="AD155" s="113"/>
      <c r="AK155" s="26"/>
    </row>
    <row r="156" spans="3:37" x14ac:dyDescent="0.25">
      <c r="C156" s="26" t="str" cm="1">
        <f t="array" ref="C156">INDEX('List Values'!$B$2:$B$17,(1+ROUNDDOWN((ROW()-ROW($C$109))*1/6,2)))</f>
        <v>Application of Paints and Coatings</v>
      </c>
      <c r="D156" s="513" t="s">
        <v>92</v>
      </c>
      <c r="E156" s="513" t="s">
        <v>91</v>
      </c>
      <c r="F156" s="535">
        <f t="shared" si="26"/>
        <v>20.363636363636367</v>
      </c>
      <c r="G156" s="535">
        <f t="shared" si="26"/>
        <v>27.768595041322317</v>
      </c>
      <c r="H156" s="535">
        <f t="shared" si="26"/>
        <v>29.730909090909091</v>
      </c>
      <c r="I156" s="536">
        <f t="shared" si="23"/>
        <v>0</v>
      </c>
      <c r="J156" s="541">
        <f t="shared" si="27"/>
        <v>2.2429906542056077</v>
      </c>
      <c r="K156" s="541">
        <f t="shared" si="27"/>
        <v>3.058623619371283</v>
      </c>
      <c r="L156" s="541">
        <f t="shared" si="27"/>
        <v>3.2747663551401871</v>
      </c>
      <c r="M156" s="542">
        <f t="shared" si="24"/>
        <v>0</v>
      </c>
      <c r="N156" s="542">
        <f t="shared" si="28"/>
        <v>2.0204449789536985</v>
      </c>
      <c r="O156" s="542">
        <f t="shared" si="28"/>
        <v>2.7551522440277703</v>
      </c>
      <c r="P156" s="542">
        <f t="shared" si="28"/>
        <v>2.9498496692723997</v>
      </c>
      <c r="Q156" s="143">
        <f t="shared" si="25"/>
        <v>0</v>
      </c>
      <c r="AD156" s="113"/>
      <c r="AK156" s="26"/>
    </row>
    <row r="157" spans="3:37" x14ac:dyDescent="0.25">
      <c r="C157" s="26" t="str" cm="1">
        <f t="array" ref="C157">INDEX('List Values'!$B$2:$B$17,(1+ROUNDDOWN((ROW()-ROW($C$109))*1/6,2)))</f>
        <v>Use of Industrial Process Solvents</v>
      </c>
      <c r="D157" s="513" t="s">
        <v>197</v>
      </c>
      <c r="E157" s="514" t="s">
        <v>90</v>
      </c>
      <c r="F157" s="535">
        <f t="shared" si="26"/>
        <v>16.8</v>
      </c>
      <c r="G157" s="535">
        <f t="shared" si="26"/>
        <v>22.90909090909091</v>
      </c>
      <c r="H157" s="535">
        <f t="shared" si="26"/>
        <v>24.528000000000002</v>
      </c>
      <c r="I157" s="536">
        <f t="shared" si="23"/>
        <v>0</v>
      </c>
      <c r="J157" s="541">
        <f t="shared" si="27"/>
        <v>0.83663949801630133</v>
      </c>
      <c r="K157" s="541">
        <f t="shared" si="27"/>
        <v>1.1408720427495018</v>
      </c>
      <c r="L157" s="541">
        <f t="shared" si="27"/>
        <v>1.2214936671037999</v>
      </c>
      <c r="M157" s="542">
        <f t="shared" si="24"/>
        <v>0</v>
      </c>
      <c r="N157" s="542">
        <f t="shared" si="28"/>
        <v>0.79695134485539454</v>
      </c>
      <c r="O157" s="542">
        <f t="shared" si="28"/>
        <v>1.0867518338937199</v>
      </c>
      <c r="P157" s="542">
        <f t="shared" si="28"/>
        <v>1.163548963488876</v>
      </c>
      <c r="Q157" s="143">
        <f t="shared" si="25"/>
        <v>0</v>
      </c>
      <c r="AD157" s="113"/>
      <c r="AK157" s="26"/>
    </row>
    <row r="158" spans="3:37" x14ac:dyDescent="0.25">
      <c r="C158" s="26" t="str" cm="1">
        <f t="array" ref="C158">INDEX('List Values'!$B$2:$B$17,(1+ROUNDDOWN((ROW()-ROW($C$109))*1/6,2)))</f>
        <v>Use of Industrial Process Solvents</v>
      </c>
      <c r="D158" s="513" t="s">
        <v>197</v>
      </c>
      <c r="E158" s="513" t="s">
        <v>91</v>
      </c>
      <c r="F158" s="535">
        <f t="shared" si="26"/>
        <v>33.6</v>
      </c>
      <c r="G158" s="535">
        <f t="shared" si="26"/>
        <v>45.81818181818182</v>
      </c>
      <c r="H158" s="535">
        <f t="shared" si="26"/>
        <v>49.056000000000004</v>
      </c>
      <c r="I158" s="536">
        <f t="shared" si="23"/>
        <v>0</v>
      </c>
      <c r="J158" s="541">
        <f t="shared" si="27"/>
        <v>1.6732789960326027</v>
      </c>
      <c r="K158" s="541">
        <f t="shared" si="27"/>
        <v>2.2817440854990036</v>
      </c>
      <c r="L158" s="541">
        <f t="shared" si="27"/>
        <v>2.4429873342075998</v>
      </c>
      <c r="M158" s="542">
        <f t="shared" si="24"/>
        <v>0</v>
      </c>
      <c r="N158" s="542">
        <f t="shared" si="28"/>
        <v>1.5939026897107891</v>
      </c>
      <c r="O158" s="542">
        <f t="shared" si="28"/>
        <v>2.1735036677874398</v>
      </c>
      <c r="P158" s="542">
        <f t="shared" si="28"/>
        <v>2.3270979269777521</v>
      </c>
      <c r="Q158" s="143">
        <f t="shared" si="25"/>
        <v>0</v>
      </c>
      <c r="AD158" s="113"/>
      <c r="AK158" s="26"/>
    </row>
    <row r="159" spans="3:37" x14ac:dyDescent="0.25">
      <c r="C159" s="26" t="str" cm="1">
        <f t="array" ref="C159">INDEX('List Values'!$B$2:$B$17,(1+ROUNDDOWN((ROW()-ROW($C$109))*1/6,2)))</f>
        <v>Use of Industrial Process Solvents</v>
      </c>
      <c r="D159" s="513" t="s">
        <v>72</v>
      </c>
      <c r="E159" s="514" t="s">
        <v>90</v>
      </c>
      <c r="F159" s="535">
        <f t="shared" si="26"/>
        <v>15.209250000000003</v>
      </c>
      <c r="G159" s="535">
        <f t="shared" si="26"/>
        <v>20.739886363636366</v>
      </c>
      <c r="H159" s="535">
        <f t="shared" si="26"/>
        <v>22.205505000000002</v>
      </c>
      <c r="I159" s="536">
        <f t="shared" si="23"/>
        <v>0</v>
      </c>
      <c r="J159" s="541">
        <f t="shared" si="27"/>
        <v>0.91029197517312976</v>
      </c>
      <c r="K159" s="541">
        <f t="shared" si="27"/>
        <v>1.2413072388724498</v>
      </c>
      <c r="L159" s="541">
        <f t="shared" si="27"/>
        <v>1.3290262837527695</v>
      </c>
      <c r="M159" s="542">
        <f t="shared" si="24"/>
        <v>0</v>
      </c>
      <c r="N159" s="542">
        <f t="shared" si="28"/>
        <v>0.85888657659909884</v>
      </c>
      <c r="O159" s="542">
        <f t="shared" si="28"/>
        <v>1.17120896808968</v>
      </c>
      <c r="P159" s="542">
        <f t="shared" si="28"/>
        <v>1.2539744018346841</v>
      </c>
      <c r="Q159" s="143">
        <f t="shared" si="25"/>
        <v>0</v>
      </c>
      <c r="AD159" s="113"/>
      <c r="AK159" s="26"/>
    </row>
    <row r="160" spans="3:37" x14ac:dyDescent="0.25">
      <c r="C160" s="26" t="str" cm="1">
        <f t="array" ref="C160">INDEX('List Values'!$B$2:$B$17,(1+ROUNDDOWN((ROW()-ROW($C$109))*1/6,2)))</f>
        <v>Use of Industrial Process Solvents</v>
      </c>
      <c r="D160" s="513" t="s">
        <v>72</v>
      </c>
      <c r="E160" s="513" t="s">
        <v>91</v>
      </c>
      <c r="F160" s="535">
        <f t="shared" si="26"/>
        <v>30.418500000000005</v>
      </c>
      <c r="G160" s="535">
        <f t="shared" si="26"/>
        <v>41.479772727272731</v>
      </c>
      <c r="H160" s="535">
        <f t="shared" si="26"/>
        <v>44.411010000000005</v>
      </c>
      <c r="I160" s="536">
        <f t="shared" si="23"/>
        <v>0</v>
      </c>
      <c r="J160" s="541">
        <f t="shared" si="27"/>
        <v>1.8205839503462595</v>
      </c>
      <c r="K160" s="541">
        <f t="shared" si="27"/>
        <v>2.4826144777448995</v>
      </c>
      <c r="L160" s="541">
        <f t="shared" si="27"/>
        <v>2.6580525675055391</v>
      </c>
      <c r="M160" s="542">
        <f t="shared" si="24"/>
        <v>0</v>
      </c>
      <c r="N160" s="542">
        <f t="shared" si="28"/>
        <v>1.7177731531981977</v>
      </c>
      <c r="O160" s="542">
        <f t="shared" si="28"/>
        <v>2.34241793617936</v>
      </c>
      <c r="P160" s="542">
        <f t="shared" si="28"/>
        <v>2.5079488036693682</v>
      </c>
      <c r="Q160" s="143">
        <f t="shared" si="25"/>
        <v>0</v>
      </c>
      <c r="AD160" s="113"/>
      <c r="AK160" s="26"/>
    </row>
    <row r="161" spans="3:37" ht="13.5" thickBot="1" x14ac:dyDescent="0.3">
      <c r="C161" s="26" t="str" cm="1">
        <f t="array" ref="C161">INDEX('List Values'!$B$2:$B$17,(1+ROUNDDOWN((ROW()-ROW($C$109))*1/6,2)))</f>
        <v>Use of Industrial Process Solvents</v>
      </c>
      <c r="D161" s="513" t="s">
        <v>92</v>
      </c>
      <c r="E161" s="514" t="s">
        <v>90</v>
      </c>
      <c r="F161" s="535">
        <f t="shared" si="26"/>
        <v>33.6</v>
      </c>
      <c r="G161" s="535">
        <f t="shared" si="26"/>
        <v>45.81818181818182</v>
      </c>
      <c r="H161" s="535">
        <f t="shared" si="26"/>
        <v>49.056000000000004</v>
      </c>
      <c r="I161" s="536">
        <f t="shared" si="23"/>
        <v>0</v>
      </c>
      <c r="J161" s="535" t="str">
        <f t="shared" si="27"/>
        <v/>
      </c>
      <c r="K161" s="535" t="str">
        <f t="shared" si="27"/>
        <v/>
      </c>
      <c r="L161" s="535" t="str">
        <f t="shared" si="27"/>
        <v/>
      </c>
      <c r="M161" s="536">
        <f t="shared" si="24"/>
        <v>0</v>
      </c>
      <c r="N161" s="536">
        <f t="shared" si="28"/>
        <v>33.6</v>
      </c>
      <c r="O161" s="536">
        <f t="shared" si="28"/>
        <v>45.81818181818182</v>
      </c>
      <c r="P161" s="536">
        <f t="shared" si="28"/>
        <v>49.056000000000004</v>
      </c>
      <c r="Q161" s="143">
        <f t="shared" si="25"/>
        <v>0</v>
      </c>
      <c r="AD161" s="113"/>
      <c r="AK161" s="26"/>
    </row>
    <row r="162" spans="3:37" ht="13.5" thickBot="1" x14ac:dyDescent="0.3">
      <c r="C162" s="26" t="str" cm="1">
        <f t="array" ref="C162">INDEX('List Values'!$B$2:$B$17,(1+ROUNDDOWN((ROW()-ROW($C$109))*1/6,2)))</f>
        <v>Use of Industrial Process Solvents</v>
      </c>
      <c r="D162" s="513" t="s">
        <v>92</v>
      </c>
      <c r="E162" s="513" t="s">
        <v>91</v>
      </c>
      <c r="F162" s="535">
        <f t="shared" si="26"/>
        <v>33.6</v>
      </c>
      <c r="G162" s="535">
        <f t="shared" si="26"/>
        <v>45.81818181818182</v>
      </c>
      <c r="H162" s="535">
        <f t="shared" si="26"/>
        <v>49.056000000000004</v>
      </c>
      <c r="I162" s="536">
        <f t="shared" si="23"/>
        <v>0</v>
      </c>
      <c r="J162" s="535" t="str">
        <f t="shared" si="27"/>
        <v/>
      </c>
      <c r="K162" s="535" t="str">
        <f t="shared" si="27"/>
        <v/>
      </c>
      <c r="L162" s="535" t="str">
        <f t="shared" si="27"/>
        <v/>
      </c>
      <c r="M162" s="536">
        <f t="shared" si="24"/>
        <v>0</v>
      </c>
      <c r="N162" s="536">
        <f t="shared" si="28"/>
        <v>33.6</v>
      </c>
      <c r="O162" s="536">
        <f t="shared" si="28"/>
        <v>45.81818181818182</v>
      </c>
      <c r="P162" s="536">
        <f t="shared" si="28"/>
        <v>49.056000000000004</v>
      </c>
      <c r="Q162" s="143">
        <f t="shared" si="25"/>
        <v>0</v>
      </c>
      <c r="AD162" s="113"/>
      <c r="AK162" s="26"/>
    </row>
    <row r="163" spans="3:37" ht="13.5" thickBot="1" x14ac:dyDescent="0.3">
      <c r="C163" s="26" t="str" cm="1">
        <f t="array" ref="C163">INDEX('List Values'!$B$2:$B$17,(1+ROUNDDOWN((ROW()-ROW($C$109))*1/6,2)))</f>
        <v>Use of Laboratory Chemicals (Solid)</v>
      </c>
      <c r="D163" s="513" t="s">
        <v>197</v>
      </c>
      <c r="E163" s="514" t="s">
        <v>90</v>
      </c>
      <c r="F163" s="535">
        <f t="shared" si="26"/>
        <v>31.111111111111111</v>
      </c>
      <c r="G163" s="535">
        <f t="shared" si="26"/>
        <v>42.424242424242422</v>
      </c>
      <c r="H163" s="535">
        <f t="shared" si="26"/>
        <v>45.422222222222224</v>
      </c>
      <c r="I163" s="536">
        <f t="shared" si="23"/>
        <v>0</v>
      </c>
      <c r="J163" s="535">
        <f t="shared" si="27"/>
        <v>61.971105661927062</v>
      </c>
      <c r="K163" s="535">
        <f t="shared" si="27"/>
        <v>84.506053175355092</v>
      </c>
      <c r="L163" s="535">
        <f t="shared" si="27"/>
        <v>90.477814266413532</v>
      </c>
      <c r="M163" s="536">
        <f t="shared" si="24"/>
        <v>0</v>
      </c>
      <c r="N163" s="536">
        <f t="shared" si="28"/>
        <v>20.712763627316981</v>
      </c>
      <c r="O163" s="536">
        <f t="shared" si="28"/>
        <v>28.244677673614063</v>
      </c>
      <c r="P163" s="536">
        <f t="shared" si="28"/>
        <v>30.240634895882799</v>
      </c>
      <c r="Q163" s="143">
        <f t="shared" si="25"/>
        <v>0</v>
      </c>
      <c r="AD163" s="113"/>
      <c r="AK163" s="26"/>
    </row>
    <row r="164" spans="3:37" ht="13.5" thickBot="1" x14ac:dyDescent="0.3">
      <c r="C164" s="26" t="str" cm="1">
        <f t="array" ref="C164">INDEX('List Values'!$B$2:$B$17,(1+ROUNDDOWN((ROW()-ROW($C$109))*1/6,2)))</f>
        <v>Use of Laboratory Chemicals (Solid)</v>
      </c>
      <c r="D164" s="513" t="s">
        <v>197</v>
      </c>
      <c r="E164" s="513" t="s">
        <v>91</v>
      </c>
      <c r="F164" s="535">
        <f t="shared" si="26"/>
        <v>442.10526315789468</v>
      </c>
      <c r="G164" s="535">
        <f t="shared" si="26"/>
        <v>602.87081339712915</v>
      </c>
      <c r="H164" s="535">
        <f t="shared" si="26"/>
        <v>645.47368421052624</v>
      </c>
      <c r="I164" s="536">
        <f t="shared" si="23"/>
        <v>0</v>
      </c>
      <c r="J164" s="535">
        <f t="shared" si="27"/>
        <v>123.94221132385412</v>
      </c>
      <c r="K164" s="535">
        <f t="shared" si="27"/>
        <v>169.01210635071018</v>
      </c>
      <c r="L164" s="535">
        <f t="shared" si="27"/>
        <v>180.95562853282703</v>
      </c>
      <c r="M164" s="536">
        <f t="shared" si="24"/>
        <v>0</v>
      </c>
      <c r="N164" s="536">
        <f t="shared" si="28"/>
        <v>96.80372481808628</v>
      </c>
      <c r="O164" s="536">
        <f t="shared" si="28"/>
        <v>132.00507929739038</v>
      </c>
      <c r="P164" s="536">
        <f t="shared" si="28"/>
        <v>141.33343823440597</v>
      </c>
      <c r="Q164" s="143">
        <f t="shared" si="25"/>
        <v>0</v>
      </c>
      <c r="AD164" s="113"/>
      <c r="AK164" s="26"/>
    </row>
    <row r="165" spans="3:37" ht="13.5" thickBot="1" x14ac:dyDescent="0.3">
      <c r="C165" s="26" t="str" cm="1">
        <f t="array" ref="C165">INDEX('List Values'!$B$2:$B$17,(1+ROUNDDOWN((ROW()-ROW($C$109))*1/6,2)))</f>
        <v>Use of Laboratory Chemicals (Solid)</v>
      </c>
      <c r="D165" s="513" t="s">
        <v>72</v>
      </c>
      <c r="E165" s="514" t="s">
        <v>90</v>
      </c>
      <c r="F165" s="535">
        <f t="shared" si="26"/>
        <v>28.165277777777781</v>
      </c>
      <c r="G165" s="535">
        <f t="shared" si="26"/>
        <v>38.407196969696976</v>
      </c>
      <c r="H165" s="535">
        <f t="shared" si="26"/>
        <v>41.121305555555566</v>
      </c>
      <c r="I165" s="536">
        <f t="shared" si="23"/>
        <v>0</v>
      </c>
      <c r="J165" s="535">
        <f t="shared" si="27"/>
        <v>67.426651873850645</v>
      </c>
      <c r="K165" s="535">
        <f t="shared" si="27"/>
        <v>91.94543437343269</v>
      </c>
      <c r="L165" s="535">
        <f t="shared" si="27"/>
        <v>98.442911735821923</v>
      </c>
      <c r="M165" s="536">
        <f t="shared" si="24"/>
        <v>0</v>
      </c>
      <c r="N165" s="536">
        <f t="shared" si="28"/>
        <v>19.866639229624262</v>
      </c>
      <c r="O165" s="536">
        <f t="shared" si="28"/>
        <v>27.090871676760358</v>
      </c>
      <c r="P165" s="536">
        <f t="shared" si="28"/>
        <v>29.005293275251425</v>
      </c>
      <c r="Q165" s="143">
        <f t="shared" si="25"/>
        <v>0</v>
      </c>
      <c r="AD165" s="113"/>
      <c r="AK165" s="26"/>
    </row>
    <row r="166" spans="3:37" ht="13.5" thickBot="1" x14ac:dyDescent="0.3">
      <c r="C166" s="26" t="str" cm="1">
        <f t="array" ref="C166">INDEX('List Values'!$B$2:$B$17,(1+ROUNDDOWN((ROW()-ROW($C$109))*1/6,2)))</f>
        <v>Use of Laboratory Chemicals (Solid)</v>
      </c>
      <c r="D166" s="513" t="s">
        <v>72</v>
      </c>
      <c r="E166" s="513" t="s">
        <v>91</v>
      </c>
      <c r="F166" s="535">
        <f t="shared" si="26"/>
        <v>400.24342105263156</v>
      </c>
      <c r="G166" s="535">
        <f t="shared" si="26"/>
        <v>545.78648325358847</v>
      </c>
      <c r="H166" s="535">
        <f t="shared" si="26"/>
        <v>584.35539473684207</v>
      </c>
      <c r="I166" s="536">
        <f t="shared" si="23"/>
        <v>0</v>
      </c>
      <c r="J166" s="535">
        <f t="shared" si="27"/>
        <v>134.85330374770129</v>
      </c>
      <c r="K166" s="535">
        <f t="shared" si="27"/>
        <v>183.89086874686538</v>
      </c>
      <c r="L166" s="535">
        <f t="shared" si="27"/>
        <v>196.88582347164385</v>
      </c>
      <c r="M166" s="536">
        <f t="shared" si="24"/>
        <v>0</v>
      </c>
      <c r="N166" s="536">
        <f t="shared" si="28"/>
        <v>100.86802092158133</v>
      </c>
      <c r="O166" s="536">
        <f t="shared" si="28"/>
        <v>137.54730125670181</v>
      </c>
      <c r="P166" s="536">
        <f t="shared" si="28"/>
        <v>147.26731054550874</v>
      </c>
      <c r="Q166" s="143">
        <f t="shared" si="25"/>
        <v>0</v>
      </c>
      <c r="AD166" s="113"/>
      <c r="AK166" s="26"/>
    </row>
    <row r="167" spans="3:37" ht="13.5" thickBot="1" x14ac:dyDescent="0.3">
      <c r="C167" s="26" t="str" cm="1">
        <f t="array" ref="C167">INDEX('List Values'!$B$2:$B$17,(1+ROUNDDOWN((ROW()-ROW($C$109))*1/6,2)))</f>
        <v>Use of Laboratory Chemicals (Solid)</v>
      </c>
      <c r="D167" s="513" t="s">
        <v>92</v>
      </c>
      <c r="E167" s="514" t="s">
        <v>90</v>
      </c>
      <c r="F167" s="535">
        <f t="shared" si="26"/>
        <v>442.10526315789468</v>
      </c>
      <c r="G167" s="535">
        <f t="shared" si="26"/>
        <v>602.87081339712915</v>
      </c>
      <c r="H167" s="535">
        <f t="shared" si="26"/>
        <v>645.47368421052624</v>
      </c>
      <c r="I167" s="536">
        <f t="shared" si="23"/>
        <v>0</v>
      </c>
      <c r="J167" s="535">
        <f t="shared" si="27"/>
        <v>123.94221132385412</v>
      </c>
      <c r="K167" s="535">
        <f t="shared" si="27"/>
        <v>169.01210635071018</v>
      </c>
      <c r="L167" s="535">
        <f t="shared" si="27"/>
        <v>180.95562853282706</v>
      </c>
      <c r="M167" s="536">
        <f t="shared" si="24"/>
        <v>0</v>
      </c>
      <c r="N167" s="536">
        <f t="shared" si="28"/>
        <v>96.80372481808628</v>
      </c>
      <c r="O167" s="536">
        <f t="shared" si="28"/>
        <v>132.00507929739038</v>
      </c>
      <c r="P167" s="536">
        <f t="shared" si="28"/>
        <v>141.33343823440597</v>
      </c>
      <c r="Q167" s="143">
        <f t="shared" si="25"/>
        <v>0</v>
      </c>
      <c r="AD167" s="113"/>
      <c r="AK167" s="26"/>
    </row>
    <row r="168" spans="3:37" ht="13.5" thickBot="1" x14ac:dyDescent="0.3">
      <c r="C168" s="26" t="str" cm="1">
        <f t="array" ref="C168">INDEX('List Values'!$B$2:$B$17,(1+ROUNDDOWN((ROW()-ROW($C$109))*1/6,2)))</f>
        <v>Use of Laboratory Chemicals (Solid)</v>
      </c>
      <c r="D168" s="513" t="s">
        <v>92</v>
      </c>
      <c r="E168" s="513" t="s">
        <v>91</v>
      </c>
      <c r="F168" s="535">
        <f t="shared" si="26"/>
        <v>442.10526315789468</v>
      </c>
      <c r="G168" s="535">
        <f t="shared" si="26"/>
        <v>602.87081339712915</v>
      </c>
      <c r="H168" s="535">
        <f t="shared" si="26"/>
        <v>645.47368421052624</v>
      </c>
      <c r="I168" s="536">
        <f t="shared" si="23"/>
        <v>0</v>
      </c>
      <c r="J168" s="535">
        <f t="shared" si="27"/>
        <v>123.94221132385412</v>
      </c>
      <c r="K168" s="535">
        <f t="shared" si="27"/>
        <v>169.01210635071018</v>
      </c>
      <c r="L168" s="535">
        <f t="shared" si="27"/>
        <v>180.95562853282703</v>
      </c>
      <c r="M168" s="536">
        <f t="shared" si="24"/>
        <v>0</v>
      </c>
      <c r="N168" s="536">
        <f t="shared" si="28"/>
        <v>96.80372481808628</v>
      </c>
      <c r="O168" s="536">
        <f t="shared" si="28"/>
        <v>132.00507929739038</v>
      </c>
      <c r="P168" s="536">
        <f t="shared" si="28"/>
        <v>141.33343823440597</v>
      </c>
      <c r="Q168" s="143">
        <f t="shared" si="25"/>
        <v>0</v>
      </c>
      <c r="AD168" s="113"/>
      <c r="AK168" s="26"/>
    </row>
    <row r="169" spans="3:37" x14ac:dyDescent="0.25">
      <c r="C169" s="26" t="str" cm="1">
        <f t="array" ref="C169">INDEX('List Values'!$B$2:$B$17,(1+ROUNDDOWN((ROW()-ROW($C$109))*1/6,2)))</f>
        <v>Use of Laboratory Chemicals (Liquid)</v>
      </c>
      <c r="D169" s="513" t="s">
        <v>197</v>
      </c>
      <c r="E169" s="514" t="s">
        <v>90</v>
      </c>
      <c r="F169" s="535">
        <f t="shared" ref="F169:H188" si="29">F$107/F65</f>
        <v>168</v>
      </c>
      <c r="G169" s="535">
        <f t="shared" si="29"/>
        <v>229.09090909090909</v>
      </c>
      <c r="H169" s="535">
        <f t="shared" si="29"/>
        <v>245.28000000000003</v>
      </c>
      <c r="I169" s="536">
        <f t="shared" si="23"/>
        <v>0</v>
      </c>
      <c r="J169" s="537">
        <f t="shared" ref="J169:L188" si="30">IFERROR(J$107/J65,"")</f>
        <v>0.83663949801630133</v>
      </c>
      <c r="K169" s="537">
        <f t="shared" si="30"/>
        <v>1.1408720427495018</v>
      </c>
      <c r="L169" s="537">
        <f t="shared" si="30"/>
        <v>1.2214936671037999</v>
      </c>
      <c r="M169" s="538">
        <f t="shared" si="24"/>
        <v>0</v>
      </c>
      <c r="N169" s="538">
        <f t="shared" ref="N169:P188" si="31">N$107/N65</f>
        <v>0.83249368196759221</v>
      </c>
      <c r="O169" s="538">
        <f t="shared" si="31"/>
        <v>1.135218657228535</v>
      </c>
      <c r="P169" s="538">
        <f t="shared" si="31"/>
        <v>1.2154407756726848</v>
      </c>
      <c r="Q169" s="143">
        <f t="shared" si="25"/>
        <v>0</v>
      </c>
      <c r="AD169" s="113"/>
      <c r="AK169" s="26"/>
    </row>
    <row r="170" spans="3:37" x14ac:dyDescent="0.25">
      <c r="C170" s="26" t="str" cm="1">
        <f t="array" ref="C170">INDEX('List Values'!$B$2:$B$17,(1+ROUNDDOWN((ROW()-ROW($C$109))*1/6,2)))</f>
        <v>Use of Laboratory Chemicals (Liquid)</v>
      </c>
      <c r="D170" s="513" t="s">
        <v>197</v>
      </c>
      <c r="E170" s="513" t="s">
        <v>91</v>
      </c>
      <c r="F170" s="535">
        <f t="shared" si="29"/>
        <v>336</v>
      </c>
      <c r="G170" s="535">
        <f t="shared" si="29"/>
        <v>458.18181818181819</v>
      </c>
      <c r="H170" s="535">
        <f t="shared" si="29"/>
        <v>490.56000000000006</v>
      </c>
      <c r="I170" s="536">
        <f t="shared" si="23"/>
        <v>0</v>
      </c>
      <c r="J170" s="537">
        <f t="shared" si="30"/>
        <v>2.2429906542056077</v>
      </c>
      <c r="K170" s="537">
        <f t="shared" si="30"/>
        <v>3.058623619371283</v>
      </c>
      <c r="L170" s="537">
        <f t="shared" si="30"/>
        <v>3.2747663551401871</v>
      </c>
      <c r="M170" s="538">
        <f t="shared" si="24"/>
        <v>0</v>
      </c>
      <c r="N170" s="538">
        <f t="shared" si="31"/>
        <v>2.2281167108753315</v>
      </c>
      <c r="O170" s="538">
        <f t="shared" si="31"/>
        <v>3.0383409693754522</v>
      </c>
      <c r="P170" s="538">
        <f t="shared" si="31"/>
        <v>3.2530503978779843</v>
      </c>
      <c r="Q170" s="143">
        <f t="shared" si="25"/>
        <v>0</v>
      </c>
      <c r="AD170" s="113"/>
      <c r="AK170" s="26"/>
    </row>
    <row r="171" spans="3:37" x14ac:dyDescent="0.25">
      <c r="C171" s="26" t="str" cm="1">
        <f t="array" ref="C171">INDEX('List Values'!$B$2:$B$17,(1+ROUNDDOWN((ROW()-ROW($C$109))*1/6,2)))</f>
        <v>Use of Laboratory Chemicals (Liquid)</v>
      </c>
      <c r="D171" s="513" t="s">
        <v>72</v>
      </c>
      <c r="E171" s="514" t="s">
        <v>90</v>
      </c>
      <c r="F171" s="535">
        <f t="shared" si="29"/>
        <v>152.09250000000003</v>
      </c>
      <c r="G171" s="535">
        <f t="shared" si="29"/>
        <v>207.3988636363637</v>
      </c>
      <c r="H171" s="535">
        <f t="shared" si="29"/>
        <v>222.05505000000002</v>
      </c>
      <c r="I171" s="536">
        <f t="shared" si="23"/>
        <v>0</v>
      </c>
      <c r="J171" s="537">
        <f t="shared" si="30"/>
        <v>0.91029197517312976</v>
      </c>
      <c r="K171" s="537">
        <f t="shared" si="30"/>
        <v>1.2413072388724498</v>
      </c>
      <c r="L171" s="537">
        <f t="shared" si="30"/>
        <v>1.3290262837527695</v>
      </c>
      <c r="M171" s="538">
        <f t="shared" si="24"/>
        <v>0</v>
      </c>
      <c r="N171" s="538">
        <f t="shared" si="31"/>
        <v>0.90487618197506148</v>
      </c>
      <c r="O171" s="538">
        <f t="shared" si="31"/>
        <v>1.2339220663296293</v>
      </c>
      <c r="P171" s="538">
        <f t="shared" si="31"/>
        <v>1.32111922568359</v>
      </c>
      <c r="Q171" s="143">
        <f t="shared" si="25"/>
        <v>0</v>
      </c>
      <c r="AD171" s="113"/>
      <c r="AK171" s="26"/>
    </row>
    <row r="172" spans="3:37" x14ac:dyDescent="0.25">
      <c r="C172" s="26" t="str" cm="1">
        <f t="array" ref="C172">INDEX('List Values'!$B$2:$B$17,(1+ROUNDDOWN((ROW()-ROW($C$109))*1/6,2)))</f>
        <v>Use of Laboratory Chemicals (Liquid)</v>
      </c>
      <c r="D172" s="513" t="s">
        <v>72</v>
      </c>
      <c r="E172" s="513" t="s">
        <v>91</v>
      </c>
      <c r="F172" s="535">
        <f t="shared" si="29"/>
        <v>304.18500000000006</v>
      </c>
      <c r="G172" s="535">
        <f t="shared" si="29"/>
        <v>414.7977272727274</v>
      </c>
      <c r="H172" s="535">
        <f t="shared" si="29"/>
        <v>444.11010000000005</v>
      </c>
      <c r="I172" s="536">
        <f t="shared" si="23"/>
        <v>0</v>
      </c>
      <c r="J172" s="537">
        <f t="shared" si="30"/>
        <v>2.4404494382022475</v>
      </c>
      <c r="K172" s="537">
        <f t="shared" si="30"/>
        <v>3.3278855975485193</v>
      </c>
      <c r="L172" s="537">
        <f t="shared" si="30"/>
        <v>3.5630561797752809</v>
      </c>
      <c r="M172" s="538">
        <f t="shared" si="24"/>
        <v>0</v>
      </c>
      <c r="N172" s="538">
        <f t="shared" si="31"/>
        <v>2.4210257619505411</v>
      </c>
      <c r="O172" s="538">
        <f t="shared" si="31"/>
        <v>3.3013987662961921</v>
      </c>
      <c r="P172" s="538">
        <f t="shared" si="31"/>
        <v>3.5346976124477893</v>
      </c>
      <c r="Q172" s="143">
        <f t="shared" si="25"/>
        <v>0</v>
      </c>
      <c r="AD172" s="113"/>
      <c r="AK172" s="26"/>
    </row>
    <row r="173" spans="3:37" ht="13.5" thickBot="1" x14ac:dyDescent="0.3">
      <c r="C173" s="26" t="str" cm="1">
        <f t="array" ref="C173">INDEX('List Values'!$B$2:$B$17,(1+ROUNDDOWN((ROW()-ROW($C$109))*1/6,2)))</f>
        <v>Use of Laboratory Chemicals (Liquid)</v>
      </c>
      <c r="D173" s="513" t="s">
        <v>92</v>
      </c>
      <c r="E173" s="514" t="s">
        <v>90</v>
      </c>
      <c r="F173" s="535">
        <f t="shared" si="29"/>
        <v>336</v>
      </c>
      <c r="G173" s="535">
        <f t="shared" si="29"/>
        <v>458.18181818181819</v>
      </c>
      <c r="H173" s="535">
        <f t="shared" si="29"/>
        <v>490.56000000000006</v>
      </c>
      <c r="I173" s="536">
        <f t="shared" ref="I173:I204" si="32">I$107*I69</f>
        <v>0</v>
      </c>
      <c r="J173" s="535" t="str">
        <f t="shared" si="30"/>
        <v/>
      </c>
      <c r="K173" s="535" t="str">
        <f t="shared" si="30"/>
        <v/>
      </c>
      <c r="L173" s="535" t="str">
        <f t="shared" si="30"/>
        <v/>
      </c>
      <c r="M173" s="536">
        <f t="shared" ref="M173:M204" si="33">IFERROR(M$107*M69,"")</f>
        <v>0</v>
      </c>
      <c r="N173" s="536">
        <f t="shared" si="31"/>
        <v>336</v>
      </c>
      <c r="O173" s="536">
        <f t="shared" si="31"/>
        <v>458.18181818181819</v>
      </c>
      <c r="P173" s="536">
        <f t="shared" si="31"/>
        <v>490.56000000000006</v>
      </c>
      <c r="Q173" s="143">
        <f t="shared" ref="Q173:Q204" si="34">Q$107*Q69</f>
        <v>0</v>
      </c>
      <c r="AD173" s="113"/>
      <c r="AK173" s="26"/>
    </row>
    <row r="174" spans="3:37" ht="13.5" thickBot="1" x14ac:dyDescent="0.3">
      <c r="C174" s="26" t="str" cm="1">
        <f t="array" ref="C174">INDEX('List Values'!$B$2:$B$17,(1+ROUNDDOWN((ROW()-ROW($C$109))*1/6,2)))</f>
        <v>Use of Laboratory Chemicals (Liquid)</v>
      </c>
      <c r="D174" s="513" t="s">
        <v>92</v>
      </c>
      <c r="E174" s="513" t="s">
        <v>91</v>
      </c>
      <c r="F174" s="535">
        <f t="shared" si="29"/>
        <v>336</v>
      </c>
      <c r="G174" s="535">
        <f t="shared" si="29"/>
        <v>458.18181818181819</v>
      </c>
      <c r="H174" s="535">
        <f t="shared" si="29"/>
        <v>490.56000000000006</v>
      </c>
      <c r="I174" s="536">
        <f t="shared" si="32"/>
        <v>0</v>
      </c>
      <c r="J174" s="535" t="str">
        <f t="shared" si="30"/>
        <v/>
      </c>
      <c r="K174" s="535" t="str">
        <f t="shared" si="30"/>
        <v/>
      </c>
      <c r="L174" s="535" t="str">
        <f t="shared" si="30"/>
        <v/>
      </c>
      <c r="M174" s="536">
        <f t="shared" si="33"/>
        <v>0</v>
      </c>
      <c r="N174" s="536">
        <f t="shared" si="31"/>
        <v>336</v>
      </c>
      <c r="O174" s="536">
        <f t="shared" si="31"/>
        <v>458.18181818181819</v>
      </c>
      <c r="P174" s="536">
        <f t="shared" si="31"/>
        <v>490.56000000000006</v>
      </c>
      <c r="Q174" s="143">
        <f t="shared" si="34"/>
        <v>0</v>
      </c>
      <c r="AD174" s="113"/>
      <c r="AK174" s="26"/>
    </row>
    <row r="175" spans="3:37" x14ac:dyDescent="0.25">
      <c r="C175" s="26" t="str" cm="1">
        <f t="array" ref="C175">INDEX('List Values'!$B$2:$B$17,(1+ROUNDDOWN((ROW()-ROW($C$109))*1/6,2)))</f>
        <v>Use of Lubricants and Functional Fluids</v>
      </c>
      <c r="D175" s="513" t="s">
        <v>197</v>
      </c>
      <c r="E175" s="514" t="s">
        <v>90</v>
      </c>
      <c r="F175" s="535">
        <f t="shared" si="29"/>
        <v>168</v>
      </c>
      <c r="G175" s="535">
        <f t="shared" si="29"/>
        <v>1260</v>
      </c>
      <c r="H175" s="535">
        <f t="shared" si="29"/>
        <v>15330.000000000002</v>
      </c>
      <c r="I175" s="536">
        <f t="shared" si="32"/>
        <v>0</v>
      </c>
      <c r="J175" s="537">
        <f t="shared" si="30"/>
        <v>0.99688473520249232</v>
      </c>
      <c r="K175" s="537">
        <f t="shared" si="30"/>
        <v>7.4766355140186924</v>
      </c>
      <c r="L175" s="535">
        <f t="shared" si="30"/>
        <v>90.965732087227437</v>
      </c>
      <c r="M175" s="536">
        <f t="shared" si="33"/>
        <v>0</v>
      </c>
      <c r="N175" s="538">
        <f t="shared" si="31"/>
        <v>0.99100427665536062</v>
      </c>
      <c r="O175" s="538">
        <f t="shared" si="31"/>
        <v>7.4325320749152057</v>
      </c>
      <c r="P175" s="536">
        <f t="shared" si="31"/>
        <v>90.429140244801673</v>
      </c>
      <c r="Q175" s="143">
        <f t="shared" si="34"/>
        <v>0</v>
      </c>
      <c r="AD175" s="113"/>
      <c r="AK175" s="26"/>
    </row>
    <row r="176" spans="3:37" x14ac:dyDescent="0.25">
      <c r="C176" s="26" t="str" cm="1">
        <f t="array" ref="C176">INDEX('List Values'!$B$2:$B$17,(1+ROUNDDOWN((ROW()-ROW($C$109))*1/6,2)))</f>
        <v>Use of Lubricants and Functional Fluids</v>
      </c>
      <c r="D176" s="513" t="s">
        <v>197</v>
      </c>
      <c r="E176" s="513" t="s">
        <v>91</v>
      </c>
      <c r="F176" s="535">
        <f t="shared" si="29"/>
        <v>336</v>
      </c>
      <c r="G176" s="535">
        <f t="shared" si="29"/>
        <v>5040</v>
      </c>
      <c r="H176" s="535">
        <f t="shared" si="29"/>
        <v>61319.999999999993</v>
      </c>
      <c r="I176" s="536">
        <f t="shared" si="32"/>
        <v>0</v>
      </c>
      <c r="J176" s="537">
        <f t="shared" si="30"/>
        <v>2.990654205607477</v>
      </c>
      <c r="K176" s="535">
        <f t="shared" si="30"/>
        <v>44.859813084112155</v>
      </c>
      <c r="L176" s="535">
        <f t="shared" si="30"/>
        <v>545.79439252336454</v>
      </c>
      <c r="M176" s="536">
        <f t="shared" si="33"/>
        <v>0</v>
      </c>
      <c r="N176" s="538">
        <f t="shared" si="31"/>
        <v>2.9642699602999563</v>
      </c>
      <c r="O176" s="536">
        <f t="shared" si="31"/>
        <v>44.464049404499335</v>
      </c>
      <c r="P176" s="536">
        <f t="shared" si="31"/>
        <v>540.97926775474207</v>
      </c>
      <c r="Q176" s="143">
        <f t="shared" si="34"/>
        <v>0</v>
      </c>
      <c r="AD176" s="113"/>
      <c r="AK176" s="26"/>
    </row>
    <row r="177" spans="3:37" x14ac:dyDescent="0.25">
      <c r="C177" s="26" t="str" cm="1">
        <f t="array" ref="C177">INDEX('List Values'!$B$2:$B$17,(1+ROUNDDOWN((ROW()-ROW($C$109))*1/6,2)))</f>
        <v>Use of Lubricants and Functional Fluids</v>
      </c>
      <c r="D177" s="513" t="s">
        <v>72</v>
      </c>
      <c r="E177" s="514" t="s">
        <v>90</v>
      </c>
      <c r="F177" s="535">
        <f t="shared" si="29"/>
        <v>152.09250000000003</v>
      </c>
      <c r="G177" s="535">
        <f t="shared" si="29"/>
        <v>1140.6937500000004</v>
      </c>
      <c r="H177" s="535">
        <f t="shared" si="29"/>
        <v>13878.440625000005</v>
      </c>
      <c r="I177" s="536">
        <f t="shared" si="32"/>
        <v>0</v>
      </c>
      <c r="J177" s="537">
        <f t="shared" si="30"/>
        <v>1.0846441947565546</v>
      </c>
      <c r="K177" s="537">
        <f t="shared" si="30"/>
        <v>8.1348314606741585</v>
      </c>
      <c r="L177" s="535">
        <f t="shared" si="30"/>
        <v>98.97378277153561</v>
      </c>
      <c r="M177" s="536">
        <f t="shared" si="33"/>
        <v>0</v>
      </c>
      <c r="N177" s="538">
        <f t="shared" si="31"/>
        <v>1.0769638516126498</v>
      </c>
      <c r="O177" s="538">
        <f t="shared" si="31"/>
        <v>8.0772288870948739</v>
      </c>
      <c r="P177" s="536">
        <f t="shared" si="31"/>
        <v>98.272951459654308</v>
      </c>
      <c r="Q177" s="143">
        <f t="shared" si="34"/>
        <v>0</v>
      </c>
      <c r="AD177" s="113"/>
      <c r="AK177" s="26"/>
    </row>
    <row r="178" spans="3:37" x14ac:dyDescent="0.25">
      <c r="C178" s="26" t="str" cm="1">
        <f t="array" ref="C178">INDEX('List Values'!$B$2:$B$17,(1+ROUNDDOWN((ROW()-ROW($C$109))*1/6,2)))</f>
        <v>Use of Lubricants and Functional Fluids</v>
      </c>
      <c r="D178" s="513" t="s">
        <v>72</v>
      </c>
      <c r="E178" s="513" t="s">
        <v>91</v>
      </c>
      <c r="F178" s="535">
        <f t="shared" si="29"/>
        <v>304.18500000000006</v>
      </c>
      <c r="G178" s="535">
        <f t="shared" si="29"/>
        <v>4562.7750000000015</v>
      </c>
      <c r="H178" s="535">
        <f t="shared" si="29"/>
        <v>55513.762500000019</v>
      </c>
      <c r="I178" s="536">
        <f t="shared" si="32"/>
        <v>0</v>
      </c>
      <c r="J178" s="537">
        <f t="shared" si="30"/>
        <v>3.2539325842696631</v>
      </c>
      <c r="K178" s="535">
        <f t="shared" si="30"/>
        <v>48.808988764044948</v>
      </c>
      <c r="L178" s="535">
        <f t="shared" si="30"/>
        <v>593.84269662921349</v>
      </c>
      <c r="M178" s="536">
        <f t="shared" si="33"/>
        <v>0</v>
      </c>
      <c r="N178" s="538">
        <f t="shared" si="31"/>
        <v>3.2194929732094422</v>
      </c>
      <c r="O178" s="536">
        <f t="shared" si="31"/>
        <v>48.292394598141627</v>
      </c>
      <c r="P178" s="536">
        <f t="shared" si="31"/>
        <v>587.55746761072305</v>
      </c>
      <c r="Q178" s="143">
        <f t="shared" si="34"/>
        <v>0</v>
      </c>
      <c r="AD178" s="113"/>
      <c r="AK178" s="26"/>
    </row>
    <row r="179" spans="3:37" ht="13.5" thickBot="1" x14ac:dyDescent="0.3">
      <c r="C179" s="26" t="str" cm="1">
        <f t="array" ref="C179">INDEX('List Values'!$B$2:$B$17,(1+ROUNDDOWN((ROW()-ROW($C$109))*1/6,2)))</f>
        <v>Use of Lubricants and Functional Fluids</v>
      </c>
      <c r="D179" s="513" t="s">
        <v>92</v>
      </c>
      <c r="E179" s="514" t="s">
        <v>90</v>
      </c>
      <c r="F179" s="535">
        <f t="shared" si="29"/>
        <v>336</v>
      </c>
      <c r="G179" s="535">
        <f t="shared" si="29"/>
        <v>2520</v>
      </c>
      <c r="H179" s="535">
        <f t="shared" si="29"/>
        <v>30660.000000000004</v>
      </c>
      <c r="I179" s="536">
        <f t="shared" si="32"/>
        <v>0</v>
      </c>
      <c r="J179" s="535" t="str">
        <f t="shared" si="30"/>
        <v/>
      </c>
      <c r="K179" s="535" t="str">
        <f t="shared" si="30"/>
        <v/>
      </c>
      <c r="L179" s="535" t="str">
        <f t="shared" si="30"/>
        <v/>
      </c>
      <c r="M179" s="536">
        <f t="shared" si="33"/>
        <v>0</v>
      </c>
      <c r="N179" s="536">
        <f t="shared" si="31"/>
        <v>336</v>
      </c>
      <c r="O179" s="536">
        <f t="shared" si="31"/>
        <v>2520</v>
      </c>
      <c r="P179" s="536">
        <f t="shared" si="31"/>
        <v>30660.000000000004</v>
      </c>
      <c r="Q179" s="143">
        <f t="shared" si="34"/>
        <v>0</v>
      </c>
      <c r="AD179" s="113"/>
      <c r="AK179" s="26"/>
    </row>
    <row r="180" spans="3:37" ht="13.5" thickBot="1" x14ac:dyDescent="0.3">
      <c r="C180" s="26" t="str" cm="1">
        <f t="array" ref="C180">INDEX('List Values'!$B$2:$B$17,(1+ROUNDDOWN((ROW()-ROW($C$109))*1/6,2)))</f>
        <v>Use of Lubricants and Functional Fluids</v>
      </c>
      <c r="D180" s="513" t="s">
        <v>92</v>
      </c>
      <c r="E180" s="513" t="s">
        <v>91</v>
      </c>
      <c r="F180" s="535">
        <f t="shared" si="29"/>
        <v>336</v>
      </c>
      <c r="G180" s="535">
        <f t="shared" si="29"/>
        <v>5040</v>
      </c>
      <c r="H180" s="535">
        <f t="shared" si="29"/>
        <v>61319.999999999993</v>
      </c>
      <c r="I180" s="536">
        <f t="shared" si="32"/>
        <v>0</v>
      </c>
      <c r="J180" s="535" t="str">
        <f t="shared" si="30"/>
        <v/>
      </c>
      <c r="K180" s="535" t="str">
        <f t="shared" si="30"/>
        <v/>
      </c>
      <c r="L180" s="535" t="str">
        <f t="shared" si="30"/>
        <v/>
      </c>
      <c r="M180" s="536">
        <f t="shared" si="33"/>
        <v>0</v>
      </c>
      <c r="N180" s="536">
        <f t="shared" si="31"/>
        <v>336</v>
      </c>
      <c r="O180" s="536">
        <f t="shared" si="31"/>
        <v>5040</v>
      </c>
      <c r="P180" s="536">
        <f t="shared" si="31"/>
        <v>61319.999999999993</v>
      </c>
      <c r="Q180" s="143">
        <f t="shared" si="34"/>
        <v>0</v>
      </c>
      <c r="AD180" s="113"/>
      <c r="AK180" s="26"/>
    </row>
    <row r="181" spans="3:37" x14ac:dyDescent="0.25">
      <c r="C181" s="26" t="str" cm="1">
        <f t="array" ref="C181">INDEX('List Values'!$B$2:$B$17,(1+ROUNDDOWN((ROW()-ROW($C$109))*1/6,2)))</f>
        <v>Use of Penetrants and Inspection Fluids</v>
      </c>
      <c r="D181" s="513" t="s">
        <v>197</v>
      </c>
      <c r="E181" s="514" t="s">
        <v>90</v>
      </c>
      <c r="F181" s="541">
        <f t="shared" si="29"/>
        <v>3.0131826741996237</v>
      </c>
      <c r="G181" s="541">
        <f t="shared" si="29"/>
        <v>4.1088854648176678</v>
      </c>
      <c r="H181" s="541">
        <f t="shared" si="29"/>
        <v>4.4169143617785647</v>
      </c>
      <c r="I181" s="543">
        <f t="shared" si="32"/>
        <v>0</v>
      </c>
      <c r="J181" s="541">
        <f t="shared" si="30"/>
        <v>0.83663949801630133</v>
      </c>
      <c r="K181" s="541">
        <f t="shared" si="30"/>
        <v>1.1408720427495018</v>
      </c>
      <c r="L181" s="541">
        <f t="shared" si="30"/>
        <v>1.2263992641604415</v>
      </c>
      <c r="M181" s="541">
        <f t="shared" si="33"/>
        <v>0</v>
      </c>
      <c r="N181" s="541">
        <f t="shared" si="31"/>
        <v>0.65482184038717639</v>
      </c>
      <c r="O181" s="541">
        <f t="shared" si="31"/>
        <v>0.89293887325524068</v>
      </c>
      <c r="P181" s="541">
        <f t="shared" si="31"/>
        <v>0.95987940458361198</v>
      </c>
      <c r="Q181" s="143">
        <f t="shared" si="34"/>
        <v>0</v>
      </c>
      <c r="AD181" s="113"/>
      <c r="AK181" s="26"/>
    </row>
    <row r="182" spans="3:37" x14ac:dyDescent="0.25">
      <c r="C182" s="26" t="str" cm="1">
        <f t="array" ref="C182">INDEX('List Values'!$B$2:$B$17,(1+ROUNDDOWN((ROW()-ROW($C$109))*1/6,2)))</f>
        <v>Use of Penetrants and Inspection Fluids</v>
      </c>
      <c r="D182" s="513" t="s">
        <v>197</v>
      </c>
      <c r="E182" s="513" t="s">
        <v>91</v>
      </c>
      <c r="F182" s="543">
        <f t="shared" si="29"/>
        <v>11.116993118051878</v>
      </c>
      <c r="G182" s="543">
        <f t="shared" si="29"/>
        <v>15.159536070070747</v>
      </c>
      <c r="H182" s="543">
        <f t="shared" si="29"/>
        <v>16.427945295906625</v>
      </c>
      <c r="I182" s="543">
        <f t="shared" si="32"/>
        <v>0</v>
      </c>
      <c r="J182" s="541">
        <f t="shared" si="30"/>
        <v>1.6732789960326027</v>
      </c>
      <c r="K182" s="541">
        <f t="shared" si="30"/>
        <v>2.2817440854990036</v>
      </c>
      <c r="L182" s="541">
        <f t="shared" si="30"/>
        <v>2.4726592451493925</v>
      </c>
      <c r="M182" s="541">
        <f t="shared" si="33"/>
        <v>0</v>
      </c>
      <c r="N182" s="541">
        <f t="shared" si="31"/>
        <v>1.4543733641906731</v>
      </c>
      <c r="O182" s="541">
        <f t="shared" si="31"/>
        <v>1.9832364057145544</v>
      </c>
      <c r="P182" s="541">
        <f t="shared" si="31"/>
        <v>2.149175214289861</v>
      </c>
      <c r="Q182" s="143">
        <f t="shared" si="34"/>
        <v>0</v>
      </c>
      <c r="AD182" s="113"/>
      <c r="AK182" s="26"/>
    </row>
    <row r="183" spans="3:37" x14ac:dyDescent="0.25">
      <c r="C183" s="26" t="str" cm="1">
        <f t="array" ref="C183">INDEX('List Values'!$B$2:$B$17,(1+ROUNDDOWN((ROW()-ROW($C$109))*1/6,2)))</f>
        <v>Use of Penetrants and Inspection Fluids</v>
      </c>
      <c r="D183" s="513" t="s">
        <v>72</v>
      </c>
      <c r="E183" s="514" t="s">
        <v>90</v>
      </c>
      <c r="F183" s="541">
        <f>F$107/F79</f>
        <v>2.7278719397363473</v>
      </c>
      <c r="G183" s="541">
        <f t="shared" si="29"/>
        <v>3.7198253723677466</v>
      </c>
      <c r="H183" s="541">
        <f t="shared" si="29"/>
        <v>3.9986877831476577</v>
      </c>
      <c r="I183" s="543">
        <f t="shared" si="32"/>
        <v>0</v>
      </c>
      <c r="J183" s="541">
        <f t="shared" si="30"/>
        <v>0.91029197517312976</v>
      </c>
      <c r="K183" s="541">
        <f t="shared" si="30"/>
        <v>1.2413072388724498</v>
      </c>
      <c r="L183" s="541">
        <f t="shared" si="30"/>
        <v>1.3343637387075999</v>
      </c>
      <c r="M183" s="541">
        <f t="shared" si="33"/>
        <v>0</v>
      </c>
      <c r="N183" s="541">
        <f t="shared" si="31"/>
        <v>0.68253107724634809</v>
      </c>
      <c r="O183" s="541">
        <f t="shared" si="31"/>
        <v>0.93072419624502012</v>
      </c>
      <c r="P183" s="541">
        <f t="shared" si="31"/>
        <v>1.0004973622285827</v>
      </c>
      <c r="Q183" s="143">
        <f t="shared" si="34"/>
        <v>0</v>
      </c>
      <c r="AD183" s="113"/>
      <c r="AK183" s="26"/>
    </row>
    <row r="184" spans="3:37" x14ac:dyDescent="0.25">
      <c r="C184" s="26" t="str" cm="1">
        <f t="array" ref="C184">INDEX('List Values'!$B$2:$B$17,(1+ROUNDDOWN((ROW()-ROW($C$109))*1/6,2)))</f>
        <v>Use of Penetrants and Inspection Fluids</v>
      </c>
      <c r="D184" s="513" t="s">
        <v>72</v>
      </c>
      <c r="E184" s="513" t="s">
        <v>91</v>
      </c>
      <c r="F184" s="543">
        <f t="shared" si="29"/>
        <v>10.064352832186342</v>
      </c>
      <c r="G184" s="543">
        <f t="shared" si="29"/>
        <v>13.724117498435923</v>
      </c>
      <c r="H184" s="543">
        <f t="shared" si="29"/>
        <v>14.872424225700467</v>
      </c>
      <c r="I184" s="543">
        <f t="shared" si="32"/>
        <v>0</v>
      </c>
      <c r="J184" s="541">
        <f t="shared" si="30"/>
        <v>1.8205839503462595</v>
      </c>
      <c r="K184" s="541">
        <f t="shared" si="30"/>
        <v>2.4826144777448995</v>
      </c>
      <c r="L184" s="541">
        <f t="shared" si="30"/>
        <v>2.6903366067869827</v>
      </c>
      <c r="M184" s="541">
        <f t="shared" si="33"/>
        <v>0</v>
      </c>
      <c r="N184" s="541">
        <f t="shared" si="31"/>
        <v>1.5416993436456348</v>
      </c>
      <c r="O184" s="541">
        <f t="shared" si="31"/>
        <v>2.1023172867895021</v>
      </c>
      <c r="P184" s="541">
        <f t="shared" si="31"/>
        <v>2.2782196778569097</v>
      </c>
      <c r="Q184" s="143">
        <f t="shared" si="34"/>
        <v>0</v>
      </c>
      <c r="AD184" s="113"/>
      <c r="AK184" s="26"/>
    </row>
    <row r="185" spans="3:37" x14ac:dyDescent="0.25">
      <c r="C185" s="26" t="str" cm="1">
        <f t="array" ref="C185">INDEX('List Values'!$B$2:$B$17,(1+ROUNDDOWN((ROW()-ROW($C$109))*1/6,2)))</f>
        <v>Use of Penetrants and Inspection Fluids</v>
      </c>
      <c r="D185" s="513" t="s">
        <v>92</v>
      </c>
      <c r="E185" s="514" t="s">
        <v>90</v>
      </c>
      <c r="F185" s="543">
        <f t="shared" si="29"/>
        <v>44.327176781002642</v>
      </c>
      <c r="G185" s="543">
        <f t="shared" si="29"/>
        <v>60.446150155912683</v>
      </c>
      <c r="H185" s="543">
        <f t="shared" si="29"/>
        <v>64.977588454080177</v>
      </c>
      <c r="I185" s="543">
        <f t="shared" si="32"/>
        <v>0</v>
      </c>
      <c r="J185" s="541">
        <f t="shared" si="30"/>
        <v>1.6732789960326027</v>
      </c>
      <c r="K185" s="541">
        <f t="shared" si="30"/>
        <v>2.2817440854990036</v>
      </c>
      <c r="L185" s="541">
        <f t="shared" si="30"/>
        <v>2.4527985283208831</v>
      </c>
      <c r="M185" s="541">
        <f t="shared" si="33"/>
        <v>0</v>
      </c>
      <c r="N185" s="541">
        <f t="shared" si="31"/>
        <v>1.6124130208749903</v>
      </c>
      <c r="O185" s="541">
        <f t="shared" si="31"/>
        <v>2.198745028465896</v>
      </c>
      <c r="P185" s="541">
        <f t="shared" si="31"/>
        <v>2.3635773197565113</v>
      </c>
      <c r="Q185" s="143">
        <f t="shared" si="34"/>
        <v>0</v>
      </c>
      <c r="AD185" s="113"/>
      <c r="AK185" s="26"/>
    </row>
    <row r="186" spans="3:37" x14ac:dyDescent="0.25">
      <c r="C186" s="26" t="str" cm="1">
        <f t="array" ref="C186">INDEX('List Values'!$B$2:$B$17,(1+ROUNDDOWN((ROW()-ROW($C$109))*1/6,2)))</f>
        <v>Use of Penetrants and Inspection Fluids</v>
      </c>
      <c r="D186" s="513" t="s">
        <v>92</v>
      </c>
      <c r="E186" s="513" t="s">
        <v>91</v>
      </c>
      <c r="F186" s="543">
        <f t="shared" si="29"/>
        <v>329.41176470588232</v>
      </c>
      <c r="G186" s="543">
        <f t="shared" si="29"/>
        <v>449.19786096256684</v>
      </c>
      <c r="H186" s="543">
        <f t="shared" si="29"/>
        <v>486.78256727792331</v>
      </c>
      <c r="I186" s="543">
        <f t="shared" si="32"/>
        <v>0</v>
      </c>
      <c r="J186" s="541">
        <f t="shared" si="30"/>
        <v>1.6732789960326027</v>
      </c>
      <c r="K186" s="541">
        <f t="shared" si="30"/>
        <v>2.2817440854990036</v>
      </c>
      <c r="L186" s="541">
        <f t="shared" si="30"/>
        <v>2.4726592451493925</v>
      </c>
      <c r="M186" s="541">
        <f t="shared" si="33"/>
        <v>0</v>
      </c>
      <c r="N186" s="541">
        <f t="shared" si="31"/>
        <v>1.6648223693989794</v>
      </c>
      <c r="O186" s="541">
        <f t="shared" si="31"/>
        <v>2.2702123219076995</v>
      </c>
      <c r="P186" s="541">
        <f t="shared" si="31"/>
        <v>2.4601626106503138</v>
      </c>
      <c r="Q186" s="143">
        <f t="shared" si="34"/>
        <v>0</v>
      </c>
      <c r="AD186" s="113"/>
      <c r="AK186" s="26"/>
    </row>
    <row r="187" spans="3:37" ht="13.5" thickBot="1" x14ac:dyDescent="0.3">
      <c r="C187" s="26" t="str" cm="1">
        <f t="array" ref="C187">INDEX('List Values'!$B$2:$B$17,(1+ROUNDDOWN((ROW()-ROW($C$109))*1/6,2)))</f>
        <v>Fabrication or Use of Final Products or Articles</v>
      </c>
      <c r="D187" s="513" t="s">
        <v>197</v>
      </c>
      <c r="E187" s="514" t="s">
        <v>90</v>
      </c>
      <c r="F187" s="543">
        <f t="shared" si="29"/>
        <v>20</v>
      </c>
      <c r="G187" s="543">
        <f t="shared" si="29"/>
        <v>27.272727272727273</v>
      </c>
      <c r="H187" s="543">
        <f t="shared" si="29"/>
        <v>29.199999999999996</v>
      </c>
      <c r="I187" s="543">
        <f t="shared" si="32"/>
        <v>0</v>
      </c>
      <c r="J187" s="543">
        <f t="shared" si="30"/>
        <v>61.971105661927062</v>
      </c>
      <c r="K187" s="543">
        <f t="shared" si="30"/>
        <v>84.506053175355092</v>
      </c>
      <c r="L187" s="543">
        <f t="shared" si="30"/>
        <v>90.477814266413532</v>
      </c>
      <c r="M187" s="543">
        <f t="shared" si="33"/>
        <v>0</v>
      </c>
      <c r="N187" s="543">
        <f t="shared" si="31"/>
        <v>15.120231735683575</v>
      </c>
      <c r="O187" s="543">
        <f t="shared" si="31"/>
        <v>20.618497821386693</v>
      </c>
      <c r="P187" s="543">
        <f t="shared" si="31"/>
        <v>22.07553833409802</v>
      </c>
      <c r="Q187" s="143">
        <f t="shared" si="34"/>
        <v>0</v>
      </c>
      <c r="AD187" s="113"/>
      <c r="AK187" s="26"/>
    </row>
    <row r="188" spans="3:37" ht="13.5" thickBot="1" x14ac:dyDescent="0.3">
      <c r="C188" s="26" t="str" cm="1">
        <f t="array" ref="C188">INDEX('List Values'!$B$2:$B$17,(1+ROUNDDOWN((ROW()-ROW($C$109))*1/6,2)))</f>
        <v>Fabrication or Use of Final Products or Articles</v>
      </c>
      <c r="D188" s="513" t="s">
        <v>197</v>
      </c>
      <c r="E188" s="513" t="s">
        <v>91</v>
      </c>
      <c r="F188" s="543">
        <f t="shared" si="29"/>
        <v>168</v>
      </c>
      <c r="G188" s="543">
        <f t="shared" si="29"/>
        <v>229.09090909090909</v>
      </c>
      <c r="H188" s="543">
        <f t="shared" si="29"/>
        <v>245.28000000000003</v>
      </c>
      <c r="I188" s="543">
        <f t="shared" si="32"/>
        <v>0</v>
      </c>
      <c r="J188" s="543">
        <f t="shared" si="30"/>
        <v>123.94221132385412</v>
      </c>
      <c r="K188" s="543">
        <f t="shared" si="30"/>
        <v>169.01210635071018</v>
      </c>
      <c r="L188" s="543">
        <f t="shared" si="30"/>
        <v>180.95562853282703</v>
      </c>
      <c r="M188" s="543">
        <f t="shared" si="33"/>
        <v>0</v>
      </c>
      <c r="N188" s="543">
        <f t="shared" si="31"/>
        <v>71.323332819826931</v>
      </c>
      <c r="O188" s="543">
        <f t="shared" si="31"/>
        <v>97.259090208854914</v>
      </c>
      <c r="P188" s="543">
        <f t="shared" si="31"/>
        <v>104.13206591694733</v>
      </c>
      <c r="Q188" s="143">
        <f t="shared" si="34"/>
        <v>0</v>
      </c>
      <c r="AD188" s="113"/>
      <c r="AK188" s="26"/>
    </row>
    <row r="189" spans="3:37" ht="13.5" thickBot="1" x14ac:dyDescent="0.3">
      <c r="C189" s="26" t="str" cm="1">
        <f t="array" ref="C189">INDEX('List Values'!$B$2:$B$17,(1+ROUNDDOWN((ROW()-ROW($C$109))*1/6,2)))</f>
        <v>Fabrication or Use of Final Products or Articles</v>
      </c>
      <c r="D189" s="513" t="s">
        <v>72</v>
      </c>
      <c r="E189" s="514" t="s">
        <v>90</v>
      </c>
      <c r="F189" s="543">
        <f t="shared" ref="F189:H204" si="35">F$107/F85</f>
        <v>18.106250000000003</v>
      </c>
      <c r="G189" s="543">
        <f t="shared" si="35"/>
        <v>24.690340909090914</v>
      </c>
      <c r="H189" s="543">
        <f t="shared" si="35"/>
        <v>26.435125000000006</v>
      </c>
      <c r="I189" s="543">
        <f t="shared" si="32"/>
        <v>0</v>
      </c>
      <c r="J189" s="543">
        <f t="shared" ref="J189:L204" si="36">IFERROR(J$107/J85,"")</f>
        <v>67.426651873850645</v>
      </c>
      <c r="K189" s="543">
        <f t="shared" si="36"/>
        <v>91.94543437343269</v>
      </c>
      <c r="L189" s="543">
        <f t="shared" si="36"/>
        <v>98.442911735821923</v>
      </c>
      <c r="M189" s="543">
        <f t="shared" si="33"/>
        <v>0</v>
      </c>
      <c r="N189" s="543">
        <f t="shared" ref="N189:P204" si="37">N$107/N85</f>
        <v>14.273382391392337</v>
      </c>
      <c r="O189" s="543">
        <f t="shared" si="37"/>
        <v>19.463703260989551</v>
      </c>
      <c r="P189" s="543">
        <f t="shared" si="37"/>
        <v>20.83913829143281</v>
      </c>
      <c r="Q189" s="143">
        <f t="shared" si="34"/>
        <v>0</v>
      </c>
      <c r="AD189" s="113"/>
      <c r="AK189" s="26"/>
    </row>
    <row r="190" spans="3:37" ht="13.5" thickBot="1" x14ac:dyDescent="0.3">
      <c r="C190" s="26" t="str" cm="1">
        <f t="array" ref="C190">INDEX('List Values'!$B$2:$B$17,(1+ROUNDDOWN((ROW()-ROW($C$109))*1/6,2)))</f>
        <v>Fabrication or Use of Final Products or Articles</v>
      </c>
      <c r="D190" s="513" t="s">
        <v>72</v>
      </c>
      <c r="E190" s="513" t="s">
        <v>91</v>
      </c>
      <c r="F190" s="543">
        <f t="shared" si="35"/>
        <v>152.09250000000003</v>
      </c>
      <c r="G190" s="543">
        <f t="shared" si="35"/>
        <v>207.3988636363637</v>
      </c>
      <c r="H190" s="543">
        <f t="shared" si="35"/>
        <v>222.05505000000002</v>
      </c>
      <c r="I190" s="543">
        <f t="shared" si="32"/>
        <v>0</v>
      </c>
      <c r="J190" s="543">
        <f t="shared" si="36"/>
        <v>134.85330374770129</v>
      </c>
      <c r="K190" s="543">
        <f t="shared" si="36"/>
        <v>183.89086874686538</v>
      </c>
      <c r="L190" s="543">
        <f t="shared" si="36"/>
        <v>196.88582347164385</v>
      </c>
      <c r="M190" s="543">
        <f t="shared" si="33"/>
        <v>0</v>
      </c>
      <c r="N190" s="543">
        <f t="shared" si="37"/>
        <v>71.477525833696973</v>
      </c>
      <c r="O190" s="543">
        <f t="shared" si="37"/>
        <v>97.469353409586788</v>
      </c>
      <c r="P190" s="543">
        <f t="shared" si="37"/>
        <v>104.35718771719758</v>
      </c>
      <c r="Q190" s="143">
        <f t="shared" si="34"/>
        <v>0</v>
      </c>
      <c r="AD190" s="113"/>
      <c r="AK190" s="26"/>
    </row>
    <row r="191" spans="3:37" ht="13.5" thickBot="1" x14ac:dyDescent="0.3">
      <c r="C191" s="26" t="str" cm="1">
        <f t="array" ref="C191">INDEX('List Values'!$B$2:$B$17,(1+ROUNDDOWN((ROW()-ROW($C$109))*1/6,2)))</f>
        <v>Fabrication or Use of Final Products or Articles</v>
      </c>
      <c r="D191" s="513" t="s">
        <v>92</v>
      </c>
      <c r="E191" s="514" t="s">
        <v>90</v>
      </c>
      <c r="F191" s="543">
        <f t="shared" si="35"/>
        <v>168</v>
      </c>
      <c r="G191" s="543">
        <f t="shared" si="35"/>
        <v>229.09090909090909</v>
      </c>
      <c r="H191" s="543">
        <f t="shared" si="35"/>
        <v>245.28000000000003</v>
      </c>
      <c r="I191" s="543">
        <f t="shared" si="32"/>
        <v>0</v>
      </c>
      <c r="J191" s="543">
        <f t="shared" si="36"/>
        <v>123.94221132385412</v>
      </c>
      <c r="K191" s="543">
        <f t="shared" si="36"/>
        <v>169.01210635071018</v>
      </c>
      <c r="L191" s="543">
        <f t="shared" si="36"/>
        <v>180.95562853282706</v>
      </c>
      <c r="M191" s="543">
        <f t="shared" si="33"/>
        <v>0</v>
      </c>
      <c r="N191" s="543">
        <f t="shared" si="37"/>
        <v>71.323332819826931</v>
      </c>
      <c r="O191" s="543">
        <f t="shared" si="37"/>
        <v>97.259090208854914</v>
      </c>
      <c r="P191" s="543">
        <f t="shared" si="37"/>
        <v>104.13206591694733</v>
      </c>
      <c r="Q191" s="143">
        <f t="shared" si="34"/>
        <v>0</v>
      </c>
      <c r="AD191" s="113"/>
      <c r="AK191" s="26"/>
    </row>
    <row r="192" spans="3:37" ht="13.5" thickBot="1" x14ac:dyDescent="0.3">
      <c r="C192" s="26" t="str" cm="1">
        <f t="array" ref="C192">INDEX('List Values'!$B$2:$B$17,(1+ROUNDDOWN((ROW()-ROW($C$109))*1/6,2)))</f>
        <v>Fabrication or Use of Final Products or Articles</v>
      </c>
      <c r="D192" s="513" t="s">
        <v>92</v>
      </c>
      <c r="E192" s="513" t="s">
        <v>91</v>
      </c>
      <c r="F192" s="543">
        <f t="shared" si="35"/>
        <v>168</v>
      </c>
      <c r="G192" s="543">
        <f t="shared" si="35"/>
        <v>229.09090909090909</v>
      </c>
      <c r="H192" s="543">
        <f t="shared" si="35"/>
        <v>245.28000000000003</v>
      </c>
      <c r="I192" s="543">
        <f t="shared" si="32"/>
        <v>0</v>
      </c>
      <c r="J192" s="543">
        <f t="shared" si="36"/>
        <v>123.94221132385412</v>
      </c>
      <c r="K192" s="543">
        <f t="shared" si="36"/>
        <v>169.01210635071018</v>
      </c>
      <c r="L192" s="543">
        <f t="shared" si="36"/>
        <v>180.95562853282703</v>
      </c>
      <c r="M192" s="543">
        <f t="shared" si="33"/>
        <v>0</v>
      </c>
      <c r="N192" s="543">
        <f t="shared" si="37"/>
        <v>71.323332819826931</v>
      </c>
      <c r="O192" s="543">
        <f t="shared" si="37"/>
        <v>97.259090208854914</v>
      </c>
      <c r="P192" s="543">
        <f t="shared" si="37"/>
        <v>104.13206591694733</v>
      </c>
      <c r="Q192" s="143">
        <f t="shared" si="34"/>
        <v>0</v>
      </c>
      <c r="AD192" s="113"/>
      <c r="AK192" s="26"/>
    </row>
    <row r="193" spans="3:37" ht="13.5" thickBot="1" x14ac:dyDescent="0.3">
      <c r="C193" s="26" t="str" cm="1">
        <f t="array" ref="C193">INDEX('List Values'!$B$2:$B$17,(1+ROUNDDOWN((ROW()-ROW($C$109))*1/6,2)))</f>
        <v>Recycling</v>
      </c>
      <c r="D193" s="513" t="s">
        <v>197</v>
      </c>
      <c r="E193" s="514" t="s">
        <v>90</v>
      </c>
      <c r="F193" s="539">
        <f t="shared" si="35"/>
        <v>10.666666666666668</v>
      </c>
      <c r="G193" s="543">
        <f t="shared" si="35"/>
        <v>14.545454545454545</v>
      </c>
      <c r="H193" s="543">
        <f t="shared" si="35"/>
        <v>15.573333333333334</v>
      </c>
      <c r="I193" s="543">
        <f t="shared" si="32"/>
        <v>0</v>
      </c>
      <c r="J193" s="543">
        <f t="shared" si="36"/>
        <v>61.971105661927062</v>
      </c>
      <c r="K193" s="543">
        <f t="shared" si="36"/>
        <v>84.506053175355092</v>
      </c>
      <c r="L193" s="543">
        <f t="shared" si="36"/>
        <v>90.477814266413532</v>
      </c>
      <c r="M193" s="543">
        <f t="shared" si="33"/>
        <v>0</v>
      </c>
      <c r="N193" s="539">
        <f t="shared" si="37"/>
        <v>9.1002945970074034</v>
      </c>
      <c r="O193" s="543">
        <f t="shared" si="37"/>
        <v>12.409492632282824</v>
      </c>
      <c r="P193" s="543">
        <f t="shared" si="37"/>
        <v>13.286430111630809</v>
      </c>
      <c r="Q193" s="143">
        <f t="shared" si="34"/>
        <v>0</v>
      </c>
      <c r="AD193" s="113"/>
      <c r="AK193" s="26"/>
    </row>
    <row r="194" spans="3:37" ht="13.5" thickBot="1" x14ac:dyDescent="0.3">
      <c r="C194" s="26" t="str" cm="1">
        <f t="array" ref="C194">INDEX('List Values'!$B$2:$B$17,(1+ROUNDDOWN((ROW()-ROW($C$109))*1/6,2)))</f>
        <v>Recycling</v>
      </c>
      <c r="D194" s="513" t="s">
        <v>197</v>
      </c>
      <c r="E194" s="513" t="s">
        <v>91</v>
      </c>
      <c r="F194" s="543">
        <f t="shared" si="35"/>
        <v>155.55555555555554</v>
      </c>
      <c r="G194" s="543">
        <f t="shared" si="35"/>
        <v>212.12121212121212</v>
      </c>
      <c r="H194" s="543">
        <f t="shared" si="35"/>
        <v>227.11111111111109</v>
      </c>
      <c r="I194" s="543">
        <f t="shared" si="32"/>
        <v>0</v>
      </c>
      <c r="J194" s="543">
        <f t="shared" si="36"/>
        <v>123.94221132385412</v>
      </c>
      <c r="K194" s="543">
        <f t="shared" si="36"/>
        <v>169.01210635071018</v>
      </c>
      <c r="L194" s="543">
        <f t="shared" si="36"/>
        <v>180.95562853282703</v>
      </c>
      <c r="M194" s="543">
        <f t="shared" si="33"/>
        <v>0</v>
      </c>
      <c r="N194" s="543">
        <f t="shared" si="37"/>
        <v>68.980513706875442</v>
      </c>
      <c r="O194" s="543">
        <f t="shared" si="37"/>
        <v>94.064336873011968</v>
      </c>
      <c r="P194" s="543">
        <f t="shared" si="37"/>
        <v>100.71155001203815</v>
      </c>
      <c r="Q194" s="143">
        <f t="shared" si="34"/>
        <v>0</v>
      </c>
      <c r="AD194" s="113"/>
      <c r="AK194" s="26"/>
    </row>
    <row r="195" spans="3:37" ht="13.5" thickBot="1" x14ac:dyDescent="0.3">
      <c r="C195" s="26" t="str" cm="1">
        <f t="array" ref="C195">INDEX('List Values'!$B$2:$B$17,(1+ROUNDDOWN((ROW()-ROW($C$109))*1/6,2)))</f>
        <v>Recycling</v>
      </c>
      <c r="D195" s="513" t="s">
        <v>72</v>
      </c>
      <c r="E195" s="514" t="s">
        <v>90</v>
      </c>
      <c r="F195" s="539">
        <f t="shared" si="35"/>
        <v>9.6566666666666698</v>
      </c>
      <c r="G195" s="543">
        <f t="shared" si="35"/>
        <v>13.168181818181822</v>
      </c>
      <c r="H195" s="543">
        <f t="shared" si="35"/>
        <v>14.098733333333335</v>
      </c>
      <c r="I195" s="543">
        <f t="shared" si="32"/>
        <v>0</v>
      </c>
      <c r="J195" s="543">
        <f t="shared" si="36"/>
        <v>67.426651873850645</v>
      </c>
      <c r="K195" s="543">
        <f t="shared" si="36"/>
        <v>91.94543437343269</v>
      </c>
      <c r="L195" s="543">
        <f t="shared" si="36"/>
        <v>98.442911735821923</v>
      </c>
      <c r="M195" s="543">
        <f t="shared" si="33"/>
        <v>0</v>
      </c>
      <c r="N195" s="539">
        <f t="shared" si="37"/>
        <v>8.4469209930668026</v>
      </c>
      <c r="O195" s="543">
        <f t="shared" si="37"/>
        <v>11.518528626909278</v>
      </c>
      <c r="P195" s="543">
        <f t="shared" si="37"/>
        <v>12.332504649877531</v>
      </c>
      <c r="Q195" s="143">
        <f t="shared" si="34"/>
        <v>0</v>
      </c>
      <c r="AD195" s="113"/>
      <c r="AK195" s="26"/>
    </row>
    <row r="196" spans="3:37" ht="13.5" thickBot="1" x14ac:dyDescent="0.3">
      <c r="C196" s="26" t="str" cm="1">
        <f t="array" ref="C196">INDEX('List Values'!$B$2:$B$17,(1+ROUNDDOWN((ROW()-ROW($C$109))*1/6,2)))</f>
        <v>Recycling</v>
      </c>
      <c r="D196" s="513" t="s">
        <v>72</v>
      </c>
      <c r="E196" s="513" t="s">
        <v>91</v>
      </c>
      <c r="F196" s="543">
        <f t="shared" si="35"/>
        <v>140.82638888888891</v>
      </c>
      <c r="G196" s="543">
        <f t="shared" si="35"/>
        <v>192.03598484848484</v>
      </c>
      <c r="H196" s="543">
        <f t="shared" si="35"/>
        <v>205.60652777777779</v>
      </c>
      <c r="I196" s="543">
        <f t="shared" si="32"/>
        <v>0</v>
      </c>
      <c r="J196" s="543">
        <f t="shared" si="36"/>
        <v>134.85330374770129</v>
      </c>
      <c r="K196" s="543">
        <f t="shared" si="36"/>
        <v>183.89086874686538</v>
      </c>
      <c r="L196" s="543">
        <f t="shared" si="36"/>
        <v>196.88582347164385</v>
      </c>
      <c r="M196" s="543">
        <f t="shared" si="33"/>
        <v>0</v>
      </c>
      <c r="N196" s="543">
        <f t="shared" si="37"/>
        <v>68.887568811822703</v>
      </c>
      <c r="O196" s="543">
        <f t="shared" si="37"/>
        <v>93.937593834303684</v>
      </c>
      <c r="P196" s="543">
        <f t="shared" si="37"/>
        <v>100.57585046526114</v>
      </c>
      <c r="Q196" s="143">
        <f t="shared" si="34"/>
        <v>0</v>
      </c>
      <c r="AD196" s="113"/>
      <c r="AK196" s="26"/>
    </row>
    <row r="197" spans="3:37" ht="13.5" thickBot="1" x14ac:dyDescent="0.3">
      <c r="C197" s="26" t="str" cm="1">
        <f t="array" ref="C197">INDEX('List Values'!$B$2:$B$17,(1+ROUNDDOWN((ROW()-ROW($C$109))*1/6,2)))</f>
        <v>Recycling</v>
      </c>
      <c r="D197" s="513" t="s">
        <v>92</v>
      </c>
      <c r="E197" s="514" t="s">
        <v>90</v>
      </c>
      <c r="F197" s="543">
        <f t="shared" si="35"/>
        <v>155.55555555555554</v>
      </c>
      <c r="G197" s="543">
        <f t="shared" si="35"/>
        <v>212.12121212121212</v>
      </c>
      <c r="H197" s="543">
        <f t="shared" si="35"/>
        <v>227.11111111111109</v>
      </c>
      <c r="I197" s="543">
        <f t="shared" si="32"/>
        <v>0</v>
      </c>
      <c r="J197" s="543">
        <f t="shared" si="36"/>
        <v>123.94221132385412</v>
      </c>
      <c r="K197" s="543">
        <f t="shared" si="36"/>
        <v>169.01210635071018</v>
      </c>
      <c r="L197" s="543">
        <f t="shared" si="36"/>
        <v>180.95562853282706</v>
      </c>
      <c r="M197" s="543">
        <f t="shared" si="33"/>
        <v>0</v>
      </c>
      <c r="N197" s="543">
        <f t="shared" si="37"/>
        <v>68.980513706875442</v>
      </c>
      <c r="O197" s="543">
        <f t="shared" si="37"/>
        <v>94.064336873011968</v>
      </c>
      <c r="P197" s="543">
        <f t="shared" si="37"/>
        <v>100.71155001203815</v>
      </c>
      <c r="Q197" s="143">
        <f t="shared" si="34"/>
        <v>0</v>
      </c>
      <c r="AD197" s="113"/>
      <c r="AK197" s="26"/>
    </row>
    <row r="198" spans="3:37" ht="13.5" thickBot="1" x14ac:dyDescent="0.3">
      <c r="C198" s="26" t="str" cm="1">
        <f t="array" ref="C198">INDEX('List Values'!$B$2:$B$17,(1+ROUNDDOWN((ROW()-ROW($C$109))*1/6,2)))</f>
        <v>Recycling</v>
      </c>
      <c r="D198" s="513" t="s">
        <v>92</v>
      </c>
      <c r="E198" s="513" t="s">
        <v>91</v>
      </c>
      <c r="F198" s="543">
        <f t="shared" si="35"/>
        <v>155.55555555555554</v>
      </c>
      <c r="G198" s="543">
        <f t="shared" si="35"/>
        <v>212.12121212121212</v>
      </c>
      <c r="H198" s="543">
        <f t="shared" si="35"/>
        <v>227.11111111111109</v>
      </c>
      <c r="I198" s="543">
        <f t="shared" si="32"/>
        <v>0</v>
      </c>
      <c r="J198" s="543">
        <f t="shared" si="36"/>
        <v>123.94221132385412</v>
      </c>
      <c r="K198" s="543">
        <f t="shared" si="36"/>
        <v>169.01210635071018</v>
      </c>
      <c r="L198" s="543">
        <f t="shared" si="36"/>
        <v>180.95562853282703</v>
      </c>
      <c r="M198" s="543">
        <f t="shared" si="33"/>
        <v>0</v>
      </c>
      <c r="N198" s="543">
        <f t="shared" si="37"/>
        <v>68.980513706875442</v>
      </c>
      <c r="O198" s="543">
        <f t="shared" si="37"/>
        <v>94.064336873011968</v>
      </c>
      <c r="P198" s="543">
        <f t="shared" si="37"/>
        <v>100.71155001203815</v>
      </c>
      <c r="Q198" s="143">
        <f t="shared" si="34"/>
        <v>0</v>
      </c>
      <c r="AD198" s="113"/>
      <c r="AK198" s="26"/>
    </row>
    <row r="199" spans="3:37" ht="13.5" thickBot="1" x14ac:dyDescent="0.3">
      <c r="C199" s="26" t="str" cm="1">
        <f t="array" ref="C199">INDEX('List Values'!$B$2:$B$17,(1+ROUNDDOWN((ROW()-ROW($C$109))*1/6,2)))</f>
        <v>Waste Handling, Treatment, and Disposal</v>
      </c>
      <c r="D199" s="513" t="s">
        <v>197</v>
      </c>
      <c r="E199" s="514" t="s">
        <v>90</v>
      </c>
      <c r="F199" s="539">
        <f t="shared" si="35"/>
        <v>10.666666666666668</v>
      </c>
      <c r="G199" s="543">
        <f t="shared" si="35"/>
        <v>14.545454545454545</v>
      </c>
      <c r="H199" s="543">
        <f t="shared" si="35"/>
        <v>15.573333333333334</v>
      </c>
      <c r="I199" s="543">
        <f t="shared" si="32"/>
        <v>0</v>
      </c>
      <c r="J199" s="543">
        <f t="shared" si="36"/>
        <v>61.971105661927062</v>
      </c>
      <c r="K199" s="543">
        <f t="shared" si="36"/>
        <v>84.506053175355092</v>
      </c>
      <c r="L199" s="543">
        <f t="shared" si="36"/>
        <v>90.477814266413532</v>
      </c>
      <c r="M199" s="543">
        <f t="shared" si="33"/>
        <v>0</v>
      </c>
      <c r="N199" s="539">
        <f t="shared" si="37"/>
        <v>9.1002945970074034</v>
      </c>
      <c r="O199" s="543">
        <f t="shared" si="37"/>
        <v>12.409492632282824</v>
      </c>
      <c r="P199" s="543">
        <f t="shared" si="37"/>
        <v>13.286430111630809</v>
      </c>
      <c r="Q199" s="143">
        <f t="shared" si="34"/>
        <v>0</v>
      </c>
      <c r="AD199" s="113"/>
      <c r="AK199" s="26"/>
    </row>
    <row r="200" spans="3:37" ht="13.5" thickBot="1" x14ac:dyDescent="0.3">
      <c r="C200" s="26" t="str" cm="1">
        <f t="array" ref="C200">INDEX('List Values'!$B$2:$B$17,(1+ROUNDDOWN((ROW()-ROW($C$109))*1/6,2)))</f>
        <v>Waste Handling, Treatment, and Disposal</v>
      </c>
      <c r="D200" s="513" t="s">
        <v>197</v>
      </c>
      <c r="E200" s="513" t="s">
        <v>91</v>
      </c>
      <c r="F200" s="543">
        <f t="shared" si="35"/>
        <v>155.55555555555554</v>
      </c>
      <c r="G200" s="543">
        <f t="shared" si="35"/>
        <v>212.12121212121212</v>
      </c>
      <c r="H200" s="543">
        <f t="shared" si="35"/>
        <v>227.11111111111109</v>
      </c>
      <c r="I200" s="543">
        <f t="shared" si="32"/>
        <v>0</v>
      </c>
      <c r="J200" s="543">
        <f t="shared" si="36"/>
        <v>123.94221132385412</v>
      </c>
      <c r="K200" s="543">
        <f t="shared" si="36"/>
        <v>169.01210635071018</v>
      </c>
      <c r="L200" s="543">
        <f t="shared" si="36"/>
        <v>180.95562853282703</v>
      </c>
      <c r="M200" s="543">
        <f t="shared" si="33"/>
        <v>0</v>
      </c>
      <c r="N200" s="543">
        <f t="shared" si="37"/>
        <v>68.980513706875442</v>
      </c>
      <c r="O200" s="543">
        <f t="shared" si="37"/>
        <v>94.064336873011968</v>
      </c>
      <c r="P200" s="543">
        <f t="shared" si="37"/>
        <v>100.71155001203815</v>
      </c>
      <c r="Q200" s="143">
        <f t="shared" si="34"/>
        <v>0</v>
      </c>
      <c r="AD200" s="113"/>
      <c r="AK200" s="26"/>
    </row>
    <row r="201" spans="3:37" ht="13.5" thickBot="1" x14ac:dyDescent="0.3">
      <c r="C201" s="26" t="str" cm="1">
        <f t="array" ref="C201">INDEX('List Values'!$B$2:$B$17,(1+ROUNDDOWN((ROW()-ROW($C$109))*1/6,2)))</f>
        <v>Waste Handling, Treatment, and Disposal</v>
      </c>
      <c r="D201" s="513" t="s">
        <v>72</v>
      </c>
      <c r="E201" s="514" t="s">
        <v>90</v>
      </c>
      <c r="F201" s="539">
        <f t="shared" si="35"/>
        <v>9.6566666666666698</v>
      </c>
      <c r="G201" s="543">
        <f t="shared" si="35"/>
        <v>13.168181818181822</v>
      </c>
      <c r="H201" s="543">
        <f t="shared" si="35"/>
        <v>14.098733333333335</v>
      </c>
      <c r="I201" s="543">
        <f t="shared" si="32"/>
        <v>0</v>
      </c>
      <c r="J201" s="543">
        <f t="shared" si="36"/>
        <v>67.426651873850645</v>
      </c>
      <c r="K201" s="543">
        <f t="shared" si="36"/>
        <v>91.94543437343269</v>
      </c>
      <c r="L201" s="543">
        <f t="shared" si="36"/>
        <v>98.442911735821923</v>
      </c>
      <c r="M201" s="543">
        <f t="shared" si="33"/>
        <v>0</v>
      </c>
      <c r="N201" s="539">
        <f t="shared" si="37"/>
        <v>8.4469209930668026</v>
      </c>
      <c r="O201" s="543">
        <f t="shared" si="37"/>
        <v>11.518528626909278</v>
      </c>
      <c r="P201" s="543">
        <f t="shared" si="37"/>
        <v>12.332504649877531</v>
      </c>
      <c r="Q201" s="143">
        <f t="shared" si="34"/>
        <v>0</v>
      </c>
      <c r="AD201" s="113"/>
      <c r="AK201" s="26"/>
    </row>
    <row r="202" spans="3:37" ht="13.5" thickBot="1" x14ac:dyDescent="0.3">
      <c r="C202" s="26" t="str" cm="1">
        <f t="array" ref="C202">INDEX('List Values'!$B$2:$B$17,(1+ROUNDDOWN((ROW()-ROW($C$109))*1/6,2)))</f>
        <v>Waste Handling, Treatment, and Disposal</v>
      </c>
      <c r="D202" s="513" t="s">
        <v>72</v>
      </c>
      <c r="E202" s="513" t="s">
        <v>91</v>
      </c>
      <c r="F202" s="543">
        <f t="shared" si="35"/>
        <v>140.82638888888891</v>
      </c>
      <c r="G202" s="543">
        <f t="shared" si="35"/>
        <v>192.03598484848484</v>
      </c>
      <c r="H202" s="543">
        <f t="shared" si="35"/>
        <v>205.60652777777779</v>
      </c>
      <c r="I202" s="543">
        <f t="shared" si="32"/>
        <v>0</v>
      </c>
      <c r="J202" s="543">
        <f t="shared" si="36"/>
        <v>134.85330374770129</v>
      </c>
      <c r="K202" s="543">
        <f t="shared" si="36"/>
        <v>183.89086874686538</v>
      </c>
      <c r="L202" s="543">
        <f t="shared" si="36"/>
        <v>196.88582347164385</v>
      </c>
      <c r="M202" s="543">
        <f t="shared" si="33"/>
        <v>0</v>
      </c>
      <c r="N202" s="543">
        <f t="shared" si="37"/>
        <v>68.887568811822703</v>
      </c>
      <c r="O202" s="543">
        <f t="shared" si="37"/>
        <v>93.937593834303684</v>
      </c>
      <c r="P202" s="543">
        <f t="shared" si="37"/>
        <v>100.57585046526114</v>
      </c>
      <c r="Q202" s="143">
        <f t="shared" si="34"/>
        <v>0</v>
      </c>
      <c r="AD202" s="113"/>
      <c r="AK202" s="26"/>
    </row>
    <row r="203" spans="3:37" ht="13.5" thickBot="1" x14ac:dyDescent="0.3">
      <c r="C203" s="26" t="str" cm="1">
        <f t="array" ref="C203">INDEX('List Values'!$B$2:$B$17,(1+ROUNDDOWN((ROW()-ROW($C$109))*1/6,2)))</f>
        <v>Waste Handling, Treatment, and Disposal</v>
      </c>
      <c r="D203" s="513" t="s">
        <v>92</v>
      </c>
      <c r="E203" s="514" t="s">
        <v>90</v>
      </c>
      <c r="F203" s="543">
        <f t="shared" si="35"/>
        <v>155.55555555555554</v>
      </c>
      <c r="G203" s="543">
        <f t="shared" si="35"/>
        <v>212.12121212121212</v>
      </c>
      <c r="H203" s="543">
        <f t="shared" si="35"/>
        <v>227.11111111111109</v>
      </c>
      <c r="I203" s="543">
        <f t="shared" si="32"/>
        <v>0</v>
      </c>
      <c r="J203" s="543">
        <f t="shared" si="36"/>
        <v>123.94221132385412</v>
      </c>
      <c r="K203" s="543">
        <f t="shared" si="36"/>
        <v>169.01210635071018</v>
      </c>
      <c r="L203" s="543">
        <f t="shared" si="36"/>
        <v>180.95562853282706</v>
      </c>
      <c r="M203" s="543">
        <f t="shared" si="33"/>
        <v>0</v>
      </c>
      <c r="N203" s="543">
        <f t="shared" si="37"/>
        <v>68.980513706875442</v>
      </c>
      <c r="O203" s="543">
        <f t="shared" si="37"/>
        <v>94.064336873011968</v>
      </c>
      <c r="P203" s="543">
        <f t="shared" si="37"/>
        <v>100.71155001203815</v>
      </c>
      <c r="Q203" s="143">
        <f t="shared" si="34"/>
        <v>0</v>
      </c>
      <c r="AD203" s="113"/>
      <c r="AK203" s="26"/>
    </row>
    <row r="204" spans="3:37" x14ac:dyDescent="0.25">
      <c r="C204" s="26" t="str" cm="1">
        <f t="array" ref="C204">INDEX('List Values'!$B$2:$B$17,(1+ROUNDDOWN((ROW()-ROW($C$109))*1/6,2)))</f>
        <v>Waste Handling, Treatment, and Disposal</v>
      </c>
      <c r="D204" s="513" t="s">
        <v>92</v>
      </c>
      <c r="E204" s="513" t="s">
        <v>91</v>
      </c>
      <c r="F204" s="543">
        <f t="shared" si="35"/>
        <v>155.55555555555554</v>
      </c>
      <c r="G204" s="543">
        <f t="shared" si="35"/>
        <v>212.12121212121212</v>
      </c>
      <c r="H204" s="543">
        <f t="shared" si="35"/>
        <v>227.11111111111109</v>
      </c>
      <c r="I204" s="543">
        <f t="shared" si="32"/>
        <v>0</v>
      </c>
      <c r="J204" s="543">
        <f t="shared" si="36"/>
        <v>123.94221132385412</v>
      </c>
      <c r="K204" s="543">
        <f t="shared" si="36"/>
        <v>169.01210635071018</v>
      </c>
      <c r="L204" s="543">
        <f t="shared" si="36"/>
        <v>180.95562853282703</v>
      </c>
      <c r="M204" s="543">
        <f t="shared" si="33"/>
        <v>0</v>
      </c>
      <c r="N204" s="543">
        <f t="shared" si="37"/>
        <v>68.980513706875442</v>
      </c>
      <c r="O204" s="543">
        <f t="shared" si="37"/>
        <v>94.064336873011968</v>
      </c>
      <c r="P204" s="543">
        <f t="shared" si="37"/>
        <v>100.71155001203815</v>
      </c>
      <c r="Q204" s="143">
        <f t="shared" si="34"/>
        <v>0</v>
      </c>
      <c r="AD204" s="113"/>
      <c r="AK204" s="26"/>
    </row>
  </sheetData>
  <sheetProtection sheet="1" objects="1" scenarios="1" formatCells="0" formatColumns="0" formatRows="0" sort="0" autoFilter="0"/>
  <autoFilter ref="C108:Q204" xr:uid="{F916B0BD-3A26-46B1-9811-A8C9CF09E75F}"/>
  <dataConsolidate/>
  <mergeCells count="6">
    <mergeCell ref="F3:I3"/>
    <mergeCell ref="J3:M3"/>
    <mergeCell ref="N3:Q3"/>
    <mergeCell ref="F105:I105"/>
    <mergeCell ref="J105:M105"/>
    <mergeCell ref="N105:Q105"/>
  </mergeCells>
  <conditionalFormatting sqref="F109:H204 N109:Q204">
    <cfRule type="cellIs" dxfId="110" priority="1000" operator="greaterThanOrEqual">
      <formula>F$106</formula>
    </cfRule>
  </conditionalFormatting>
  <conditionalFormatting sqref="F5:Q100">
    <cfRule type="cellIs" dxfId="109" priority="1" operator="equal">
      <formula>0</formula>
    </cfRule>
    <cfRule type="cellIs" dxfId="108" priority="2" operator="greaterThan">
      <formula>10000</formula>
    </cfRule>
    <cfRule type="cellIs" dxfId="107" priority="3" operator="between">
      <formula>10</formula>
      <formula>9999.999</formula>
    </cfRule>
    <cfRule type="cellIs" dxfId="106" priority="4" operator="between">
      <formula>1</formula>
      <formula>9.999</formula>
    </cfRule>
    <cfRule type="cellIs" dxfId="105" priority="5" operator="between">
      <formula>0.1</formula>
      <formula>0.999</formula>
    </cfRule>
    <cfRule type="cellIs" dxfId="104" priority="6" operator="lessThan">
      <formula>0.1</formula>
    </cfRule>
  </conditionalFormatting>
  <conditionalFormatting sqref="F109:Q204">
    <cfRule type="cellIs" dxfId="103" priority="7" stopIfTrue="1" operator="equal">
      <formula>0</formula>
    </cfRule>
    <cfRule type="containsBlanks" dxfId="102" priority="15" stopIfTrue="1">
      <formula>LEN(TRIM(F109))=0</formula>
    </cfRule>
    <cfRule type="cellIs" dxfId="101" priority="32" operator="lessThan">
      <formula>0.1</formula>
    </cfRule>
    <cfRule type="cellIs" dxfId="100" priority="33" operator="lessThan">
      <formula>10</formula>
    </cfRule>
    <cfRule type="cellIs" dxfId="99" priority="963" operator="greaterThanOrEqual">
      <formula>10</formula>
    </cfRule>
  </conditionalFormatting>
  <conditionalFormatting sqref="J109:L204">
    <cfRule type="cellIs" dxfId="98" priority="1005" operator="greaterThanOrEqual">
      <formula>J$106</formula>
    </cfRule>
    <cfRule type="cellIs" dxfId="97" priority="1006" operator="lessThan">
      <formula>J$106</formula>
    </cfRule>
    <cfRule type="cellIs" dxfId="96" priority="1007" operator="greaterThanOrEqual">
      <formula>#REF!</formula>
    </cfRule>
    <cfRule type="cellIs" dxfId="95" priority="1008" operator="lessThan">
      <formula>#REF!</formula>
    </cfRule>
  </conditionalFormatting>
  <conditionalFormatting sqref="M109:M204">
    <cfRule type="cellIs" dxfId="94" priority="996" operator="greaterThan">
      <formula>O$106</formula>
    </cfRule>
    <cfRule type="cellIs" dxfId="93" priority="997" operator="lessThanOrEqual">
      <formula>O$106</formula>
    </cfRule>
  </conditionalFormatting>
  <conditionalFormatting sqref="N109:Q204 F109:H204">
    <cfRule type="cellIs" dxfId="92" priority="978" operator="lessThan">
      <formula>F$106</formula>
    </cfRule>
  </conditionalFormatting>
  <conditionalFormatting sqref="Q109:Q204 I109:I204 M109:M204">
    <cfRule type="cellIs" dxfId="91" priority="982" operator="lessThanOrEqual">
      <formula>I$106</formula>
    </cfRule>
  </conditionalFormatting>
  <conditionalFormatting sqref="Q109:Q204 M109:M204 I109:I204">
    <cfRule type="cellIs" dxfId="90" priority="1004" operator="greaterThan">
      <formula>I$106</formula>
    </cfRule>
  </conditionalFormatting>
  <conditionalFormatting sqref="Q109:Q204">
    <cfRule type="cellIs" dxfId="89" priority="26" operator="greaterThan">
      <formula>#REF!</formula>
    </cfRule>
    <cfRule type="cellIs" dxfId="88" priority="31" operator="lessThanOrEqual">
      <formula>#REF!</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850F-DA4A-4D3D-97A6-3832AB231949}">
  <sheetPr codeName="Sheet4">
    <tabColor theme="1"/>
  </sheetPr>
  <dimension ref="B2:Q29"/>
  <sheetViews>
    <sheetView workbookViewId="0">
      <selection activeCell="H18" sqref="H18"/>
    </sheetView>
  </sheetViews>
  <sheetFormatPr defaultColWidth="8.85546875" defaultRowHeight="12.75" x14ac:dyDescent="0.2"/>
  <cols>
    <col min="1" max="1" width="3.5703125" style="11" customWidth="1"/>
    <col min="2" max="2" width="24.42578125" style="11" customWidth="1"/>
    <col min="3" max="3" width="21" style="11" bestFit="1" customWidth="1"/>
    <col min="4" max="5" width="18.85546875" style="11" customWidth="1"/>
    <col min="6" max="6" width="13.85546875" style="11" customWidth="1"/>
    <col min="7" max="7" width="11.140625" style="11" customWidth="1"/>
    <col min="8" max="8" width="15.85546875" style="11" bestFit="1" customWidth="1"/>
    <col min="9" max="9" width="14.140625" style="11" customWidth="1"/>
    <col min="10" max="10" width="13.85546875" style="11" customWidth="1"/>
    <col min="11" max="11" width="15" style="11" customWidth="1"/>
    <col min="12" max="12" width="17.140625" style="11" customWidth="1"/>
    <col min="13" max="13" width="11.140625" style="11" customWidth="1"/>
    <col min="14" max="14" width="20.42578125" style="11" bestFit="1" customWidth="1"/>
    <col min="15" max="15" width="14.5703125" style="11" bestFit="1" customWidth="1"/>
    <col min="16" max="16" width="22.5703125" style="11" bestFit="1" customWidth="1"/>
    <col min="17" max="17" width="23.85546875" style="11" customWidth="1"/>
    <col min="18" max="18" width="18" style="11" customWidth="1"/>
    <col min="19" max="19" width="20.85546875" style="11" bestFit="1" customWidth="1"/>
    <col min="20" max="20" width="14.85546875" style="11" customWidth="1"/>
    <col min="21" max="21" width="6.5703125" style="11" customWidth="1"/>
    <col min="22" max="16384" width="8.85546875" style="11"/>
  </cols>
  <sheetData>
    <row r="2" spans="2:16" ht="15.75" x14ac:dyDescent="0.25">
      <c r="B2" s="10" t="s">
        <v>292</v>
      </c>
    </row>
    <row r="3" spans="2:16" x14ac:dyDescent="0.2">
      <c r="L3" s="544"/>
    </row>
    <row r="4" spans="2:16" ht="30" customHeight="1" x14ac:dyDescent="0.2">
      <c r="B4" s="545" t="s">
        <v>293</v>
      </c>
      <c r="C4" s="546"/>
      <c r="D4" s="546"/>
      <c r="E4" s="546"/>
      <c r="F4" s="547" t="s">
        <v>294</v>
      </c>
      <c r="G4" s="547"/>
      <c r="H4" s="547" t="s">
        <v>295</v>
      </c>
      <c r="I4" s="547"/>
      <c r="J4" s="547" t="s">
        <v>296</v>
      </c>
      <c r="K4" s="548"/>
      <c r="N4" s="549" t="s">
        <v>297</v>
      </c>
      <c r="O4" s="547"/>
      <c r="P4" s="548"/>
    </row>
    <row r="5" spans="2:16" ht="25.5" x14ac:dyDescent="0.2">
      <c r="B5" s="36" t="s">
        <v>172</v>
      </c>
      <c r="C5" s="550" t="s">
        <v>153</v>
      </c>
      <c r="D5" s="550" t="s">
        <v>154</v>
      </c>
      <c r="E5" s="550" t="s">
        <v>298</v>
      </c>
      <c r="F5" s="551" t="s">
        <v>299</v>
      </c>
      <c r="G5" s="551" t="s">
        <v>300</v>
      </c>
      <c r="H5" s="551" t="s">
        <v>301</v>
      </c>
      <c r="I5" s="551" t="s">
        <v>302</v>
      </c>
      <c r="J5" s="551" t="s">
        <v>303</v>
      </c>
      <c r="K5" s="551" t="s">
        <v>304</v>
      </c>
      <c r="N5" s="552" t="s">
        <v>305</v>
      </c>
      <c r="O5" s="553" t="s">
        <v>306</v>
      </c>
      <c r="P5" s="554" t="s">
        <v>307</v>
      </c>
    </row>
    <row r="6" spans="2:16" x14ac:dyDescent="0.2">
      <c r="B6" s="555" t="s">
        <v>308</v>
      </c>
      <c r="C6" s="556" t="s">
        <v>309</v>
      </c>
      <c r="D6" s="557" t="s">
        <v>289</v>
      </c>
      <c r="E6" s="556" t="s">
        <v>309</v>
      </c>
      <c r="F6" s="558"/>
      <c r="G6" s="559"/>
      <c r="H6" s="558"/>
      <c r="I6" s="560"/>
      <c r="J6" s="561"/>
      <c r="K6" s="562"/>
      <c r="N6" s="563"/>
      <c r="O6" s="11" t="s">
        <v>310</v>
      </c>
      <c r="P6" s="564">
        <f>0.000001</f>
        <v>9.9999999999999995E-7</v>
      </c>
    </row>
    <row r="7" spans="2:16" x14ac:dyDescent="0.2">
      <c r="B7" s="29"/>
      <c r="C7" s="233"/>
      <c r="D7" s="565"/>
      <c r="E7" s="233"/>
      <c r="F7" s="49"/>
      <c r="G7" s="176"/>
      <c r="H7" s="49"/>
      <c r="I7" s="176"/>
      <c r="J7" s="566"/>
      <c r="K7" s="567"/>
      <c r="N7" s="563"/>
      <c r="O7" s="11" t="s">
        <v>311</v>
      </c>
      <c r="P7" s="564">
        <f>0.00001</f>
        <v>1.0000000000000001E-5</v>
      </c>
    </row>
    <row r="8" spans="2:16" x14ac:dyDescent="0.2">
      <c r="M8" s="568"/>
      <c r="N8" s="563" t="s">
        <v>312</v>
      </c>
      <c r="O8" s="11" t="s">
        <v>313</v>
      </c>
      <c r="P8" s="564">
        <f>0.0001</f>
        <v>1E-4</v>
      </c>
    </row>
    <row r="9" spans="2:16" ht="15" customHeight="1" x14ac:dyDescent="0.2">
      <c r="F9" s="569"/>
      <c r="G9" s="570" t="s">
        <v>73</v>
      </c>
      <c r="H9" s="570"/>
      <c r="I9" s="569" t="s">
        <v>65</v>
      </c>
      <c r="J9" s="569"/>
      <c r="K9" s="569"/>
      <c r="M9" s="568"/>
      <c r="N9" s="563"/>
      <c r="O9" s="11" t="s">
        <v>314</v>
      </c>
      <c r="P9" s="571"/>
    </row>
    <row r="10" spans="2:16" ht="15" customHeight="1" x14ac:dyDescent="0.2">
      <c r="B10" s="545" t="s">
        <v>315</v>
      </c>
      <c r="C10" s="572" t="s">
        <v>153</v>
      </c>
      <c r="D10" s="572"/>
      <c r="E10" s="572"/>
      <c r="F10" s="573"/>
      <c r="G10" s="574" t="s">
        <v>316</v>
      </c>
      <c r="H10" s="574"/>
      <c r="I10" s="574"/>
      <c r="J10" s="574"/>
      <c r="K10" s="574" t="s">
        <v>317</v>
      </c>
      <c r="L10" s="575"/>
      <c r="M10" s="576"/>
      <c r="N10" s="563"/>
      <c r="O10" s="11" t="s">
        <v>318</v>
      </c>
      <c r="P10" s="571"/>
    </row>
    <row r="11" spans="2:16" ht="30.75" customHeight="1" x14ac:dyDescent="0.2">
      <c r="B11" s="550" t="s">
        <v>17</v>
      </c>
      <c r="C11" s="550" t="s">
        <v>319</v>
      </c>
      <c r="D11" s="550" t="s">
        <v>320</v>
      </c>
      <c r="E11" s="550" t="s">
        <v>154</v>
      </c>
      <c r="F11" s="550" t="s">
        <v>298</v>
      </c>
      <c r="G11" s="551" t="s">
        <v>321</v>
      </c>
      <c r="H11" s="551" t="s">
        <v>322</v>
      </c>
      <c r="I11" s="551" t="s">
        <v>323</v>
      </c>
      <c r="J11" s="551" t="s">
        <v>324</v>
      </c>
      <c r="K11" s="551" t="s">
        <v>325</v>
      </c>
      <c r="L11" s="551" t="s">
        <v>326</v>
      </c>
      <c r="M11" s="576"/>
      <c r="N11" s="563"/>
      <c r="O11" s="11" t="s">
        <v>327</v>
      </c>
      <c r="P11" s="571"/>
    </row>
    <row r="12" spans="2:16" ht="25.5" x14ac:dyDescent="0.2">
      <c r="B12" s="26" t="s">
        <v>160</v>
      </c>
      <c r="C12" s="577" t="s">
        <v>328</v>
      </c>
      <c r="D12" s="577"/>
      <c r="E12" s="577"/>
      <c r="F12" s="577" t="s">
        <v>106</v>
      </c>
      <c r="G12" s="577">
        <v>12</v>
      </c>
      <c r="H12" s="577">
        <v>1</v>
      </c>
      <c r="I12" s="577">
        <v>2.1</v>
      </c>
      <c r="J12" s="577">
        <v>30</v>
      </c>
      <c r="K12" s="577" t="s">
        <v>329</v>
      </c>
      <c r="L12" s="578" t="s">
        <v>329</v>
      </c>
      <c r="N12" s="579"/>
      <c r="O12" s="569" t="s">
        <v>330</v>
      </c>
      <c r="P12" s="580"/>
    </row>
    <row r="13" spans="2:16" ht="25.5" x14ac:dyDescent="0.2">
      <c r="B13" s="26" t="s">
        <v>161</v>
      </c>
      <c r="C13" s="577" t="s">
        <v>328</v>
      </c>
      <c r="D13" s="577"/>
      <c r="E13" s="577"/>
      <c r="F13" s="577" t="s">
        <v>111</v>
      </c>
      <c r="G13" s="577">
        <v>12</v>
      </c>
      <c r="H13" s="577">
        <v>1</v>
      </c>
      <c r="I13" s="577">
        <v>2.1</v>
      </c>
      <c r="J13" s="577">
        <v>30</v>
      </c>
      <c r="K13" s="577" t="s">
        <v>329</v>
      </c>
      <c r="L13" s="581" t="s">
        <v>329</v>
      </c>
    </row>
    <row r="14" spans="2:16" ht="25.5" x14ac:dyDescent="0.2">
      <c r="B14" s="582" t="s">
        <v>162</v>
      </c>
      <c r="C14" s="577" t="s">
        <v>328</v>
      </c>
      <c r="D14" s="577"/>
      <c r="E14" s="577"/>
      <c r="F14" s="577" t="s">
        <v>117</v>
      </c>
      <c r="G14" s="577">
        <v>12</v>
      </c>
      <c r="H14" s="577">
        <v>1</v>
      </c>
      <c r="I14" s="577">
        <v>2.1</v>
      </c>
      <c r="J14" s="577">
        <v>30</v>
      </c>
      <c r="K14" s="577" t="s">
        <v>329</v>
      </c>
      <c r="L14" s="581" t="s">
        <v>329</v>
      </c>
      <c r="N14" s="583" t="s">
        <v>331</v>
      </c>
    </row>
    <row r="15" spans="2:16" ht="15.75" x14ac:dyDescent="0.2">
      <c r="B15" s="584" t="s">
        <v>163</v>
      </c>
      <c r="C15" s="585"/>
      <c r="D15" s="585"/>
      <c r="E15" s="585"/>
      <c r="F15" s="586" t="s">
        <v>129</v>
      </c>
      <c r="G15" s="586" t="s">
        <v>329</v>
      </c>
      <c r="H15" s="586" t="s">
        <v>329</v>
      </c>
      <c r="I15" s="586" t="s">
        <v>329</v>
      </c>
      <c r="J15" s="586" t="s">
        <v>329</v>
      </c>
      <c r="K15" s="587"/>
      <c r="L15" s="588"/>
      <c r="N15" s="589">
        <f>24.45/O16</f>
        <v>8.7842207372278519E-2</v>
      </c>
      <c r="O15" s="590" t="s">
        <v>332</v>
      </c>
    </row>
    <row r="16" spans="2:16" ht="30" customHeight="1" x14ac:dyDescent="0.2">
      <c r="N16" s="589" t="s">
        <v>333</v>
      </c>
      <c r="O16" s="590">
        <v>278.33999999999997</v>
      </c>
      <c r="P16" s="11" t="s">
        <v>334</v>
      </c>
    </row>
    <row r="18" spans="16:17" ht="45" customHeight="1" x14ac:dyDescent="0.2"/>
    <row r="20" spans="16:17" ht="45" customHeight="1" x14ac:dyDescent="0.2"/>
    <row r="21" spans="16:17" ht="45" customHeight="1" x14ac:dyDescent="0.2"/>
    <row r="22" spans="16:17" ht="45" customHeight="1" x14ac:dyDescent="0.2"/>
    <row r="24" spans="16:17" ht="45" customHeight="1" x14ac:dyDescent="0.2"/>
    <row r="25" spans="16:17" x14ac:dyDescent="0.2">
      <c r="P25" s="591"/>
      <c r="Q25" s="591"/>
    </row>
    <row r="26" spans="16:17" x14ac:dyDescent="0.2">
      <c r="P26" s="49"/>
      <c r="Q26" s="206"/>
    </row>
    <row r="27" spans="16:17" x14ac:dyDescent="0.2">
      <c r="P27" s="50"/>
      <c r="Q27" s="592"/>
    </row>
    <row r="28" spans="16:17" x14ac:dyDescent="0.2">
      <c r="P28" s="50"/>
      <c r="Q28" s="592"/>
    </row>
    <row r="29" spans="16:17" ht="15" customHeight="1" x14ac:dyDescent="0.2">
      <c r="P29" s="565"/>
      <c r="Q29" s="28"/>
    </row>
  </sheetData>
  <sheetProtection sheet="1" objects="1" scenarios="1" formatCells="0" formatColumns="0" formatRows="0" sort="0" autoFilter="0"/>
  <mergeCells count="9">
    <mergeCell ref="C10:E10"/>
    <mergeCell ref="G10:J10"/>
    <mergeCell ref="P25:Q25"/>
    <mergeCell ref="N4:P4"/>
    <mergeCell ref="G9:H9"/>
    <mergeCell ref="K10:L10"/>
    <mergeCell ref="F4:G4"/>
    <mergeCell ref="H4:I4"/>
    <mergeCell ref="J4:K4"/>
  </mergeCells>
  <phoneticPr fontId="2" type="noConversion"/>
  <pageMargins left="0.7" right="0.7" top="0.75" bottom="0.75" header="0.3" footer="0.3"/>
  <pageSetup orientation="portrait" horizontalDpi="1200" verticalDpi="120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2DC-4EE0-4CF0-B381-0DF510B873A9}">
  <sheetPr codeName="Sheet9">
    <tabColor theme="1"/>
  </sheetPr>
  <dimension ref="A1:O62"/>
  <sheetViews>
    <sheetView workbookViewId="0">
      <selection activeCell="E7" sqref="E7"/>
    </sheetView>
  </sheetViews>
  <sheetFormatPr defaultColWidth="9.140625" defaultRowHeight="12.75" x14ac:dyDescent="0.2"/>
  <cols>
    <col min="1" max="1" width="9.140625" style="7"/>
    <col min="2" max="2" width="88.85546875" style="7" bestFit="1" customWidth="1"/>
    <col min="3" max="3" width="9.140625" style="7"/>
    <col min="4" max="4" width="38.85546875" style="7" customWidth="1"/>
    <col min="5" max="5" width="21" style="7" customWidth="1"/>
    <col min="6" max="6" width="37.140625" style="7" customWidth="1"/>
    <col min="7" max="7" width="25" style="7" customWidth="1"/>
    <col min="8" max="9" width="9.140625" style="7"/>
    <col min="10" max="10" width="48.140625" style="7" customWidth="1"/>
    <col min="11" max="11" width="9.140625" style="7" customWidth="1"/>
    <col min="12" max="12" width="46" style="7" hidden="1" customWidth="1"/>
    <col min="13" max="13" width="14.140625" style="7" hidden="1" customWidth="1"/>
    <col min="14" max="14" width="65.42578125" style="7" hidden="1" customWidth="1"/>
    <col min="15" max="15" width="9.140625" style="7" hidden="1" customWidth="1"/>
    <col min="16" max="16384" width="9.140625" style="7"/>
  </cols>
  <sheetData>
    <row r="1" spans="1:15" ht="13.5" thickBot="1" x14ac:dyDescent="0.25">
      <c r="A1" s="593"/>
      <c r="B1" s="594" t="s">
        <v>335</v>
      </c>
      <c r="C1" s="593"/>
      <c r="D1" s="595" t="s">
        <v>336</v>
      </c>
      <c r="E1" s="593"/>
      <c r="F1" s="595" t="s">
        <v>17</v>
      </c>
      <c r="G1" s="593"/>
      <c r="H1" s="593"/>
      <c r="I1" s="593"/>
      <c r="J1" s="593"/>
    </row>
    <row r="2" spans="1:15" ht="13.5" thickTop="1" x14ac:dyDescent="0.2">
      <c r="A2" s="596"/>
      <c r="B2" s="597" t="s">
        <v>139</v>
      </c>
      <c r="C2" s="593"/>
      <c r="D2" s="598" t="s">
        <v>200</v>
      </c>
      <c r="E2" s="593"/>
      <c r="F2" s="599" t="s">
        <v>128</v>
      </c>
      <c r="G2" s="593"/>
      <c r="H2" s="593"/>
      <c r="I2" s="593"/>
      <c r="J2" s="593"/>
      <c r="L2" s="336" t="s">
        <v>337</v>
      </c>
      <c r="M2" s="600" t="s">
        <v>200</v>
      </c>
      <c r="N2" s="601" t="str">
        <f>L2&amp;M2</f>
        <v>Manufacturing - 8-hr TWAMonitoring Data</v>
      </c>
      <c r="O2" s="602" t="s">
        <v>338</v>
      </c>
    </row>
    <row r="3" spans="1:15" ht="13.5" thickBot="1" x14ac:dyDescent="0.25">
      <c r="A3" s="596"/>
      <c r="B3" s="603" t="s">
        <v>71</v>
      </c>
      <c r="C3" s="593"/>
      <c r="D3" s="604" t="s">
        <v>215</v>
      </c>
      <c r="E3" s="593"/>
      <c r="F3" s="605" t="s">
        <v>92</v>
      </c>
      <c r="G3" s="593"/>
      <c r="H3" s="593"/>
      <c r="I3" s="593"/>
      <c r="J3" s="593"/>
      <c r="L3" s="336" t="s">
        <v>337</v>
      </c>
      <c r="M3" s="600" t="s">
        <v>200</v>
      </c>
      <c r="N3" s="601" t="str">
        <f t="shared" ref="N3:N62" si="0">L3&amp;M3</f>
        <v>Manufacturing - 8-hr TWAMonitoring Data</v>
      </c>
      <c r="O3" s="602" t="s">
        <v>338</v>
      </c>
    </row>
    <row r="4" spans="1:15" ht="13.5" thickBot="1" x14ac:dyDescent="0.25">
      <c r="A4" s="596"/>
      <c r="B4" s="603" t="s">
        <v>202</v>
      </c>
      <c r="C4" s="593"/>
      <c r="D4" s="593"/>
      <c r="E4" s="593"/>
      <c r="F4" s="606"/>
      <c r="G4" s="593"/>
      <c r="H4" s="593"/>
      <c r="I4" s="593"/>
      <c r="J4" s="593"/>
      <c r="L4" s="336" t="s">
        <v>339</v>
      </c>
      <c r="M4" s="600" t="s">
        <v>200</v>
      </c>
      <c r="N4" s="601" t="str">
        <f t="shared" si="0"/>
        <v>Manufacturing - 12-hr TWAMonitoring Data</v>
      </c>
      <c r="O4" s="602" t="s">
        <v>340</v>
      </c>
    </row>
    <row r="5" spans="1:15" ht="13.5" thickBot="1" x14ac:dyDescent="0.25">
      <c r="A5" s="596"/>
      <c r="B5" s="603" t="s">
        <v>203</v>
      </c>
      <c r="C5" s="593"/>
      <c r="D5" s="595" t="s">
        <v>175</v>
      </c>
      <c r="E5" s="593"/>
      <c r="F5" s="595"/>
      <c r="G5" s="607" t="s">
        <v>341</v>
      </c>
      <c r="H5" s="607" t="s">
        <v>342</v>
      </c>
      <c r="I5" s="608"/>
      <c r="J5" s="609"/>
      <c r="L5" s="336" t="s">
        <v>339</v>
      </c>
      <c r="M5" s="600" t="s">
        <v>200</v>
      </c>
      <c r="N5" s="601" t="str">
        <f t="shared" si="0"/>
        <v>Manufacturing - 12-hr TWAMonitoring Data</v>
      </c>
      <c r="O5" s="602" t="s">
        <v>340</v>
      </c>
    </row>
    <row r="6" spans="1:15" ht="13.5" thickTop="1" x14ac:dyDescent="0.2">
      <c r="A6" s="596"/>
      <c r="B6" s="603" t="s">
        <v>206</v>
      </c>
      <c r="C6" s="593"/>
      <c r="D6" s="610" t="s">
        <v>197</v>
      </c>
      <c r="E6" s="593"/>
      <c r="F6" s="611" t="s">
        <v>343</v>
      </c>
      <c r="G6" s="612">
        <v>278.35000000000002</v>
      </c>
      <c r="H6" s="613" t="s">
        <v>334</v>
      </c>
      <c r="I6" s="608"/>
      <c r="J6" s="593"/>
      <c r="L6" s="336" t="s">
        <v>344</v>
      </c>
      <c r="M6" s="600" t="s">
        <v>200</v>
      </c>
      <c r="N6" s="601" t="str">
        <f t="shared" si="0"/>
        <v>RepackagingMonitoring Data</v>
      </c>
      <c r="O6" s="602">
        <v>11</v>
      </c>
    </row>
    <row r="7" spans="1:15" ht="13.5" thickBot="1" x14ac:dyDescent="0.25">
      <c r="A7" s="596"/>
      <c r="B7" s="603" t="s">
        <v>207</v>
      </c>
      <c r="C7" s="593"/>
      <c r="D7" s="614" t="s">
        <v>72</v>
      </c>
      <c r="E7" s="593"/>
      <c r="F7" s="615" t="s">
        <v>345</v>
      </c>
      <c r="G7" s="616">
        <v>0.42901063764373121</v>
      </c>
      <c r="H7" s="617" t="s">
        <v>346</v>
      </c>
      <c r="I7" s="608"/>
      <c r="J7" s="593"/>
      <c r="L7" s="336" t="s">
        <v>347</v>
      </c>
      <c r="M7" s="600" t="s">
        <v>200</v>
      </c>
      <c r="N7" s="601" t="str">
        <f t="shared" si="0"/>
        <v>Processing as Reactant/Intermediate - 8-hr TWAMonitoring Data</v>
      </c>
      <c r="O7" s="602" t="s">
        <v>348</v>
      </c>
    </row>
    <row r="8" spans="1:15" ht="13.5" thickBot="1" x14ac:dyDescent="0.25">
      <c r="A8" s="596"/>
      <c r="B8" s="603" t="s">
        <v>211</v>
      </c>
      <c r="C8" s="593"/>
      <c r="D8" s="618" t="s">
        <v>92</v>
      </c>
      <c r="E8" s="593"/>
      <c r="F8" s="608"/>
      <c r="G8" s="608"/>
      <c r="H8" s="608"/>
      <c r="I8" s="608"/>
      <c r="J8" s="606"/>
      <c r="L8" s="336" t="s">
        <v>347</v>
      </c>
      <c r="M8" s="600" t="s">
        <v>200</v>
      </c>
      <c r="N8" s="601" t="str">
        <f t="shared" si="0"/>
        <v>Processing as Reactant/Intermediate - 8-hr TWAMonitoring Data</v>
      </c>
      <c r="O8" s="602" t="s">
        <v>348</v>
      </c>
    </row>
    <row r="9" spans="1:15" ht="13.5" thickBot="1" x14ac:dyDescent="0.25">
      <c r="A9" s="596"/>
      <c r="B9" s="603" t="s">
        <v>255</v>
      </c>
      <c r="C9" s="593"/>
      <c r="D9" s="593"/>
      <c r="E9" s="593"/>
      <c r="F9" s="595" t="s">
        <v>349</v>
      </c>
      <c r="G9" s="607" t="s">
        <v>350</v>
      </c>
      <c r="H9" s="607" t="s">
        <v>341</v>
      </c>
      <c r="I9" s="607" t="s">
        <v>342</v>
      </c>
      <c r="J9" s="593"/>
      <c r="L9" s="336" t="s">
        <v>351</v>
      </c>
      <c r="M9" s="600" t="s">
        <v>200</v>
      </c>
      <c r="N9" s="601" t="str">
        <f t="shared" si="0"/>
        <v>Processing as Reactant/Intermediate - 12-hr TWAMonitoring Data</v>
      </c>
      <c r="O9" s="602" t="s">
        <v>352</v>
      </c>
    </row>
    <row r="10" spans="1:15" ht="14.25" thickTop="1" thickBot="1" x14ac:dyDescent="0.25">
      <c r="A10" s="596"/>
      <c r="B10" s="603" t="s">
        <v>218</v>
      </c>
      <c r="C10" s="593"/>
      <c r="D10" s="595" t="s">
        <v>353</v>
      </c>
      <c r="E10" s="593"/>
      <c r="F10" s="619" t="s">
        <v>354</v>
      </c>
      <c r="G10" s="620" t="s">
        <v>355</v>
      </c>
      <c r="H10" s="620">
        <v>8</v>
      </c>
      <c r="I10" s="621" t="s">
        <v>356</v>
      </c>
      <c r="J10" s="593"/>
      <c r="L10" s="336" t="s">
        <v>351</v>
      </c>
      <c r="M10" s="600" t="s">
        <v>200</v>
      </c>
      <c r="N10" s="601" t="str">
        <f t="shared" si="0"/>
        <v>Processing as Reactant/Intermediate - 12-hr TWAMonitoring Data</v>
      </c>
      <c r="O10" s="602" t="s">
        <v>352</v>
      </c>
    </row>
    <row r="11" spans="1:15" ht="13.5" customHeight="1" thickTop="1" x14ac:dyDescent="0.2">
      <c r="A11" s="596"/>
      <c r="B11" s="603" t="s">
        <v>213</v>
      </c>
      <c r="C11" s="593"/>
      <c r="D11" s="622">
        <v>0.5</v>
      </c>
      <c r="E11" s="593"/>
      <c r="F11" s="623" t="s">
        <v>357</v>
      </c>
      <c r="G11" s="624" t="s">
        <v>358</v>
      </c>
      <c r="H11" s="624">
        <v>10</v>
      </c>
      <c r="I11" s="625" t="s">
        <v>356</v>
      </c>
      <c r="J11" s="593"/>
      <c r="L11" s="336" t="s">
        <v>359</v>
      </c>
      <c r="M11" s="600" t="s">
        <v>200</v>
      </c>
      <c r="N11" s="601" t="str">
        <f t="shared" si="0"/>
        <v>Incorporation into Formulation - Aerosol PackingMonitoring Data</v>
      </c>
      <c r="O11" s="602" t="s">
        <v>360</v>
      </c>
    </row>
    <row r="12" spans="1:15" ht="13.5" customHeight="1" thickBot="1" x14ac:dyDescent="0.25">
      <c r="A12" s="596"/>
      <c r="B12" s="603" t="s">
        <v>216</v>
      </c>
      <c r="C12" s="593"/>
      <c r="D12" s="626">
        <v>0.99</v>
      </c>
      <c r="E12" s="593"/>
      <c r="F12" s="623" t="s">
        <v>361</v>
      </c>
      <c r="G12" s="624" t="s">
        <v>362</v>
      </c>
      <c r="H12" s="624">
        <v>24</v>
      </c>
      <c r="I12" s="625" t="s">
        <v>356</v>
      </c>
      <c r="J12" s="593"/>
      <c r="L12" s="336" t="s">
        <v>363</v>
      </c>
      <c r="M12" s="600" t="s">
        <v>215</v>
      </c>
      <c r="N12" s="601" t="str">
        <f t="shared" si="0"/>
        <v>Incorporation into Formulation - Degreasing SolventModeled Data</v>
      </c>
      <c r="O12" s="602" t="s">
        <v>364</v>
      </c>
    </row>
    <row r="13" spans="1:15" ht="18" customHeight="1" thickBot="1" x14ac:dyDescent="0.25">
      <c r="A13" s="596"/>
      <c r="B13" s="603" t="s">
        <v>219</v>
      </c>
      <c r="C13" s="593"/>
      <c r="D13" s="593"/>
      <c r="E13" s="593"/>
      <c r="F13" s="623" t="s">
        <v>365</v>
      </c>
      <c r="G13" s="624" t="s">
        <v>366</v>
      </c>
      <c r="H13" s="624">
        <v>250</v>
      </c>
      <c r="I13" s="625" t="s">
        <v>367</v>
      </c>
      <c r="J13" s="593"/>
      <c r="L13" s="336" t="s">
        <v>368</v>
      </c>
      <c r="M13" s="600" t="s">
        <v>215</v>
      </c>
      <c r="N13" s="601" t="str">
        <f t="shared" si="0"/>
        <v>Incorporation into Formulation - Dry Cleaning SolventModeled Data</v>
      </c>
      <c r="O13" s="602" t="s">
        <v>369</v>
      </c>
    </row>
    <row r="14" spans="1:15" ht="13.5" customHeight="1" thickBot="1" x14ac:dyDescent="0.25">
      <c r="A14" s="593"/>
      <c r="B14" s="603" t="s">
        <v>221</v>
      </c>
      <c r="C14" s="593"/>
      <c r="D14" s="595" t="s">
        <v>370</v>
      </c>
      <c r="E14" s="593"/>
      <c r="F14" s="623" t="s">
        <v>371</v>
      </c>
      <c r="G14" s="624" t="s">
        <v>372</v>
      </c>
      <c r="H14" s="624">
        <v>22</v>
      </c>
      <c r="I14" s="625" t="s">
        <v>367</v>
      </c>
      <c r="J14" s="593"/>
      <c r="L14" s="336" t="s">
        <v>373</v>
      </c>
      <c r="M14" s="600" t="s">
        <v>215</v>
      </c>
      <c r="N14" s="601" t="str">
        <f t="shared" si="0"/>
        <v>Incorporation into Formulation - MiscellaneousModeled Data</v>
      </c>
      <c r="O14" s="602" t="s">
        <v>374</v>
      </c>
    </row>
    <row r="15" spans="1:15" ht="13.5" customHeight="1" thickTop="1" x14ac:dyDescent="0.2">
      <c r="A15" s="596"/>
      <c r="B15" s="603" t="s">
        <v>225</v>
      </c>
      <c r="C15" s="593"/>
      <c r="D15" s="598">
        <v>10</v>
      </c>
      <c r="E15" s="593"/>
      <c r="F15" s="623" t="s">
        <v>375</v>
      </c>
      <c r="G15" s="624" t="s">
        <v>376</v>
      </c>
      <c r="H15" s="624">
        <v>30</v>
      </c>
      <c r="I15" s="625" t="s">
        <v>367</v>
      </c>
      <c r="J15" s="593"/>
      <c r="L15" s="336" t="s">
        <v>377</v>
      </c>
      <c r="M15" s="600" t="s">
        <v>200</v>
      </c>
      <c r="N15" s="601" t="str">
        <f t="shared" si="0"/>
        <v>Open-top Vapor DegreasingMonitoring Data</v>
      </c>
      <c r="O15" s="602" t="s">
        <v>378</v>
      </c>
    </row>
    <row r="16" spans="1:15" x14ac:dyDescent="0.2">
      <c r="A16" s="596"/>
      <c r="B16" s="603" t="s">
        <v>223</v>
      </c>
      <c r="C16" s="593"/>
      <c r="D16" s="598">
        <v>25</v>
      </c>
      <c r="E16" s="593"/>
      <c r="F16" s="623" t="s">
        <v>379</v>
      </c>
      <c r="G16" s="624" t="s">
        <v>380</v>
      </c>
      <c r="H16" s="624">
        <v>31</v>
      </c>
      <c r="I16" s="625" t="s">
        <v>381</v>
      </c>
      <c r="J16" s="593"/>
      <c r="L16" s="336" t="s">
        <v>377</v>
      </c>
      <c r="M16" s="600" t="s">
        <v>200</v>
      </c>
      <c r="N16" s="601" t="str">
        <f t="shared" si="0"/>
        <v>Open-top Vapor DegreasingMonitoring Data</v>
      </c>
      <c r="O16" s="602" t="s">
        <v>378</v>
      </c>
    </row>
    <row r="17" spans="1:15" ht="12.75" customHeight="1" thickBot="1" x14ac:dyDescent="0.25">
      <c r="A17" s="596"/>
      <c r="B17" s="627" t="s">
        <v>382</v>
      </c>
      <c r="C17" s="593"/>
      <c r="D17" s="598">
        <v>50</v>
      </c>
      <c r="E17" s="593"/>
      <c r="F17" s="623" t="s">
        <v>383</v>
      </c>
      <c r="G17" s="624" t="s">
        <v>384</v>
      </c>
      <c r="H17" s="624">
        <v>40</v>
      </c>
      <c r="I17" s="625" t="s">
        <v>381</v>
      </c>
      <c r="J17" s="593"/>
      <c r="L17" s="336" t="s">
        <v>385</v>
      </c>
      <c r="M17" s="600" t="s">
        <v>200</v>
      </c>
      <c r="N17" s="601" t="str">
        <f t="shared" si="0"/>
        <v>Closed Loop Vapor DegreasingMonitoring Data</v>
      </c>
      <c r="O17" s="602">
        <v>3</v>
      </c>
    </row>
    <row r="18" spans="1:15" ht="12.75" customHeight="1" x14ac:dyDescent="0.2">
      <c r="A18" s="596"/>
      <c r="B18" s="593"/>
      <c r="C18" s="593"/>
      <c r="D18" s="598">
        <v>1000</v>
      </c>
      <c r="E18" s="593"/>
      <c r="F18" s="623" t="s">
        <v>386</v>
      </c>
      <c r="G18" s="624" t="s">
        <v>387</v>
      </c>
      <c r="H18" s="624">
        <v>78</v>
      </c>
      <c r="I18" s="625" t="s">
        <v>381</v>
      </c>
      <c r="J18" s="609"/>
      <c r="L18" s="336" t="s">
        <v>385</v>
      </c>
      <c r="M18" s="600" t="s">
        <v>200</v>
      </c>
      <c r="N18" s="601" t="str">
        <f t="shared" si="0"/>
        <v>Closed Loop Vapor DegreasingMonitoring Data</v>
      </c>
      <c r="O18" s="602">
        <v>3</v>
      </c>
    </row>
    <row r="19" spans="1:15" ht="13.5" thickBot="1" x14ac:dyDescent="0.25">
      <c r="A19" s="596"/>
      <c r="B19" s="593"/>
      <c r="C19" s="593"/>
      <c r="D19" s="604">
        <v>10000</v>
      </c>
      <c r="E19" s="593"/>
      <c r="F19" s="623" t="s">
        <v>388</v>
      </c>
      <c r="G19" s="624" t="s">
        <v>389</v>
      </c>
      <c r="H19" s="628">
        <f>WY_mid*365</f>
        <v>11315</v>
      </c>
      <c r="I19" s="625" t="s">
        <v>390</v>
      </c>
      <c r="J19" s="609"/>
      <c r="L19" s="336" t="s">
        <v>391</v>
      </c>
      <c r="M19" s="600" t="s">
        <v>215</v>
      </c>
      <c r="N19" s="601" t="str">
        <f t="shared" si="0"/>
        <v>Conveyorized Vapor DegreasingModeled Data</v>
      </c>
      <c r="O19" s="602">
        <v>4</v>
      </c>
    </row>
    <row r="20" spans="1:15" ht="13.5" thickBot="1" x14ac:dyDescent="0.25">
      <c r="A20" s="596"/>
      <c r="B20" s="593"/>
      <c r="C20" s="593"/>
      <c r="D20" s="593"/>
      <c r="E20" s="593"/>
      <c r="F20" s="623" t="s">
        <v>392</v>
      </c>
      <c r="G20" s="624" t="s">
        <v>393</v>
      </c>
      <c r="H20" s="628">
        <f>WY_high*365</f>
        <v>14600</v>
      </c>
      <c r="I20" s="625" t="s">
        <v>390</v>
      </c>
      <c r="J20" s="593"/>
      <c r="L20" s="336" t="s">
        <v>391</v>
      </c>
      <c r="M20" s="600" t="s">
        <v>215</v>
      </c>
      <c r="N20" s="601" t="str">
        <f t="shared" si="0"/>
        <v>Conveyorized Vapor DegreasingModeled Data</v>
      </c>
      <c r="O20" s="602">
        <v>4</v>
      </c>
    </row>
    <row r="21" spans="1:15" ht="13.5" thickBot="1" x14ac:dyDescent="0.25">
      <c r="A21" s="596"/>
      <c r="B21" s="593"/>
      <c r="C21" s="593"/>
      <c r="D21" s="595" t="s">
        <v>394</v>
      </c>
      <c r="E21" s="593"/>
      <c r="F21" s="615" t="s">
        <v>395</v>
      </c>
      <c r="G21" s="629" t="s">
        <v>396</v>
      </c>
      <c r="H21" s="630">
        <f>LT*365</f>
        <v>28470</v>
      </c>
      <c r="I21" s="617" t="s">
        <v>390</v>
      </c>
      <c r="J21" s="593"/>
      <c r="L21" s="336" t="s">
        <v>397</v>
      </c>
      <c r="M21" s="600" t="s">
        <v>215</v>
      </c>
      <c r="N21" s="601" t="str">
        <f t="shared" si="0"/>
        <v>Web DegreasingModeled Data</v>
      </c>
      <c r="O21" s="602">
        <v>5</v>
      </c>
    </row>
    <row r="22" spans="1:15" ht="13.5" thickTop="1" x14ac:dyDescent="0.2">
      <c r="A22" s="593"/>
      <c r="B22" s="593"/>
      <c r="C22" s="593"/>
      <c r="D22" s="631">
        <v>5</v>
      </c>
      <c r="E22" s="632" t="s">
        <v>398</v>
      </c>
      <c r="F22" s="593"/>
      <c r="G22" s="593"/>
      <c r="H22" s="593"/>
      <c r="I22" s="593"/>
      <c r="J22" s="593"/>
      <c r="L22" s="336" t="s">
        <v>397</v>
      </c>
      <c r="M22" s="600" t="s">
        <v>215</v>
      </c>
      <c r="N22" s="601" t="str">
        <f t="shared" si="0"/>
        <v>Web DegreasingModeled Data</v>
      </c>
      <c r="O22" s="602">
        <v>5</v>
      </c>
    </row>
    <row r="23" spans="1:15" ht="25.5" x14ac:dyDescent="0.2">
      <c r="A23" s="593"/>
      <c r="B23" s="593"/>
      <c r="C23" s="593"/>
      <c r="D23" s="598">
        <v>10</v>
      </c>
      <c r="E23" s="632" t="s">
        <v>399</v>
      </c>
      <c r="F23" s="593"/>
      <c r="G23" s="593"/>
      <c r="H23" s="593"/>
      <c r="I23" s="593"/>
      <c r="J23" s="593"/>
      <c r="L23" s="336" t="s">
        <v>400</v>
      </c>
      <c r="M23" s="600" t="s">
        <v>200</v>
      </c>
      <c r="N23" s="601" t="str">
        <f t="shared" si="0"/>
        <v>Cold CleaningMonitoring Data</v>
      </c>
      <c r="O23" s="602" t="s">
        <v>401</v>
      </c>
    </row>
    <row r="24" spans="1:15" ht="13.5" thickBot="1" x14ac:dyDescent="0.25">
      <c r="A24" s="593"/>
      <c r="B24" s="593"/>
      <c r="C24" s="593"/>
      <c r="D24" s="604">
        <v>20</v>
      </c>
      <c r="E24" s="632" t="s">
        <v>402</v>
      </c>
      <c r="F24" s="593"/>
      <c r="G24" s="593"/>
      <c r="H24" s="593"/>
      <c r="I24" s="593"/>
      <c r="J24" s="593"/>
      <c r="L24" s="336" t="s">
        <v>400</v>
      </c>
      <c r="M24" s="600" t="s">
        <v>215</v>
      </c>
      <c r="N24" s="601" t="str">
        <f t="shared" si="0"/>
        <v>Cold CleaningModeled Data</v>
      </c>
      <c r="O24" s="602" t="s">
        <v>403</v>
      </c>
    </row>
    <row r="25" spans="1:15" x14ac:dyDescent="0.2">
      <c r="A25" s="593"/>
      <c r="B25" s="593"/>
      <c r="C25" s="593"/>
      <c r="D25" s="593"/>
      <c r="E25" s="593"/>
      <c r="F25" s="593"/>
      <c r="G25" s="593"/>
      <c r="H25" s="593"/>
      <c r="I25" s="593"/>
      <c r="J25" s="593"/>
      <c r="L25" s="336" t="s">
        <v>400</v>
      </c>
      <c r="M25" s="600" t="s">
        <v>215</v>
      </c>
      <c r="N25" s="601" t="str">
        <f t="shared" si="0"/>
        <v>Cold CleaningModeled Data</v>
      </c>
      <c r="O25" s="602" t="s">
        <v>403</v>
      </c>
    </row>
    <row r="26" spans="1:15" x14ac:dyDescent="0.2">
      <c r="A26" s="593"/>
      <c r="B26" s="593"/>
      <c r="C26" s="593"/>
      <c r="D26" s="593"/>
      <c r="E26" s="593"/>
      <c r="F26" s="593"/>
      <c r="G26" s="593"/>
      <c r="H26" s="593"/>
      <c r="I26" s="593"/>
      <c r="J26" s="593"/>
      <c r="L26" s="336" t="s">
        <v>404</v>
      </c>
      <c r="M26" s="600" t="s">
        <v>200</v>
      </c>
      <c r="N26" s="601" t="str">
        <f t="shared" si="0"/>
        <v>Aerosol Degreasing/LubricantsMonitoring Data</v>
      </c>
      <c r="O26" s="602" t="s">
        <v>405</v>
      </c>
    </row>
    <row r="27" spans="1:15" x14ac:dyDescent="0.2">
      <c r="A27" s="593"/>
      <c r="B27" s="593"/>
      <c r="C27" s="593"/>
      <c r="D27" s="593"/>
      <c r="E27" s="593"/>
      <c r="F27" s="593"/>
      <c r="G27" s="593"/>
      <c r="H27" s="593"/>
      <c r="I27" s="593"/>
      <c r="J27" s="593"/>
      <c r="L27" s="336" t="s">
        <v>404</v>
      </c>
      <c r="M27" s="600" t="s">
        <v>215</v>
      </c>
      <c r="N27" s="601" t="str">
        <f t="shared" si="0"/>
        <v>Aerosol Degreasing/LubricantsModeled Data</v>
      </c>
      <c r="O27" s="602" t="s">
        <v>406</v>
      </c>
    </row>
    <row r="28" spans="1:15" x14ac:dyDescent="0.2">
      <c r="A28" s="593"/>
      <c r="B28" s="593"/>
      <c r="C28" s="593"/>
      <c r="D28" s="593"/>
      <c r="E28" s="593"/>
      <c r="F28" s="593"/>
      <c r="G28" s="593"/>
      <c r="H28" s="593"/>
      <c r="I28" s="593"/>
      <c r="J28" s="593"/>
      <c r="L28" s="336" t="s">
        <v>404</v>
      </c>
      <c r="M28" s="600" t="s">
        <v>215</v>
      </c>
      <c r="N28" s="601" t="str">
        <f t="shared" si="0"/>
        <v>Aerosol Degreasing/LubricantsModeled Data</v>
      </c>
      <c r="O28" s="602" t="s">
        <v>406</v>
      </c>
    </row>
    <row r="29" spans="1:15" x14ac:dyDescent="0.2">
      <c r="A29" s="593"/>
      <c r="B29" s="593"/>
      <c r="C29" s="593"/>
      <c r="D29" s="593"/>
      <c r="E29" s="593"/>
      <c r="F29" s="593"/>
      <c r="G29" s="593"/>
      <c r="H29" s="593"/>
      <c r="I29" s="593"/>
      <c r="J29" s="593"/>
      <c r="L29" s="336" t="s">
        <v>407</v>
      </c>
      <c r="M29" s="600" t="s">
        <v>200</v>
      </c>
      <c r="N29" s="601" t="str">
        <f t="shared" si="0"/>
        <v>Post-2006 Dry Cleaning (including spot cleaning)Monitoring Data</v>
      </c>
      <c r="O29" s="602" t="s">
        <v>408</v>
      </c>
    </row>
    <row r="30" spans="1:15" x14ac:dyDescent="0.2">
      <c r="A30" s="593"/>
      <c r="B30" s="593"/>
      <c r="C30" s="593"/>
      <c r="D30" s="593"/>
      <c r="E30" s="593"/>
      <c r="F30" s="593"/>
      <c r="G30" s="593"/>
      <c r="H30" s="593"/>
      <c r="I30" s="593"/>
      <c r="J30" s="593"/>
      <c r="L30" s="336" t="s">
        <v>407</v>
      </c>
      <c r="M30" s="600" t="s">
        <v>200</v>
      </c>
      <c r="N30" s="601" t="str">
        <f t="shared" si="0"/>
        <v>Post-2006 Dry Cleaning (including spot cleaning)Monitoring Data</v>
      </c>
      <c r="O30" s="602" t="s">
        <v>408</v>
      </c>
    </row>
    <row r="31" spans="1:15" x14ac:dyDescent="0.2">
      <c r="A31" s="593"/>
      <c r="B31" s="593"/>
      <c r="C31" s="593"/>
      <c r="D31" s="593"/>
      <c r="E31" s="593"/>
      <c r="F31" s="593"/>
      <c r="G31" s="593"/>
      <c r="H31" s="593"/>
      <c r="I31" s="593"/>
      <c r="J31" s="593"/>
      <c r="L31" s="336" t="s">
        <v>409</v>
      </c>
      <c r="M31" s="600" t="s">
        <v>200</v>
      </c>
      <c r="N31" s="601" t="str">
        <f t="shared" si="0"/>
        <v>4th/5th Gen Only Dry Cleaning (including spot cleaning)Monitoring Data</v>
      </c>
      <c r="O31" s="602" t="s">
        <v>410</v>
      </c>
    </row>
    <row r="32" spans="1:15" x14ac:dyDescent="0.2">
      <c r="A32" s="593"/>
      <c r="B32" s="593"/>
      <c r="C32" s="593"/>
      <c r="D32" s="593"/>
      <c r="E32" s="593"/>
      <c r="F32" s="593"/>
      <c r="G32" s="593"/>
      <c r="H32" s="593"/>
      <c r="I32" s="593"/>
      <c r="J32" s="593"/>
      <c r="L32" s="336" t="s">
        <v>409</v>
      </c>
      <c r="M32" s="600" t="s">
        <v>200</v>
      </c>
      <c r="N32" s="601" t="str">
        <f t="shared" si="0"/>
        <v>4th/5th Gen Only Dry Cleaning (including spot cleaning)Monitoring Data</v>
      </c>
      <c r="O32" s="602" t="s">
        <v>410</v>
      </c>
    </row>
    <row r="33" spans="1:15" x14ac:dyDescent="0.2">
      <c r="A33" s="593"/>
      <c r="B33" s="593"/>
      <c r="C33" s="593"/>
      <c r="D33" s="593"/>
      <c r="E33" s="593"/>
      <c r="F33" s="593"/>
      <c r="G33" s="593"/>
      <c r="H33" s="593"/>
      <c r="I33" s="593"/>
      <c r="J33" s="593"/>
      <c r="L33" s="336" t="s">
        <v>407</v>
      </c>
      <c r="M33" s="600" t="s">
        <v>215</v>
      </c>
      <c r="N33" s="601" t="str">
        <f t="shared" si="0"/>
        <v>Post-2006 Dry Cleaning (including spot cleaning)Modeled Data</v>
      </c>
      <c r="O33" s="602" t="s">
        <v>411</v>
      </c>
    </row>
    <row r="34" spans="1:15" x14ac:dyDescent="0.2">
      <c r="A34" s="593"/>
      <c r="B34" s="593"/>
      <c r="C34" s="593"/>
      <c r="D34" s="593"/>
      <c r="E34" s="593"/>
      <c r="F34" s="593"/>
      <c r="G34" s="593"/>
      <c r="H34" s="593"/>
      <c r="I34" s="593"/>
      <c r="J34" s="593"/>
      <c r="L34" s="336" t="s">
        <v>407</v>
      </c>
      <c r="M34" s="600" t="s">
        <v>215</v>
      </c>
      <c r="N34" s="601" t="str">
        <f t="shared" si="0"/>
        <v>Post-2006 Dry Cleaning (including spot cleaning)Modeled Data</v>
      </c>
      <c r="O34" s="602" t="s">
        <v>411</v>
      </c>
    </row>
    <row r="35" spans="1:15" x14ac:dyDescent="0.2">
      <c r="A35" s="593"/>
      <c r="B35" s="593"/>
      <c r="C35" s="593"/>
      <c r="D35" s="593"/>
      <c r="E35" s="593"/>
      <c r="F35" s="593"/>
      <c r="G35" s="593"/>
      <c r="H35" s="593"/>
      <c r="I35" s="593"/>
      <c r="J35" s="593"/>
      <c r="L35" s="336" t="s">
        <v>412</v>
      </c>
      <c r="M35" s="600" t="s">
        <v>200</v>
      </c>
      <c r="N35" s="601" t="str">
        <f t="shared" si="0"/>
        <v>Paints/Coatings (commercial)Monitoring Data</v>
      </c>
      <c r="O35" s="602" t="s">
        <v>413</v>
      </c>
    </row>
    <row r="36" spans="1:15" x14ac:dyDescent="0.2">
      <c r="A36" s="593"/>
      <c r="B36" s="593"/>
      <c r="C36" s="593"/>
      <c r="D36" s="593"/>
      <c r="E36" s="593"/>
      <c r="F36" s="593"/>
      <c r="G36" s="593"/>
      <c r="H36" s="593"/>
      <c r="I36" s="593"/>
      <c r="J36" s="593"/>
      <c r="L36" s="336" t="s">
        <v>412</v>
      </c>
      <c r="M36" s="600" t="s">
        <v>289</v>
      </c>
      <c r="N36" s="601" t="str">
        <f t="shared" si="0"/>
        <v>Paints/Coatings (commercial)N/A</v>
      </c>
      <c r="O36" s="602" t="s">
        <v>413</v>
      </c>
    </row>
    <row r="37" spans="1:15" x14ac:dyDescent="0.2">
      <c r="A37" s="593"/>
      <c r="B37" s="593"/>
      <c r="C37" s="593"/>
      <c r="D37" s="593"/>
      <c r="E37" s="593"/>
      <c r="F37" s="593"/>
      <c r="G37" s="593"/>
      <c r="H37" s="593"/>
      <c r="I37" s="593"/>
      <c r="J37" s="593"/>
      <c r="L37" s="336" t="s">
        <v>414</v>
      </c>
      <c r="M37" s="600" t="s">
        <v>200</v>
      </c>
      <c r="N37" s="601" t="str">
        <f t="shared" si="0"/>
        <v>Paints/Coatings (industrial)Monitoring Data</v>
      </c>
      <c r="O37" s="602" t="s">
        <v>415</v>
      </c>
    </row>
    <row r="38" spans="1:15" x14ac:dyDescent="0.2">
      <c r="A38" s="593"/>
      <c r="B38" s="593"/>
      <c r="C38" s="593"/>
      <c r="D38" s="593"/>
      <c r="E38" s="593"/>
      <c r="F38" s="593"/>
      <c r="G38" s="593"/>
      <c r="H38" s="593"/>
      <c r="I38" s="593"/>
      <c r="J38" s="593"/>
      <c r="L38" s="336" t="s">
        <v>414</v>
      </c>
      <c r="M38" s="600" t="s">
        <v>289</v>
      </c>
      <c r="N38" s="601" t="str">
        <f t="shared" si="0"/>
        <v>Paints/Coatings (industrial)N/A</v>
      </c>
      <c r="O38" s="602" t="s">
        <v>415</v>
      </c>
    </row>
    <row r="39" spans="1:15" x14ac:dyDescent="0.2">
      <c r="A39" s="593"/>
      <c r="B39" s="593"/>
      <c r="C39" s="593"/>
      <c r="D39" s="593"/>
      <c r="E39" s="593"/>
      <c r="F39" s="593"/>
      <c r="G39" s="593"/>
      <c r="H39" s="593"/>
      <c r="I39" s="593"/>
      <c r="J39" s="593"/>
      <c r="L39" s="336" t="s">
        <v>416</v>
      </c>
      <c r="M39" s="600" t="s">
        <v>200</v>
      </c>
      <c r="N39" s="601" t="str">
        <f t="shared" si="0"/>
        <v>Adhesives (commercial)Monitoring Data</v>
      </c>
      <c r="O39" s="602" t="s">
        <v>417</v>
      </c>
    </row>
    <row r="40" spans="1:15" x14ac:dyDescent="0.2">
      <c r="A40" s="593"/>
      <c r="B40" s="593"/>
      <c r="C40" s="593"/>
      <c r="D40" s="593"/>
      <c r="E40" s="593"/>
      <c r="F40" s="593"/>
      <c r="G40" s="593"/>
      <c r="H40" s="593"/>
      <c r="I40" s="593"/>
      <c r="J40" s="593"/>
      <c r="L40" s="336" t="s">
        <v>416</v>
      </c>
      <c r="M40" s="600" t="s">
        <v>289</v>
      </c>
      <c r="N40" s="601" t="str">
        <f t="shared" si="0"/>
        <v>Adhesives (commercial)N/A</v>
      </c>
      <c r="O40" s="602" t="s">
        <v>417</v>
      </c>
    </row>
    <row r="41" spans="1:15" x14ac:dyDescent="0.2">
      <c r="D41" s="593"/>
      <c r="F41" s="593"/>
      <c r="G41" s="593"/>
      <c r="H41" s="593"/>
      <c r="I41" s="593"/>
      <c r="L41" s="336" t="s">
        <v>418</v>
      </c>
      <c r="M41" s="600" t="s">
        <v>200</v>
      </c>
      <c r="N41" s="601" t="str">
        <f t="shared" si="0"/>
        <v>Adhesives (industrial)Monitoring Data</v>
      </c>
      <c r="O41" s="602" t="s">
        <v>419</v>
      </c>
    </row>
    <row r="42" spans="1:15" x14ac:dyDescent="0.2">
      <c r="F42" s="593"/>
      <c r="G42" s="593"/>
      <c r="H42" s="593"/>
      <c r="I42" s="593"/>
      <c r="L42" s="336" t="s">
        <v>418</v>
      </c>
      <c r="M42" s="600" t="s">
        <v>289</v>
      </c>
      <c r="N42" s="601" t="str">
        <f t="shared" si="0"/>
        <v>Adhesives (industrial)N/A</v>
      </c>
      <c r="O42" s="602" t="s">
        <v>419</v>
      </c>
    </row>
    <row r="43" spans="1:15" x14ac:dyDescent="0.2">
      <c r="L43" s="336" t="s">
        <v>420</v>
      </c>
      <c r="M43" s="600" t="s">
        <v>200</v>
      </c>
      <c r="N43" s="601" t="str">
        <f t="shared" si="0"/>
        <v>Chemical MaskantMonitoring Data</v>
      </c>
      <c r="O43" s="602">
        <v>10</v>
      </c>
    </row>
    <row r="44" spans="1:15" x14ac:dyDescent="0.2">
      <c r="L44" s="336" t="s">
        <v>420</v>
      </c>
      <c r="M44" s="600" t="s">
        <v>200</v>
      </c>
      <c r="N44" s="601" t="str">
        <f t="shared" si="0"/>
        <v>Chemical MaskantMonitoring Data</v>
      </c>
      <c r="O44" s="602">
        <v>10</v>
      </c>
    </row>
    <row r="45" spans="1:15" x14ac:dyDescent="0.2">
      <c r="L45" s="336" t="s">
        <v>421</v>
      </c>
      <c r="M45" s="600" t="s">
        <v>200</v>
      </c>
      <c r="N45" s="601" t="str">
        <f t="shared" si="0"/>
        <v>Industrial Processing AidMonitoring Data</v>
      </c>
      <c r="O45" s="602">
        <v>14</v>
      </c>
    </row>
    <row r="46" spans="1:15" x14ac:dyDescent="0.2">
      <c r="L46" s="336" t="s">
        <v>422</v>
      </c>
      <c r="M46" s="600" t="s">
        <v>200</v>
      </c>
      <c r="N46" s="601" t="str">
        <f t="shared" si="0"/>
        <v>Other Industrial Uses - MiscellaneousMonitoring Data</v>
      </c>
      <c r="O46" s="602" t="s">
        <v>423</v>
      </c>
    </row>
    <row r="47" spans="1:15" x14ac:dyDescent="0.2">
      <c r="L47" s="336" t="s">
        <v>424</v>
      </c>
      <c r="M47" s="600" t="s">
        <v>200</v>
      </c>
      <c r="N47" s="601" t="str">
        <f t="shared" si="0"/>
        <v>Other Industrial Uses - Textile ProcessingMonitoring Data</v>
      </c>
      <c r="O47" s="602" t="s">
        <v>425</v>
      </c>
    </row>
    <row r="48" spans="1:15" x14ac:dyDescent="0.2">
      <c r="L48" s="336" t="s">
        <v>426</v>
      </c>
      <c r="M48" s="600" t="s">
        <v>200</v>
      </c>
      <c r="N48" s="601" t="str">
        <f t="shared" si="0"/>
        <v>Other Industrial Uses - Wood Furniture ManufacturingMonitoring Data</v>
      </c>
      <c r="O48" s="602" t="s">
        <v>427</v>
      </c>
    </row>
    <row r="49" spans="12:15" x14ac:dyDescent="0.2">
      <c r="L49" s="336" t="s">
        <v>428</v>
      </c>
      <c r="M49" s="600" t="s">
        <v>200</v>
      </c>
      <c r="N49" s="601" t="str">
        <f t="shared" si="0"/>
        <v>Other Industrial Uses - Foundry ApplicationsMonitoring Data</v>
      </c>
      <c r="O49" s="602" t="s">
        <v>429</v>
      </c>
    </row>
    <row r="50" spans="12:15" x14ac:dyDescent="0.2">
      <c r="L50" s="336" t="s">
        <v>430</v>
      </c>
      <c r="M50" s="600" t="s">
        <v>215</v>
      </c>
      <c r="N50" s="601" t="str">
        <f t="shared" si="0"/>
        <v>Metalworking FluidModeled Data</v>
      </c>
      <c r="O50" s="602">
        <v>16</v>
      </c>
    </row>
    <row r="51" spans="12:15" x14ac:dyDescent="0.2">
      <c r="L51" s="336" t="s">
        <v>431</v>
      </c>
      <c r="M51" s="600" t="s">
        <v>200</v>
      </c>
      <c r="N51" s="601" t="str">
        <f t="shared" si="0"/>
        <v>Wipe Cleaning and Metal/Stone PolishesMonitoring Data</v>
      </c>
      <c r="O51" s="602">
        <v>17</v>
      </c>
    </row>
    <row r="52" spans="12:15" x14ac:dyDescent="0.2">
      <c r="L52" s="336" t="s">
        <v>431</v>
      </c>
      <c r="M52" s="600" t="s">
        <v>200</v>
      </c>
      <c r="N52" s="601" t="str">
        <f t="shared" si="0"/>
        <v>Wipe Cleaning and Metal/Stone PolishesMonitoring Data</v>
      </c>
      <c r="O52" s="602">
        <v>17</v>
      </c>
    </row>
    <row r="53" spans="12:15" ht="25.5" x14ac:dyDescent="0.2">
      <c r="L53" s="9" t="s">
        <v>432</v>
      </c>
      <c r="M53" s="600" t="s">
        <v>200</v>
      </c>
      <c r="N53" s="601" t="str">
        <f t="shared" si="0"/>
        <v>Other Spot Cleaning/Spot Removers (Including Carpet Cleaning)Monitoring Data</v>
      </c>
      <c r="O53" s="602">
        <v>18</v>
      </c>
    </row>
    <row r="54" spans="12:15" ht="25.5" x14ac:dyDescent="0.2">
      <c r="L54" s="9" t="s">
        <v>432</v>
      </c>
      <c r="M54" s="600" t="s">
        <v>200</v>
      </c>
      <c r="N54" s="601" t="str">
        <f t="shared" si="0"/>
        <v>Other Spot Cleaning/Spot Removers (Including Carpet Cleaning)Monitoring Data</v>
      </c>
      <c r="O54" s="602">
        <v>18</v>
      </c>
    </row>
    <row r="55" spans="12:15" x14ac:dyDescent="0.2">
      <c r="L55" s="336" t="s">
        <v>433</v>
      </c>
      <c r="M55" s="600" t="s">
        <v>200</v>
      </c>
      <c r="N55" s="601" t="str">
        <f t="shared" si="0"/>
        <v>Other Commercial Uses - PrintingMonitoring Data</v>
      </c>
      <c r="O55" s="602" t="s">
        <v>434</v>
      </c>
    </row>
    <row r="56" spans="12:15" x14ac:dyDescent="0.2">
      <c r="L56" s="336" t="s">
        <v>435</v>
      </c>
      <c r="M56" s="600" t="s">
        <v>200</v>
      </c>
      <c r="N56" s="601" t="str">
        <f t="shared" si="0"/>
        <v>Other Commercial Uses - PhotocopyingMonitoring Data</v>
      </c>
      <c r="O56" s="602" t="s">
        <v>436</v>
      </c>
    </row>
    <row r="57" spans="12:15" x14ac:dyDescent="0.2">
      <c r="L57" s="336" t="s">
        <v>437</v>
      </c>
      <c r="M57" s="600" t="s">
        <v>200</v>
      </c>
      <c r="N57" s="601" t="str">
        <f t="shared" si="0"/>
        <v>Other Commercial Uses - Photographic FilmMonitoring Data</v>
      </c>
      <c r="O57" s="602" t="s">
        <v>438</v>
      </c>
    </row>
    <row r="58" spans="12:15" x14ac:dyDescent="0.2">
      <c r="L58" s="336" t="s">
        <v>439</v>
      </c>
      <c r="M58" s="600" t="s">
        <v>200</v>
      </c>
      <c r="N58" s="601" t="str">
        <f t="shared" si="0"/>
        <v>Other Commercial Uses - Mold ReleaseMonitoring Data</v>
      </c>
      <c r="O58" s="602" t="s">
        <v>440</v>
      </c>
    </row>
    <row r="59" spans="12:15" x14ac:dyDescent="0.2">
      <c r="L59" s="633" t="s">
        <v>441</v>
      </c>
      <c r="M59" s="634" t="s">
        <v>200</v>
      </c>
      <c r="N59" s="601" t="str">
        <f t="shared" si="0"/>
        <v>Other DOD Uses - Water Pipe RepairMonitoring Data</v>
      </c>
      <c r="O59" s="635" t="s">
        <v>442</v>
      </c>
    </row>
    <row r="60" spans="12:15" x14ac:dyDescent="0.2">
      <c r="L60" s="633" t="s">
        <v>443</v>
      </c>
      <c r="M60" s="634" t="s">
        <v>200</v>
      </c>
      <c r="N60" s="601" t="str">
        <f t="shared" si="0"/>
        <v>Other DOD Uses - Oil analysisMonitoring Data</v>
      </c>
      <c r="O60" s="635" t="s">
        <v>444</v>
      </c>
    </row>
    <row r="61" spans="12:15" x14ac:dyDescent="0.2">
      <c r="L61" s="336" t="s">
        <v>445</v>
      </c>
      <c r="M61" s="600" t="s">
        <v>200</v>
      </c>
      <c r="N61" s="601" t="str">
        <f t="shared" si="0"/>
        <v>Disposal/Recycling and DisposalMonitoring Data</v>
      </c>
      <c r="O61" s="602">
        <v>21</v>
      </c>
    </row>
    <row r="62" spans="12:15" ht="13.5" thickBot="1" x14ac:dyDescent="0.25">
      <c r="L62" s="636" t="s">
        <v>446</v>
      </c>
      <c r="M62" s="637" t="s">
        <v>200</v>
      </c>
      <c r="N62" s="601" t="str">
        <f t="shared" si="0"/>
        <v>Laboratory ChemicalsMonitoring Data</v>
      </c>
      <c r="O62" s="638">
        <v>22</v>
      </c>
    </row>
  </sheetData>
  <sheetProtection sheet="1" objects="1" scenarios="1" formatCells="0" formatColumns="0" formatRows="0" sort="0" autoFilter="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1240-2A0D-4766-9250-85744E11E255}">
  <sheetPr codeName="Sheet8">
    <tabColor theme="1"/>
  </sheetPr>
  <dimension ref="B1:F23"/>
  <sheetViews>
    <sheetView workbookViewId="0">
      <selection activeCell="A26" sqref="A26:XFD26"/>
    </sheetView>
  </sheetViews>
  <sheetFormatPr defaultColWidth="9.140625" defaultRowHeight="12.75" x14ac:dyDescent="0.2"/>
  <cols>
    <col min="1" max="1" width="4.85546875" style="11" customWidth="1"/>
    <col min="2" max="2" width="35.5703125" style="11" customWidth="1"/>
    <col min="3" max="3" width="10.42578125" style="11" customWidth="1"/>
    <col min="4" max="4" width="13.140625" style="11" customWidth="1"/>
    <col min="5" max="5" width="16.5703125" style="11" bestFit="1" customWidth="1"/>
    <col min="6" max="6" width="62" style="11" customWidth="1"/>
    <col min="7" max="7" width="10.85546875" style="11" customWidth="1"/>
    <col min="8" max="16384" width="9.140625" style="11"/>
  </cols>
  <sheetData>
    <row r="1" spans="2:6" ht="15.75" x14ac:dyDescent="0.25">
      <c r="B1" s="10" t="s">
        <v>447</v>
      </c>
    </row>
    <row r="3" spans="2:6" ht="38.25" x14ac:dyDescent="0.2">
      <c r="C3" s="639" t="s">
        <v>197</v>
      </c>
      <c r="D3" s="640" t="s">
        <v>72</v>
      </c>
      <c r="E3" s="640" t="s">
        <v>448</v>
      </c>
      <c r="F3" s="641" t="s">
        <v>449</v>
      </c>
    </row>
    <row r="4" spans="2:6" ht="38.25" x14ac:dyDescent="0.2">
      <c r="B4" s="642" t="s">
        <v>450</v>
      </c>
      <c r="C4" s="643">
        <v>80</v>
      </c>
      <c r="D4" s="644">
        <f>AVERAGE(65.9,71.9,74.8,77.1)</f>
        <v>72.425000000000011</v>
      </c>
      <c r="E4" s="645"/>
      <c r="F4" s="646" t="s">
        <v>451</v>
      </c>
    </row>
    <row r="5" spans="2:6" ht="15.75" x14ac:dyDescent="0.2">
      <c r="B5" s="642" t="s">
        <v>452</v>
      </c>
      <c r="C5" s="647">
        <f>C6/2</f>
        <v>535</v>
      </c>
      <c r="D5" s="648">
        <f>D6/2</f>
        <v>445</v>
      </c>
      <c r="E5" s="649" t="s">
        <v>91</v>
      </c>
      <c r="F5" s="650" t="s">
        <v>453</v>
      </c>
    </row>
    <row r="6" spans="2:6" ht="15.75" x14ac:dyDescent="0.2">
      <c r="B6" s="642" t="s">
        <v>454</v>
      </c>
      <c r="C6" s="651">
        <v>1070</v>
      </c>
      <c r="D6" s="652">
        <v>890</v>
      </c>
      <c r="E6" s="649" t="s">
        <v>90</v>
      </c>
      <c r="F6" s="653"/>
    </row>
    <row r="7" spans="2:6" x14ac:dyDescent="0.2">
      <c r="B7" s="642" t="s">
        <v>455</v>
      </c>
      <c r="C7" s="647">
        <v>40</v>
      </c>
      <c r="D7" s="648">
        <v>40</v>
      </c>
      <c r="E7" s="649" t="s">
        <v>90</v>
      </c>
      <c r="F7" s="654"/>
    </row>
    <row r="8" spans="2:6" x14ac:dyDescent="0.2">
      <c r="B8" s="642" t="s">
        <v>456</v>
      </c>
      <c r="C8" s="647">
        <v>31</v>
      </c>
      <c r="D8" s="648">
        <v>31</v>
      </c>
      <c r="E8" s="649" t="s">
        <v>91</v>
      </c>
      <c r="F8" s="654"/>
    </row>
    <row r="9" spans="2:6" x14ac:dyDescent="0.2">
      <c r="B9" s="642" t="s">
        <v>457</v>
      </c>
      <c r="C9" s="647">
        <v>78</v>
      </c>
      <c r="D9" s="648">
        <v>78</v>
      </c>
      <c r="E9" s="649"/>
      <c r="F9" s="654"/>
    </row>
    <row r="10" spans="2:6" ht="15.75" x14ac:dyDescent="0.2">
      <c r="B10" s="642" t="s">
        <v>458</v>
      </c>
      <c r="C10" s="655">
        <v>1.25</v>
      </c>
      <c r="D10" s="656"/>
      <c r="E10" s="649" t="s">
        <v>459</v>
      </c>
      <c r="F10" s="654" t="s">
        <v>460</v>
      </c>
    </row>
    <row r="11" spans="2:6" ht="15.75" x14ac:dyDescent="0.2">
      <c r="B11" s="657" t="s">
        <v>461</v>
      </c>
      <c r="C11" s="658">
        <v>0.61250000000000004</v>
      </c>
      <c r="D11" s="659"/>
      <c r="E11" s="660" t="s">
        <v>459</v>
      </c>
      <c r="F11" s="661"/>
    </row>
    <row r="12" spans="2:6" x14ac:dyDescent="0.2">
      <c r="B12" s="662"/>
      <c r="C12" s="662"/>
      <c r="D12" s="662"/>
      <c r="E12" s="662"/>
    </row>
    <row r="13" spans="2:6" x14ac:dyDescent="0.2">
      <c r="B13" s="663" t="s">
        <v>462</v>
      </c>
    </row>
    <row r="14" spans="2:6" x14ac:dyDescent="0.2">
      <c r="B14" s="664" t="s">
        <v>463</v>
      </c>
    </row>
    <row r="15" spans="2:6" x14ac:dyDescent="0.2">
      <c r="B15" s="11" t="s">
        <v>464</v>
      </c>
    </row>
    <row r="16" spans="2:6" x14ac:dyDescent="0.2">
      <c r="B16" s="11" t="s">
        <v>465</v>
      </c>
    </row>
    <row r="17" spans="2:5" x14ac:dyDescent="0.2">
      <c r="B17" s="11" t="s">
        <v>466</v>
      </c>
    </row>
    <row r="18" spans="2:5" x14ac:dyDescent="0.2">
      <c r="B18" s="11" t="s">
        <v>467</v>
      </c>
    </row>
    <row r="19" spans="2:5" x14ac:dyDescent="0.2">
      <c r="B19" s="11" t="s">
        <v>468</v>
      </c>
    </row>
    <row r="21" spans="2:5" x14ac:dyDescent="0.2">
      <c r="B21" s="665" t="s">
        <v>469</v>
      </c>
      <c r="C21" s="665"/>
      <c r="D21" s="665"/>
      <c r="E21" s="665"/>
    </row>
    <row r="22" spans="2:5" x14ac:dyDescent="0.2">
      <c r="B22" s="666" t="s">
        <v>470</v>
      </c>
      <c r="C22" s="666"/>
      <c r="D22" s="666"/>
      <c r="E22" s="666"/>
    </row>
    <row r="23" spans="2:5" x14ac:dyDescent="0.2">
      <c r="B23" s="666" t="s">
        <v>471</v>
      </c>
      <c r="C23" s="666"/>
      <c r="D23" s="666"/>
      <c r="E23" s="666"/>
    </row>
  </sheetData>
  <sheetProtection sheet="1" objects="1" scenarios="1" formatCells="0" formatColumns="0" formatRows="0" sort="0" autoFilter="0"/>
  <mergeCells count="6">
    <mergeCell ref="F5:F6"/>
    <mergeCell ref="B21:E21"/>
    <mergeCell ref="B12:E12"/>
    <mergeCell ref="B22:E22"/>
    <mergeCell ref="B23:E23"/>
    <mergeCell ref="C10: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1292</Value>
      <Value>1291</Value>
      <Value>1198</Value>
      <Value>1288</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pce</TermName>
          <TermId xmlns="http://schemas.microsoft.com/office/infopath/2007/PartnerControls">caf6799b-46ab-451a-9b15-6162a8525ea8</TermId>
        </TermInfo>
        <TermInfo xmlns="http://schemas.microsoft.com/office/infopath/2007/PartnerControls">
          <TermName xmlns="http://schemas.microsoft.com/office/infopath/2007/PartnerControls">occupational exposures</TermName>
          <TermId xmlns="http://schemas.microsoft.com/office/infopath/2007/PartnerControls">18774c37-cb29-4db0-967a-47bce933212b</TermId>
        </TermInfo>
        <TermInfo xmlns="http://schemas.microsoft.com/office/infopath/2007/PartnerControls">
          <TermName xmlns="http://schemas.microsoft.com/office/infopath/2007/PartnerControls">risk calculator</TermName>
          <TermId xmlns="http://schemas.microsoft.com/office/infopath/2007/PartnerControls">8af20125-90c4-4af3-92eb-7f5682895c4d</TermId>
        </TermInfo>
        <TermInfo xmlns="http://schemas.microsoft.com/office/infopath/2007/PartnerControls">
          <TermName xmlns="http://schemas.microsoft.com/office/infopath/2007/PartnerControls">Tetrachloroethylene</TermName>
          <TermId xmlns="http://schemas.microsoft.com/office/infopath/2007/PartnerControls">755bd87a-6ca9-4042-aecb-9586ff92b9b0</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2025-01-09T19:06:14+00:00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fecc2597-e8fd-4279-ac06-bd7c891938be">
      <UserInfo>
        <DisplayName/>
        <AccountId xsi:nil="true"/>
        <AccountType/>
      </UserInfo>
    </SharedWithUsers>
    <e3f09c3df709400db2417a7161762d62 xmlns="4ffa91fb-a0ff-4ac5-b2db-65c790d184a4">
      <Terms xmlns="http://schemas.microsoft.com/office/infopath/2007/PartnerControls"/>
    </e3f09c3df709400db2417a7161762d62>
    <lcf76f155ced4ddcb4097134ff3c332f xmlns="ead8da0f-3542-4e50-96c8-f1f698624e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A412F8B4-5788-4A50-8FDB-D7CA985C318F}">
  <ds:schemaRefs>
    <ds:schemaRef ds:uri="http://schemas.microsoft.com/office/2006/documentManagement/types"/>
    <ds:schemaRef ds:uri="http://purl.org/dc/elements/1.1/"/>
    <ds:schemaRef ds:uri="http://schemas.microsoft.com/sharepoint/v3/fields"/>
    <ds:schemaRef ds:uri="http://schemas.microsoft.com/sharepoint.v3"/>
    <ds:schemaRef ds:uri="http://schemas.microsoft.com/sharepoint/v3"/>
    <ds:schemaRef ds:uri="http://schemas.microsoft.com/office/infopath/2007/PartnerControls"/>
    <ds:schemaRef ds:uri="http://schemas.openxmlformats.org/package/2006/metadata/core-properties"/>
    <ds:schemaRef ds:uri="http://www.w3.org/XML/1998/namespace"/>
    <ds:schemaRef ds:uri="ead8da0f-3542-4e50-96c8-f1f698624e86"/>
    <ds:schemaRef ds:uri="fecc2597-e8fd-4279-ac06-bd7c891938be"/>
    <ds:schemaRef ds:uri="4ffa91fb-a0ff-4ac5-b2db-65c790d184a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64BA0AF-6EC8-4AE5-AD0C-1F55A126C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2E1E3B-D6A7-4F6E-8266-F45DD79BF199}">
  <ds:schemaRefs>
    <ds:schemaRef ds:uri="http://schemas.microsoft.com/sharepoint/v3/contenttype/forms"/>
  </ds:schemaRefs>
</ds:datastoreItem>
</file>

<file path=customXml/itemProps4.xml><?xml version="1.0" encoding="utf-8"?>
<ds:datastoreItem xmlns:ds="http://schemas.openxmlformats.org/officeDocument/2006/customXml" ds:itemID="{0BB23544-7960-4C44-8499-E292B86D932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Cover Page</vt:lpstr>
      <vt:lpstr>Read Me</vt:lpstr>
      <vt:lpstr>Calculation Summary</vt:lpstr>
      <vt:lpstr>Dashboard</vt:lpstr>
      <vt:lpstr>RR</vt:lpstr>
      <vt:lpstr>Inhalation Exposure</vt:lpstr>
      <vt:lpstr>Aggregate RR</vt:lpstr>
      <vt:lpstr>Dermal Exposure</vt:lpstr>
      <vt:lpstr>Tables for Report</vt:lpstr>
      <vt:lpstr>Tables for RE</vt:lpstr>
      <vt:lpstr>Hazard Values</vt:lpstr>
      <vt:lpstr>List Values</vt:lpstr>
      <vt:lpstr>Exposure Factors</vt:lpstr>
      <vt:lpstr>AH1_cm2</vt:lpstr>
      <vt:lpstr>AH1_cm2_F</vt:lpstr>
      <vt:lpstr>AH2_cm2</vt:lpstr>
      <vt:lpstr>AH2_cm2_F</vt:lpstr>
      <vt:lpstr>AT</vt:lpstr>
      <vt:lpstr>AT_AC</vt:lpstr>
      <vt:lpstr>AT_ADC_high</vt:lpstr>
      <vt:lpstr>AT_ADC_mid</vt:lpstr>
      <vt:lpstr>AT_LADC</vt:lpstr>
      <vt:lpstr>BW_default</vt:lpstr>
      <vt:lpstr>BW_F</vt:lpstr>
      <vt:lpstr>ED_10</vt:lpstr>
      <vt:lpstr>ED_8</vt:lpstr>
      <vt:lpstr>EF</vt:lpstr>
      <vt:lpstr>EFID</vt:lpstr>
      <vt:lpstr>ID</vt:lpstr>
      <vt:lpstr>LT</vt:lpstr>
      <vt:lpstr>Mol_Vol</vt:lpstr>
      <vt:lpstr>MW</vt:lpstr>
      <vt:lpstr>WorkBreathRate</vt:lpstr>
      <vt:lpstr>WY_high</vt:lpstr>
      <vt:lpstr>WY_mid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PCE Supplemental Information File Risk Calculator for Occupational Exposures</dc:title>
  <dc:subject>Risk Calculator for Occupational Exposures</dc:subject>
  <dc:creator>US EPA</dc:creator>
  <cp:keywords>risk calculator; occupational exposures; pce; Tetrachloroethylene</cp:keywords>
  <dc:description/>
  <cp:lastModifiedBy>Myer, Mark</cp:lastModifiedBy>
  <cp:revision/>
  <dcterms:created xsi:type="dcterms:W3CDTF">2014-03-17T14:32:48Z</dcterms:created>
  <dcterms:modified xsi:type="dcterms:W3CDTF">2025-05-21T13:29:39Z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1292;#pce|caf6799b-46ab-451a-9b15-6162a8525ea8;#1291;#occupational exposures|18774c37-cb29-4db0-967a-47bce933212b;#1198;#risk calculator|8af20125-90c4-4af3-92eb-7f5682895c4d;#1288;#Tetrachloroethylene|755bd87a-6ca9-4042-aecb-9586ff92b9b0</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y fmtid="{D5CDD505-2E9C-101B-9397-08002B2CF9AE}" pid="9" name="Order">
    <vt:r8>30651800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