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6.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defaultThemeVersion="166925"/>
  <xr:revisionPtr revIDLastSave="1220" documentId="13_ncr:1_{062567BC-3846-4C2C-BD4E-59CE368A65FF}" xr6:coauthVersionLast="47" xr6:coauthVersionMax="47" xr10:uidLastSave="{18D7A740-1B7C-47FB-BC47-85008BA897B7}"/>
  <bookViews>
    <workbookView xWindow="28680" yWindow="-120" windowWidth="29040" windowHeight="17520" xr2:uid="{961787A2-7B38-4EF8-A04F-74FE4053E4A9}"/>
  </bookViews>
  <sheets>
    <sheet name="Cover Page" sheetId="52" r:id="rId1"/>
    <sheet name="Table of Contents" sheetId="1" r:id="rId2"/>
    <sheet name="P-Chem" sheetId="2" r:id="rId3"/>
    <sheet name="DEHP Use Report Information" sheetId="47" r:id="rId4"/>
    <sheet name="DEHP Literature" sheetId="48" r:id="rId5"/>
    <sheet name="Use Info Research" sheetId="44" r:id="rId6"/>
    <sheet name="DEHP Crosswalk" sheetId="45" r:id="rId7"/>
    <sheet name="Article Inputs" sheetId="12" r:id="rId8"/>
    <sheet name="Compiled Products" sheetId="28" r:id="rId9"/>
    <sheet name="Compiled Articles" sheetId="29" r:id="rId10"/>
    <sheet name="Dermal Calcs" sheetId="27" r:id="rId11"/>
    <sheet name="Tire Crumb Inputs" sheetId="46" r:id="rId12"/>
    <sheet name="Tire Crumb Air" sheetId="49" r:id="rId13"/>
    <sheet name="Tire Crumb Particles" sheetId="50" r:id="rId14"/>
    <sheet name="Tire Crumb Dose Calc" sheetId="51" r:id="rId15"/>
  </sheets>
  <externalReferences>
    <externalReference r:id="rId16"/>
    <externalReference r:id="rId17"/>
  </externalReferences>
  <definedNames>
    <definedName name="_8_hr">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definedName>
    <definedName name="_AtRisk_SimSetting_ConvergenceTolerance" hidden="1">0.01</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8</definedName>
    <definedName name="_AtRisk_SimSetting_MultipleCPUManualCount" hidden="1">8</definedName>
    <definedName name="_AtRisk_SimSetting_MultipleCPUMode" hidden="1">2</definedName>
    <definedName name="_AtRisk_SimSetting_MultipleCPUModeV8" hidden="1">2</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15</definedName>
    <definedName name="_AtRisk_SimSetting_ReportOptionReportsFileType" hidden="1">1</definedName>
    <definedName name="_AtRisk_SimSetting_ReportOptionSelectiveQR" hidden="1">FALSE</definedName>
    <definedName name="_AtRisk_SimSetting_ReportsList" hidden="1">15</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9" hidden="1">'Compiled Articles'!$A$18:$R$130</definedName>
    <definedName name="_xlnm._FilterDatabase" localSheetId="6" hidden="1">'DEHP Crosswalk'!$A$2:$N$13</definedName>
    <definedName name="_xlnm._FilterDatabase" localSheetId="3" hidden="1">'DEHP Use Report Information'!$A$1:$O$55</definedName>
    <definedName name="_xlnm._FilterDatabase" localSheetId="10" hidden="1">'Dermal Calcs'!$A$1:$BA$66</definedName>
    <definedName name="_xlnm._FilterDatabase" localSheetId="5" hidden="1">'Use Info Research'!$C$5:$S$63</definedName>
    <definedName name="BW_default">'[1]Exposure Factors'!$C$4</definedName>
    <definedName name="BW_F">'[1]Exposure Factors'!$D$4</definedName>
    <definedName name="CEM_Input__Area_of_Article_Mouthed">'Article Inputs'!$A$49</definedName>
    <definedName name="CEM_Input__Chemical_Migration_Rate">'Article Inputs'!$A$72</definedName>
    <definedName name="CEM_Input__Mouthing_Duration">'Article Inputs'!$A$10</definedName>
    <definedName name="CEM_Input__Product_Density">'Article Inputs'!$A$96</definedName>
    <definedName name="CEM_Input__Surface_Area_of_Articles">'Article Inputs'!$A$107</definedName>
    <definedName name="ED_8">'[1]List Values'!$H$6</definedName>
    <definedName name="EFID">'[1]List Values'!$H$11</definedName>
    <definedName name="ID">'[1]List Values'!$H$12</definedName>
    <definedName name="LT">'[1]List Values'!$H$15</definedName>
    <definedName name="Mol_Vol">'[1]List Values'!#REF!</definedName>
    <definedName name="MW">'[1]List Values'!#REF!</definedName>
    <definedName name="Pal_Workbook_GUID" hidden="1">"QFFA8IQU6YFGRFCXE7L4LIWR"</definedName>
    <definedName name="Registry_ID_Xwalk" localSheetId="6">#REF!</definedName>
    <definedName name="Registry_ID_Xwalk">#REF!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WorkBreathRate">'[1]Exposure Factors'!$C$10</definedName>
    <definedName name="WY_high">'[1]List Values'!$H$14</definedName>
    <definedName name="WY_mid">'[1]List Values'!$H$13</definedName>
  </definedNames>
  <calcPr calcId="191028" iterate="1" iterateCount="1" iterateDelta="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6" i="51" l="1"/>
  <c r="N36" i="51" s="1"/>
  <c r="E36" i="51"/>
  <c r="J36" i="51" s="1"/>
  <c r="F36" i="51"/>
  <c r="G36" i="51"/>
  <c r="D35" i="51"/>
  <c r="E35" i="51"/>
  <c r="F35" i="51"/>
  <c r="G35" i="51"/>
  <c r="C36" i="51"/>
  <c r="H36" i="51" s="1"/>
  <c r="C35" i="51"/>
  <c r="M35" i="51" s="1"/>
  <c r="C34" i="51"/>
  <c r="M34" i="51" s="1"/>
  <c r="D34" i="51"/>
  <c r="I34" i="51" s="1"/>
  <c r="E34" i="51"/>
  <c r="J34" i="51" s="1"/>
  <c r="F34" i="51"/>
  <c r="P34" i="51" s="1"/>
  <c r="G34" i="51"/>
  <c r="Q34" i="51" s="1"/>
  <c r="D31" i="51"/>
  <c r="N31" i="51" s="1"/>
  <c r="E31" i="51"/>
  <c r="O31" i="51" s="1"/>
  <c r="F31" i="51"/>
  <c r="P31" i="51" s="1"/>
  <c r="G31" i="51"/>
  <c r="Q31" i="51" s="1"/>
  <c r="C31" i="51"/>
  <c r="H31" i="51"/>
  <c r="D30" i="51"/>
  <c r="N30" i="51" s="1"/>
  <c r="E30" i="51"/>
  <c r="J30" i="51" s="1"/>
  <c r="F30" i="51"/>
  <c r="P30" i="51" s="1"/>
  <c r="G30" i="51"/>
  <c r="C30" i="51"/>
  <c r="H30" i="51" s="1"/>
  <c r="D29" i="51"/>
  <c r="E29" i="51"/>
  <c r="O29" i="51" s="1"/>
  <c r="F29" i="51"/>
  <c r="G29" i="51"/>
  <c r="C29" i="51"/>
  <c r="H29" i="51" s="1"/>
  <c r="D26" i="51"/>
  <c r="N26" i="51" s="1"/>
  <c r="E26" i="51"/>
  <c r="O26" i="51" s="1"/>
  <c r="F26" i="51"/>
  <c r="P26" i="51" s="1"/>
  <c r="G26" i="51"/>
  <c r="Q26" i="51" s="1"/>
  <c r="C26" i="51"/>
  <c r="H26" i="51"/>
  <c r="Q36" i="51"/>
  <c r="P36" i="51"/>
  <c r="Q35" i="51"/>
  <c r="P35" i="51"/>
  <c r="O35" i="51"/>
  <c r="N35" i="51"/>
  <c r="Q30" i="51"/>
  <c r="Q29" i="51"/>
  <c r="P29" i="51"/>
  <c r="N29" i="51"/>
  <c r="L36" i="51"/>
  <c r="K36" i="51"/>
  <c r="L35" i="51"/>
  <c r="K35" i="51"/>
  <c r="J35" i="51"/>
  <c r="I35" i="51"/>
  <c r="L34" i="51"/>
  <c r="J31" i="51"/>
  <c r="I31" i="51"/>
  <c r="L30" i="51"/>
  <c r="L29" i="51"/>
  <c r="K29" i="51"/>
  <c r="J29" i="51"/>
  <c r="I29" i="51"/>
  <c r="D25" i="51"/>
  <c r="N25" i="51" s="1"/>
  <c r="E25" i="51"/>
  <c r="J25" i="51" s="1"/>
  <c r="F25" i="51"/>
  <c r="G25" i="51"/>
  <c r="C25" i="51"/>
  <c r="H25" i="51" s="1"/>
  <c r="M25" i="51"/>
  <c r="P25" i="51"/>
  <c r="Q25" i="51"/>
  <c r="M24" i="51"/>
  <c r="K25" i="51"/>
  <c r="L25" i="51"/>
  <c r="N24" i="51"/>
  <c r="O24" i="51"/>
  <c r="P24" i="51"/>
  <c r="Q24" i="51"/>
  <c r="I24" i="51"/>
  <c r="J24" i="51"/>
  <c r="K24" i="51"/>
  <c r="L24" i="51"/>
  <c r="H24" i="51"/>
  <c r="D24" i="51"/>
  <c r="E24" i="51"/>
  <c r="F24" i="51"/>
  <c r="G24" i="51"/>
  <c r="C24" i="51"/>
  <c r="N136" i="46"/>
  <c r="W103" i="46" s="1"/>
  <c r="M136" i="46"/>
  <c r="M138" i="46" s="1"/>
  <c r="L136" i="46"/>
  <c r="L138" i="46" s="1"/>
  <c r="N134" i="46"/>
  <c r="M134" i="46"/>
  <c r="L134" i="46"/>
  <c r="K134" i="46"/>
  <c r="N133" i="46"/>
  <c r="W102" i="46" s="1"/>
  <c r="M133" i="46"/>
  <c r="V102" i="46" s="1"/>
  <c r="L133" i="46"/>
  <c r="U102" i="46" s="1"/>
  <c r="K133" i="46"/>
  <c r="T102" i="46" s="1"/>
  <c r="N132" i="46"/>
  <c r="M132" i="46"/>
  <c r="L132" i="46"/>
  <c r="K132" i="46"/>
  <c r="N131" i="46"/>
  <c r="M131" i="46"/>
  <c r="L131" i="46"/>
  <c r="K131" i="46"/>
  <c r="K136" i="46" s="1"/>
  <c r="O127" i="46"/>
  <c r="O134" i="46" s="1"/>
  <c r="O126" i="46"/>
  <c r="O133" i="46" s="1"/>
  <c r="O125" i="46"/>
  <c r="O132" i="46" s="1"/>
  <c r="O124" i="46"/>
  <c r="O131" i="46" s="1"/>
  <c r="O136" i="46" s="1"/>
  <c r="O138" i="46" s="1"/>
  <c r="N124" i="46"/>
  <c r="M124" i="46"/>
  <c r="L124" i="46"/>
  <c r="K124" i="46"/>
  <c r="R105" i="46"/>
  <c r="Q105" i="46"/>
  <c r="P105" i="46"/>
  <c r="O105" i="46"/>
  <c r="U104" i="46" s="1"/>
  <c r="W104" i="46"/>
  <c r="V104" i="46"/>
  <c r="R104" i="46"/>
  <c r="Q104" i="46"/>
  <c r="P104" i="46"/>
  <c r="O104" i="46"/>
  <c r="R103" i="46"/>
  <c r="Q103" i="46"/>
  <c r="P103" i="46"/>
  <c r="O103" i="46"/>
  <c r="T67" i="46"/>
  <c r="S67" i="46"/>
  <c r="R67" i="46"/>
  <c r="Q67" i="46"/>
  <c r="P67" i="46"/>
  <c r="P6" i="46"/>
  <c r="P7" i="46" s="1"/>
  <c r="O6" i="46"/>
  <c r="O7" i="46" s="1"/>
  <c r="N6" i="46"/>
  <c r="N7" i="46" s="1"/>
  <c r="M6" i="46"/>
  <c r="M7" i="46" s="1"/>
  <c r="L6" i="46"/>
  <c r="L7" i="46" s="1"/>
  <c r="I36" i="51" l="1"/>
  <c r="O36" i="51"/>
  <c r="M36" i="51"/>
  <c r="H35" i="51"/>
  <c r="K34" i="51"/>
  <c r="N34" i="51"/>
  <c r="O34" i="51"/>
  <c r="H34" i="51"/>
  <c r="M31" i="51"/>
  <c r="M30" i="51"/>
  <c r="I30" i="51"/>
  <c r="K30" i="51"/>
  <c r="O30" i="51"/>
  <c r="K31" i="51"/>
  <c r="L31" i="51"/>
  <c r="M29" i="51"/>
  <c r="L26" i="51"/>
  <c r="K26" i="51"/>
  <c r="J26" i="51"/>
  <c r="I26" i="51"/>
  <c r="M26" i="51"/>
  <c r="I25" i="51"/>
  <c r="O25" i="51"/>
  <c r="K138" i="46"/>
  <c r="T103" i="46"/>
  <c r="X102" i="46"/>
  <c r="X103" i="46"/>
  <c r="X104" i="46"/>
  <c r="U103" i="46"/>
  <c r="V103" i="46"/>
  <c r="N138" i="46"/>
  <c r="T104" i="46"/>
  <c r="AH9" i="27" l="1"/>
  <c r="G170" i="48"/>
  <c r="G169" i="48"/>
  <c r="G168" i="48"/>
  <c r="M62" i="48" s="1"/>
  <c r="G167" i="48"/>
  <c r="G165" i="48"/>
  <c r="G164" i="48"/>
  <c r="G163" i="48"/>
  <c r="G162" i="48"/>
  <c r="G161" i="48"/>
  <c r="G160" i="48"/>
  <c r="G159" i="48"/>
  <c r="G158" i="48"/>
  <c r="G157" i="48"/>
  <c r="G156" i="48"/>
  <c r="G155" i="48"/>
  <c r="G154" i="48"/>
  <c r="G153" i="48"/>
  <c r="G152" i="48"/>
  <c r="G151" i="48"/>
  <c r="G150" i="48"/>
  <c r="G149" i="48"/>
  <c r="G148" i="48"/>
  <c r="G145" i="48"/>
  <c r="G144" i="48"/>
  <c r="L36" i="48" s="1"/>
  <c r="G143" i="48"/>
  <c r="G99" i="48"/>
  <c r="G76" i="48"/>
  <c r="M15" i="48" s="1"/>
  <c r="G75" i="48"/>
  <c r="G74" i="48"/>
  <c r="G71" i="48"/>
  <c r="G70" i="48"/>
  <c r="G69" i="48"/>
  <c r="G68" i="48"/>
  <c r="G66" i="48"/>
  <c r="K62" i="48"/>
  <c r="G61" i="48"/>
  <c r="O60" i="48"/>
  <c r="L60" i="48"/>
  <c r="J60" i="48"/>
  <c r="I60" i="48"/>
  <c r="G60" i="48"/>
  <c r="K55" i="48" s="1"/>
  <c r="O59" i="48"/>
  <c r="M59" i="48"/>
  <c r="L59" i="48"/>
  <c r="K59" i="48"/>
  <c r="J59" i="48"/>
  <c r="I59" i="48"/>
  <c r="G59" i="48"/>
  <c r="O58" i="48"/>
  <c r="M58" i="48"/>
  <c r="K58" i="48"/>
  <c r="J58" i="48"/>
  <c r="I58" i="48"/>
  <c r="G58" i="48"/>
  <c r="L58" i="48" s="1"/>
  <c r="O57" i="48"/>
  <c r="M57" i="48"/>
  <c r="L57" i="48"/>
  <c r="K57" i="48"/>
  <c r="I57" i="48"/>
  <c r="G57" i="48"/>
  <c r="M51" i="48" s="1"/>
  <c r="O56" i="48"/>
  <c r="M56" i="48"/>
  <c r="L56" i="48"/>
  <c r="K56" i="48"/>
  <c r="J56" i="48"/>
  <c r="I56" i="48"/>
  <c r="O55" i="48"/>
  <c r="M55" i="48"/>
  <c r="L55" i="48"/>
  <c r="J55" i="48"/>
  <c r="I55" i="48"/>
  <c r="O54" i="48"/>
  <c r="N54" i="48"/>
  <c r="M54" i="48"/>
  <c r="L54" i="48"/>
  <c r="K54" i="48"/>
  <c r="I54" i="48"/>
  <c r="G54" i="48"/>
  <c r="O53" i="48"/>
  <c r="M53" i="48"/>
  <c r="L53" i="48"/>
  <c r="K53" i="48"/>
  <c r="J53" i="48"/>
  <c r="I53" i="48"/>
  <c r="G53" i="48"/>
  <c r="O52" i="48"/>
  <c r="M52" i="48"/>
  <c r="L52" i="48"/>
  <c r="K52" i="48"/>
  <c r="J52" i="48"/>
  <c r="I52" i="48"/>
  <c r="G52" i="48"/>
  <c r="N44" i="48" s="1"/>
  <c r="O51" i="48"/>
  <c r="J51" i="48"/>
  <c r="I51" i="48"/>
  <c r="G51" i="48"/>
  <c r="O50" i="48"/>
  <c r="J50" i="48"/>
  <c r="I50" i="48"/>
  <c r="O49" i="48"/>
  <c r="M49" i="48"/>
  <c r="L49" i="48"/>
  <c r="K49" i="48"/>
  <c r="J49" i="48"/>
  <c r="I49" i="48"/>
  <c r="O48" i="48"/>
  <c r="L48" i="48"/>
  <c r="I48" i="48"/>
  <c r="O47" i="48"/>
  <c r="N47" i="48"/>
  <c r="M47" i="48"/>
  <c r="L47" i="48"/>
  <c r="K47" i="48"/>
  <c r="I47" i="48"/>
  <c r="O46" i="48"/>
  <c r="M46" i="48"/>
  <c r="L46" i="48"/>
  <c r="K46" i="48"/>
  <c r="J46" i="48"/>
  <c r="I46" i="48"/>
  <c r="O45" i="48"/>
  <c r="M45" i="48"/>
  <c r="L45" i="48"/>
  <c r="K45" i="48"/>
  <c r="J45" i="48"/>
  <c r="I45" i="48"/>
  <c r="J44" i="48"/>
  <c r="I44" i="48"/>
  <c r="O43" i="48"/>
  <c r="N43" i="48"/>
  <c r="M43" i="48"/>
  <c r="L43" i="48"/>
  <c r="K43" i="48"/>
  <c r="I43" i="48"/>
  <c r="O42" i="48"/>
  <c r="N42" i="48"/>
  <c r="M42" i="48"/>
  <c r="L42" i="48"/>
  <c r="K42" i="48"/>
  <c r="J42" i="48"/>
  <c r="I42" i="48"/>
  <c r="O41" i="48"/>
  <c r="N41" i="48"/>
  <c r="M41" i="48"/>
  <c r="L41" i="48"/>
  <c r="K41" i="48"/>
  <c r="J41" i="48"/>
  <c r="I41" i="48"/>
  <c r="O40" i="48"/>
  <c r="N40" i="48"/>
  <c r="M40" i="48"/>
  <c r="L40" i="48"/>
  <c r="K40" i="48"/>
  <c r="J40" i="48"/>
  <c r="I40" i="48"/>
  <c r="O39" i="48"/>
  <c r="J39" i="48"/>
  <c r="I39" i="48"/>
  <c r="G39" i="48"/>
  <c r="O38" i="48"/>
  <c r="L38" i="48"/>
  <c r="J38" i="48"/>
  <c r="I38" i="48"/>
  <c r="G38" i="48"/>
  <c r="N50" i="48" s="1"/>
  <c r="O36" i="48"/>
  <c r="N36" i="48"/>
  <c r="M36" i="48"/>
  <c r="J36" i="48"/>
  <c r="I36" i="48"/>
  <c r="O35" i="48"/>
  <c r="N35" i="48"/>
  <c r="M35" i="48"/>
  <c r="L35" i="48"/>
  <c r="K35" i="48"/>
  <c r="J35" i="48"/>
  <c r="I35" i="48"/>
  <c r="O33" i="48"/>
  <c r="N33" i="48"/>
  <c r="M33" i="48"/>
  <c r="L33" i="48"/>
  <c r="K33" i="48"/>
  <c r="J33" i="48"/>
  <c r="I33" i="48"/>
  <c r="O32" i="48"/>
  <c r="M32" i="48"/>
  <c r="L32" i="48"/>
  <c r="K32" i="48"/>
  <c r="J32" i="48"/>
  <c r="I32" i="48"/>
  <c r="O31" i="48"/>
  <c r="N31" i="48"/>
  <c r="M31" i="48"/>
  <c r="L31" i="48"/>
  <c r="K31" i="48"/>
  <c r="J31" i="48"/>
  <c r="I31" i="48"/>
  <c r="O30" i="48"/>
  <c r="N30" i="48"/>
  <c r="M30" i="48"/>
  <c r="L30" i="48"/>
  <c r="K30" i="48"/>
  <c r="J30" i="48"/>
  <c r="I30" i="48"/>
  <c r="O28" i="48"/>
  <c r="N28" i="48"/>
  <c r="M28" i="48"/>
  <c r="L28" i="48"/>
  <c r="K28" i="48"/>
  <c r="J28" i="48"/>
  <c r="I28" i="48"/>
  <c r="O27" i="48"/>
  <c r="N27" i="48"/>
  <c r="M27" i="48"/>
  <c r="L27" i="48"/>
  <c r="K27" i="48"/>
  <c r="J27" i="48"/>
  <c r="I27" i="48"/>
  <c r="G27" i="48"/>
  <c r="L39" i="48" s="1"/>
  <c r="O25" i="48"/>
  <c r="N25" i="48"/>
  <c r="M25" i="48"/>
  <c r="L25" i="48"/>
  <c r="K25" i="48"/>
  <c r="J25" i="48"/>
  <c r="I25" i="48"/>
  <c r="O23" i="48"/>
  <c r="M23" i="48"/>
  <c r="L23" i="48"/>
  <c r="K23" i="48"/>
  <c r="J23" i="48"/>
  <c r="I23" i="48"/>
  <c r="O22" i="48"/>
  <c r="N22" i="48"/>
  <c r="M22" i="48"/>
  <c r="L22" i="48"/>
  <c r="K22" i="48"/>
  <c r="J22" i="48"/>
  <c r="I22" i="48"/>
  <c r="O20" i="48"/>
  <c r="N20" i="48"/>
  <c r="M20" i="48"/>
  <c r="L20" i="48"/>
  <c r="K20" i="48"/>
  <c r="I20" i="48"/>
  <c r="O18" i="48"/>
  <c r="N18" i="48"/>
  <c r="M18" i="48"/>
  <c r="L18" i="48"/>
  <c r="K18" i="48"/>
  <c r="I18" i="48"/>
  <c r="O17" i="48"/>
  <c r="M17" i="48"/>
  <c r="L17" i="48"/>
  <c r="K17" i="48"/>
  <c r="I17" i="48"/>
  <c r="G16" i="48"/>
  <c r="N6" i="48" s="1"/>
  <c r="O15" i="48"/>
  <c r="K15" i="48"/>
  <c r="I15" i="48"/>
  <c r="O13" i="48"/>
  <c r="N13" i="48"/>
  <c r="M13" i="48"/>
  <c r="L13" i="48"/>
  <c r="K13" i="48"/>
  <c r="I13" i="48"/>
  <c r="O11" i="48"/>
  <c r="M11" i="48"/>
  <c r="L11" i="48"/>
  <c r="K11" i="48"/>
  <c r="J11" i="48"/>
  <c r="I11" i="48"/>
  <c r="G10" i="48"/>
  <c r="O9" i="48"/>
  <c r="N9" i="48"/>
  <c r="M9" i="48"/>
  <c r="L9" i="48"/>
  <c r="K9" i="48"/>
  <c r="I9" i="48"/>
  <c r="G9" i="48"/>
  <c r="G8" i="48"/>
  <c r="O7" i="48"/>
  <c r="N7" i="48"/>
  <c r="M7" i="48"/>
  <c r="L7" i="48"/>
  <c r="K7" i="48"/>
  <c r="J7" i="48"/>
  <c r="I7" i="48"/>
  <c r="G7" i="48"/>
  <c r="O6" i="48"/>
  <c r="M6" i="48"/>
  <c r="L6" i="48"/>
  <c r="K6" i="48"/>
  <c r="J6" i="48"/>
  <c r="I6" i="48"/>
  <c r="G6" i="48"/>
  <c r="G5" i="48"/>
  <c r="O4" i="48"/>
  <c r="J4" i="48"/>
  <c r="I4" i="48"/>
  <c r="G4" i="48"/>
  <c r="G3" i="48"/>
  <c r="N4" i="48" s="1"/>
  <c r="N15" i="48" l="1"/>
  <c r="K50" i="48"/>
  <c r="L62" i="48"/>
  <c r="K4" i="48"/>
  <c r="L50" i="48"/>
  <c r="L4" i="48"/>
  <c r="M50" i="48"/>
  <c r="M4" i="48"/>
  <c r="K44" i="48"/>
  <c r="L44" i="48"/>
  <c r="L15" i="48"/>
  <c r="M44" i="48"/>
  <c r="K36" i="48"/>
  <c r="L51" i="48"/>
  <c r="K51" i="48"/>
  <c r="R10" i="45" l="1"/>
  <c r="Z34" i="2" l="1"/>
  <c r="AA34" i="2"/>
  <c r="Y34" i="2"/>
  <c r="X34" i="2"/>
  <c r="W34" i="2"/>
  <c r="V34" i="2"/>
  <c r="J9" i="2" l="1"/>
  <c r="S34" i="2" l="1"/>
  <c r="P12" i="2"/>
  <c r="P13" i="2"/>
  <c r="P11" i="2"/>
  <c r="E23" i="2"/>
  <c r="E41" i="2" s="1"/>
  <c r="Q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E31" i="2"/>
  <c r="E36" i="2"/>
  <c r="E37" i="2"/>
  <c r="E38" i="2"/>
  <c r="E39" i="2"/>
  <c r="E40" i="2"/>
  <c r="E42" i="2"/>
  <c r="E43" i="2"/>
  <c r="E45" i="2"/>
  <c r="E46" i="2"/>
  <c r="E48" i="2"/>
  <c r="E49" i="2"/>
  <c r="E50" i="2"/>
  <c r="E51" i="2"/>
  <c r="E52" i="2"/>
  <c r="E53" i="2"/>
  <c r="E54" i="2"/>
  <c r="E55" i="2"/>
  <c r="E57" i="2"/>
  <c r="E58" i="2"/>
  <c r="E30" i="2"/>
  <c r="D36" i="2"/>
  <c r="D31" i="2"/>
  <c r="D32" i="2"/>
  <c r="D33" i="2"/>
  <c r="D34" i="2"/>
  <c r="D35" i="2"/>
  <c r="D38" i="2"/>
  <c r="D39" i="2"/>
  <c r="D41" i="2"/>
  <c r="D42" i="2"/>
  <c r="D43" i="2"/>
  <c r="D44" i="2"/>
  <c r="D45" i="2"/>
  <c r="D46" i="2"/>
  <c r="D47" i="2"/>
  <c r="D48" i="2"/>
  <c r="D50" i="2"/>
  <c r="D51" i="2"/>
  <c r="D53" i="2"/>
  <c r="D54" i="2"/>
  <c r="D55" i="2"/>
  <c r="D56" i="2"/>
  <c r="D57" i="2"/>
  <c r="D58" i="2"/>
  <c r="D59" i="2"/>
  <c r="D30" i="2"/>
  <c r="T34" i="2" l="1"/>
  <c r="U34" i="2"/>
  <c r="D52" i="2"/>
  <c r="D40" i="2"/>
  <c r="E59" i="2"/>
  <c r="E47" i="2"/>
  <c r="E35" i="2"/>
  <c r="E34" i="2"/>
  <c r="E33" i="2"/>
  <c r="D49" i="2"/>
  <c r="D37" i="2"/>
  <c r="E56" i="2"/>
  <c r="E44" i="2"/>
  <c r="E32" i="2"/>
  <c r="G7" i="27" l="1"/>
  <c r="J12" i="27"/>
  <c r="J11" i="27"/>
  <c r="J10" i="27"/>
  <c r="J14" i="27"/>
  <c r="A10" i="27"/>
  <c r="G12" i="27"/>
  <c r="G11" i="27"/>
  <c r="G10" i="27"/>
  <c r="H12" i="27"/>
  <c r="H11" i="27"/>
  <c r="H10" i="27"/>
  <c r="A98" i="27"/>
  <c r="J7" i="27" s="1"/>
  <c r="A96" i="27"/>
  <c r="J8" i="27" s="1"/>
  <c r="A94" i="27"/>
  <c r="J9" i="27" s="1"/>
  <c r="K12" i="27" l="1"/>
  <c r="Q12" i="27" s="1"/>
  <c r="K11" i="27"/>
  <c r="K10" i="27"/>
  <c r="R10" i="27" s="1"/>
  <c r="R11" i="27"/>
  <c r="P11" i="27"/>
  <c r="Q11" i="27"/>
  <c r="S11" i="27"/>
  <c r="O11" i="27"/>
  <c r="N11" i="27"/>
  <c r="M11" i="27"/>
  <c r="S12" i="27"/>
  <c r="S10" i="27" l="1"/>
  <c r="AG10" i="27" s="1"/>
  <c r="AU10" i="27" s="1"/>
  <c r="BO10" i="27" s="1"/>
  <c r="O10" i="27"/>
  <c r="AC10" i="27" s="1"/>
  <c r="AQ10" i="27" s="1"/>
  <c r="BK10" i="27" s="1"/>
  <c r="M10" i="27"/>
  <c r="AA10" i="27" s="1"/>
  <c r="N10" i="27"/>
  <c r="AB10" i="27" s="1"/>
  <c r="N12" i="27"/>
  <c r="U12" i="27" s="1"/>
  <c r="O12" i="27"/>
  <c r="AC12" i="27" s="1"/>
  <c r="AQ12" i="27" s="1"/>
  <c r="BK12" i="27" s="1"/>
  <c r="P12" i="27"/>
  <c r="W12" i="27" s="1"/>
  <c r="R12" i="27"/>
  <c r="AF12" i="27" s="1"/>
  <c r="AT12" i="27" s="1"/>
  <c r="BN12" i="27" s="1"/>
  <c r="M12" i="27"/>
  <c r="T12" i="27" s="1"/>
  <c r="P10" i="27"/>
  <c r="W10" i="27" s="1"/>
  <c r="Q10" i="27"/>
  <c r="AE10" i="27" s="1"/>
  <c r="AS10" i="27" s="1"/>
  <c r="BM10" i="27" s="1"/>
  <c r="V12" i="27"/>
  <c r="AJ12" i="27" s="1"/>
  <c r="BD12" i="27" s="1"/>
  <c r="AE12" i="27"/>
  <c r="AS12" i="27" s="1"/>
  <c r="BM12" i="27" s="1"/>
  <c r="X12" i="27"/>
  <c r="AL12" i="27" s="1"/>
  <c r="BF12" i="27" s="1"/>
  <c r="AG11" i="27"/>
  <c r="AU11" i="27" s="1"/>
  <c r="BO11" i="27" s="1"/>
  <c r="Z11" i="27"/>
  <c r="AN11" i="27" s="1"/>
  <c r="BH11" i="27" s="1"/>
  <c r="AG12" i="27"/>
  <c r="AU12" i="27" s="1"/>
  <c r="BO12" i="27" s="1"/>
  <c r="Z12" i="27"/>
  <c r="AN12" i="27" s="1"/>
  <c r="BH12" i="27" s="1"/>
  <c r="AE11" i="27"/>
  <c r="AS11" i="27" s="1"/>
  <c r="BM11" i="27" s="1"/>
  <c r="X11" i="27"/>
  <c r="AL11" i="27" s="1"/>
  <c r="BF11" i="27" s="1"/>
  <c r="AF10" i="27"/>
  <c r="AT10" i="27" s="1"/>
  <c r="BN10" i="27" s="1"/>
  <c r="Y10" i="27"/>
  <c r="AM10" i="27" s="1"/>
  <c r="BG10" i="27" s="1"/>
  <c r="T11" i="27"/>
  <c r="AA11" i="27"/>
  <c r="AB11" i="27"/>
  <c r="U11" i="27"/>
  <c r="V11" i="27"/>
  <c r="AJ11" i="27" s="1"/>
  <c r="BD11" i="27" s="1"/>
  <c r="AC11" i="27"/>
  <c r="AQ11" i="27" s="1"/>
  <c r="BK11" i="27" s="1"/>
  <c r="AD11" i="27"/>
  <c r="W11" i="27"/>
  <c r="AF11" i="27"/>
  <c r="AT11" i="27" s="1"/>
  <c r="BN11" i="27" s="1"/>
  <c r="Y11" i="27"/>
  <c r="AM11" i="27" s="1"/>
  <c r="BG11" i="27" s="1"/>
  <c r="V10" i="27" l="1"/>
  <c r="AJ10" i="27" s="1"/>
  <c r="BD10" i="27" s="1"/>
  <c r="Z10" i="27"/>
  <c r="AN10" i="27" s="1"/>
  <c r="BH10" i="27" s="1"/>
  <c r="T10" i="27"/>
  <c r="AV10" i="27" s="1"/>
  <c r="U10" i="27"/>
  <c r="AI10" i="27" s="1"/>
  <c r="BC10" i="27" s="1"/>
  <c r="AA12" i="27"/>
  <c r="AY12" i="27" s="1"/>
  <c r="Y12" i="27"/>
  <c r="AM12" i="27" s="1"/>
  <c r="BG12" i="27" s="1"/>
  <c r="AD10" i="27"/>
  <c r="BA10" i="27" s="1"/>
  <c r="AD12" i="27"/>
  <c r="AR12" i="27" s="1"/>
  <c r="BL12" i="27" s="1"/>
  <c r="AB12" i="27"/>
  <c r="AP12" i="27" s="1"/>
  <c r="BJ12" i="27" s="1"/>
  <c r="X10" i="27"/>
  <c r="AL10" i="27" s="1"/>
  <c r="BF10" i="27" s="1"/>
  <c r="AI11" i="27"/>
  <c r="BC11" i="27" s="1"/>
  <c r="AW11" i="27"/>
  <c r="AH11" i="27"/>
  <c r="BB11" i="27" s="1"/>
  <c r="AV11" i="27"/>
  <c r="AW10" i="27"/>
  <c r="AP10" i="27"/>
  <c r="BJ10" i="27" s="1"/>
  <c r="AZ10" i="27"/>
  <c r="AW12" i="27"/>
  <c r="AI12" i="27"/>
  <c r="BC12" i="27" s="1"/>
  <c r="BA11" i="27"/>
  <c r="AR11" i="27"/>
  <c r="BL11" i="27" s="1"/>
  <c r="AO12" i="27"/>
  <c r="BI12" i="27" s="1"/>
  <c r="AO10" i="27"/>
  <c r="BI10" i="27" s="1"/>
  <c r="AY10" i="27"/>
  <c r="AK10" i="27"/>
  <c r="BE10" i="27" s="1"/>
  <c r="AV12" i="27"/>
  <c r="AH12" i="27"/>
  <c r="BB12" i="27" s="1"/>
  <c r="AP11" i="27"/>
  <c r="BJ11" i="27" s="1"/>
  <c r="AZ11" i="27"/>
  <c r="AK12" i="27"/>
  <c r="BE12" i="27" s="1"/>
  <c r="AX12" i="27"/>
  <c r="AO11" i="27"/>
  <c r="BI11" i="27" s="1"/>
  <c r="AY11" i="27"/>
  <c r="AX11" i="27"/>
  <c r="AK11" i="27"/>
  <c r="BE11" i="27" s="1"/>
  <c r="AH10" i="27" l="1"/>
  <c r="BB10" i="27" s="1"/>
  <c r="AR10" i="27"/>
  <c r="BL10" i="27" s="1"/>
  <c r="AZ12" i="27"/>
  <c r="AX10" i="27"/>
  <c r="BA12" i="27"/>
  <c r="E13" i="29" l="1"/>
  <c r="E14" i="29" l="1"/>
  <c r="E11" i="29"/>
  <c r="L94" i="27" l="1"/>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41" i="27"/>
  <c r="J144" i="27"/>
  <c r="J147" i="27"/>
  <c r="J150" i="27"/>
  <c r="J153" i="27"/>
  <c r="J156" i="27"/>
  <c r="J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93" i="27"/>
  <c r="J53" i="27"/>
  <c r="K139" i="27" s="1"/>
  <c r="J54" i="27"/>
  <c r="K140" i="27" s="1"/>
  <c r="J55" i="27"/>
  <c r="K141" i="27" s="1"/>
  <c r="J56" i="27"/>
  <c r="K142" i="27" s="1"/>
  <c r="J57" i="27"/>
  <c r="K143" i="27" s="1"/>
  <c r="J58" i="27"/>
  <c r="K144" i="27" s="1"/>
  <c r="J59" i="27"/>
  <c r="K145" i="27" s="1"/>
  <c r="J60" i="27"/>
  <c r="K146" i="27" s="1"/>
  <c r="J61" i="27"/>
  <c r="K147" i="27" s="1"/>
  <c r="J62" i="27"/>
  <c r="K148" i="27" s="1"/>
  <c r="J63" i="27"/>
  <c r="K149" i="27" s="1"/>
  <c r="J64" i="27"/>
  <c r="K150" i="27" s="1"/>
  <c r="J65" i="27"/>
  <c r="K151" i="27" s="1"/>
  <c r="J66" i="27"/>
  <c r="K152" i="27" s="1"/>
  <c r="J67" i="27"/>
  <c r="K153" i="27" s="1"/>
  <c r="J68" i="27"/>
  <c r="K154" i="27" s="1"/>
  <c r="J69" i="27"/>
  <c r="K155" i="27" s="1"/>
  <c r="J70" i="27"/>
  <c r="K156" i="27" s="1"/>
  <c r="J71" i="27"/>
  <c r="K157" i="27" s="1"/>
  <c r="J72" i="27"/>
  <c r="K158" i="27" s="1"/>
  <c r="J52" i="27"/>
  <c r="K138" i="27" s="1"/>
  <c r="J5" i="27"/>
  <c r="K94" i="27" s="1"/>
  <c r="J6" i="27"/>
  <c r="K95" i="27" s="1"/>
  <c r="K96" i="27"/>
  <c r="K97" i="27"/>
  <c r="K98" i="27"/>
  <c r="J13" i="27"/>
  <c r="K99" i="27" s="1"/>
  <c r="K100" i="27"/>
  <c r="J15" i="27"/>
  <c r="K101" i="27" s="1"/>
  <c r="J16" i="27"/>
  <c r="K102" i="27" s="1"/>
  <c r="J17" i="27"/>
  <c r="K103" i="27" s="1"/>
  <c r="J18" i="27"/>
  <c r="K104" i="27" s="1"/>
  <c r="J19" i="27"/>
  <c r="K105" i="27" s="1"/>
  <c r="J20" i="27"/>
  <c r="K106" i="27" s="1"/>
  <c r="J21" i="27"/>
  <c r="K107" i="27" s="1"/>
  <c r="J22" i="27"/>
  <c r="K108" i="27" s="1"/>
  <c r="J23" i="27"/>
  <c r="K109" i="27" s="1"/>
  <c r="J24" i="27"/>
  <c r="K110" i="27" s="1"/>
  <c r="J25" i="27"/>
  <c r="K111" i="27" s="1"/>
  <c r="J26" i="27"/>
  <c r="K112" i="27" s="1"/>
  <c r="J27" i="27"/>
  <c r="K113" i="27" s="1"/>
  <c r="J28" i="27"/>
  <c r="K114" i="27" s="1"/>
  <c r="J29" i="27"/>
  <c r="K115" i="27" s="1"/>
  <c r="J30" i="27"/>
  <c r="K116" i="27" s="1"/>
  <c r="J31" i="27"/>
  <c r="K117" i="27" s="1"/>
  <c r="J32" i="27"/>
  <c r="K118" i="27" s="1"/>
  <c r="J33" i="27"/>
  <c r="K119" i="27" s="1"/>
  <c r="J34" i="27"/>
  <c r="K120" i="27" s="1"/>
  <c r="J35" i="27"/>
  <c r="K121" i="27" s="1"/>
  <c r="J36" i="27"/>
  <c r="K122" i="27" s="1"/>
  <c r="J37" i="27"/>
  <c r="K123" i="27" s="1"/>
  <c r="J38" i="27"/>
  <c r="K124" i="27" s="1"/>
  <c r="J39" i="27"/>
  <c r="K125" i="27" s="1"/>
  <c r="J40" i="27"/>
  <c r="K126" i="27" s="1"/>
  <c r="J41" i="27"/>
  <c r="K127" i="27" s="1"/>
  <c r="J42" i="27"/>
  <c r="K128" i="27" s="1"/>
  <c r="J43" i="27"/>
  <c r="K129" i="27" s="1"/>
  <c r="J44" i="27"/>
  <c r="K130" i="27" s="1"/>
  <c r="J45" i="27"/>
  <c r="K131" i="27" s="1"/>
  <c r="J46" i="27"/>
  <c r="K132" i="27" s="1"/>
  <c r="J47" i="27"/>
  <c r="K133" i="27" s="1"/>
  <c r="J48" i="27"/>
  <c r="K134" i="27" s="1"/>
  <c r="J49" i="27"/>
  <c r="K135" i="27" s="1"/>
  <c r="J50" i="27"/>
  <c r="K136" i="27" s="1"/>
  <c r="J51" i="27"/>
  <c r="K137" i="27" s="1"/>
  <c r="J4" i="27"/>
  <c r="K93" i="27" s="1"/>
  <c r="G50" i="27"/>
  <c r="H136" i="27" s="1"/>
  <c r="G51" i="27"/>
  <c r="H137" i="27" s="1"/>
  <c r="G49" i="27"/>
  <c r="H135" i="27" s="1"/>
  <c r="G47" i="27"/>
  <c r="H133" i="27" s="1"/>
  <c r="G48" i="27"/>
  <c r="H134" i="27" s="1"/>
  <c r="G46" i="27"/>
  <c r="H132" i="27" s="1"/>
  <c r="G44" i="27"/>
  <c r="H130" i="27" s="1"/>
  <c r="G45" i="27"/>
  <c r="H131" i="27" s="1"/>
  <c r="G43" i="27"/>
  <c r="H129" i="27" s="1"/>
  <c r="G41" i="27"/>
  <c r="H127" i="27" s="1"/>
  <c r="G42" i="27"/>
  <c r="H128" i="27" s="1"/>
  <c r="G40" i="27"/>
  <c r="H126" i="27" s="1"/>
  <c r="H67" i="27"/>
  <c r="I153" i="27" s="1"/>
  <c r="H64" i="27"/>
  <c r="H66" i="27" s="1"/>
  <c r="I152" i="27" s="1"/>
  <c r="H52" i="27"/>
  <c r="H55" i="27"/>
  <c r="I141" i="27" s="1"/>
  <c r="H5" i="27"/>
  <c r="I94" i="27" s="1"/>
  <c r="H6" i="27"/>
  <c r="I95" i="27" s="1"/>
  <c r="H7" i="27"/>
  <c r="I96" i="27" s="1"/>
  <c r="H8" i="27"/>
  <c r="I97" i="27" s="1"/>
  <c r="H9" i="27"/>
  <c r="I98" i="27" s="1"/>
  <c r="H13" i="27"/>
  <c r="I99" i="27" s="1"/>
  <c r="H14" i="27"/>
  <c r="I100" i="27" s="1"/>
  <c r="H15" i="27"/>
  <c r="I101" i="27" s="1"/>
  <c r="H16" i="27"/>
  <c r="I102" i="27" s="1"/>
  <c r="H17" i="27"/>
  <c r="I103" i="27" s="1"/>
  <c r="H18" i="27"/>
  <c r="I104" i="27" s="1"/>
  <c r="H19" i="27"/>
  <c r="I105" i="27" s="1"/>
  <c r="H20" i="27"/>
  <c r="I106" i="27" s="1"/>
  <c r="H21" i="27"/>
  <c r="I107" i="27" s="1"/>
  <c r="H22" i="27"/>
  <c r="I108" i="27" s="1"/>
  <c r="H23" i="27"/>
  <c r="I109" i="27" s="1"/>
  <c r="H24" i="27"/>
  <c r="I110" i="27" s="1"/>
  <c r="H25" i="27"/>
  <c r="I111" i="27" s="1"/>
  <c r="H26" i="27"/>
  <c r="I112" i="27" s="1"/>
  <c r="H27" i="27"/>
  <c r="I113" i="27" s="1"/>
  <c r="H28" i="27"/>
  <c r="I114" i="27" s="1"/>
  <c r="H29" i="27"/>
  <c r="I115" i="27" s="1"/>
  <c r="H30" i="27"/>
  <c r="I116" i="27" s="1"/>
  <c r="H31" i="27"/>
  <c r="I117" i="27" s="1"/>
  <c r="H32" i="27"/>
  <c r="I118" i="27" s="1"/>
  <c r="H33" i="27"/>
  <c r="I119" i="27" s="1"/>
  <c r="H34" i="27"/>
  <c r="I120" i="27" s="1"/>
  <c r="H35" i="27"/>
  <c r="I121" i="27" s="1"/>
  <c r="H36" i="27"/>
  <c r="I122" i="27" s="1"/>
  <c r="H37" i="27"/>
  <c r="I123" i="27" s="1"/>
  <c r="H38" i="27"/>
  <c r="I124" i="27" s="1"/>
  <c r="H39" i="27"/>
  <c r="I125" i="27" s="1"/>
  <c r="H40" i="27"/>
  <c r="I126" i="27" s="1"/>
  <c r="H41" i="27"/>
  <c r="I127" i="27" s="1"/>
  <c r="H42" i="27"/>
  <c r="I128" i="27" s="1"/>
  <c r="H43" i="27"/>
  <c r="I129" i="27" s="1"/>
  <c r="H44" i="27"/>
  <c r="I130" i="27" s="1"/>
  <c r="H45" i="27"/>
  <c r="I131" i="27" s="1"/>
  <c r="H46" i="27"/>
  <c r="I132" i="27" s="1"/>
  <c r="H47" i="27"/>
  <c r="I133" i="27" s="1"/>
  <c r="H48" i="27"/>
  <c r="I134" i="27" s="1"/>
  <c r="H49" i="27"/>
  <c r="I135" i="27" s="1"/>
  <c r="H50" i="27"/>
  <c r="I136" i="27" s="1"/>
  <c r="H51" i="27"/>
  <c r="I137" i="27" s="1"/>
  <c r="H58" i="27"/>
  <c r="I144" i="27" s="1"/>
  <c r="H59" i="27"/>
  <c r="I145" i="27" s="1"/>
  <c r="H61" i="27"/>
  <c r="I147" i="27" s="1"/>
  <c r="H70" i="27"/>
  <c r="I156" i="27" s="1"/>
  <c r="H4" i="27"/>
  <c r="I93" i="27" s="1"/>
  <c r="G71" i="27"/>
  <c r="H157" i="27" s="1"/>
  <c r="G72" i="27"/>
  <c r="H158" i="27" s="1"/>
  <c r="G70" i="27"/>
  <c r="H156" i="27" s="1"/>
  <c r="G68" i="27"/>
  <c r="H154" i="27" s="1"/>
  <c r="G69" i="27"/>
  <c r="H155" i="27" s="1"/>
  <c r="G67" i="27"/>
  <c r="H153" i="27" s="1"/>
  <c r="G65" i="27"/>
  <c r="H151" i="27" s="1"/>
  <c r="G66" i="27"/>
  <c r="H152" i="27" s="1"/>
  <c r="G64" i="27"/>
  <c r="H150" i="27" s="1"/>
  <c r="G62" i="27"/>
  <c r="H148" i="27" s="1"/>
  <c r="G63" i="27"/>
  <c r="H149" i="27" s="1"/>
  <c r="G61" i="27"/>
  <c r="H147" i="27" s="1"/>
  <c r="G56" i="27"/>
  <c r="H142" i="27" s="1"/>
  <c r="G57" i="27"/>
  <c r="H143" i="27" s="1"/>
  <c r="G55" i="27"/>
  <c r="H141" i="27" s="1"/>
  <c r="G53" i="27"/>
  <c r="H139" i="27" s="1"/>
  <c r="G54" i="27"/>
  <c r="H140" i="27" s="1"/>
  <c r="G52" i="27"/>
  <c r="H138" i="27" s="1"/>
  <c r="G38" i="27"/>
  <c r="H124" i="27" s="1"/>
  <c r="G39" i="27"/>
  <c r="H125" i="27" s="1"/>
  <c r="G37" i="27"/>
  <c r="H123" i="27" s="1"/>
  <c r="G32" i="27"/>
  <c r="H118" i="27" s="1"/>
  <c r="G33" i="27"/>
  <c r="H119" i="27" s="1"/>
  <c r="G31" i="27"/>
  <c r="H117" i="27" s="1"/>
  <c r="G26" i="27"/>
  <c r="H112" i="27" s="1"/>
  <c r="G27" i="27"/>
  <c r="H113" i="27" s="1"/>
  <c r="G25" i="27"/>
  <c r="H111" i="27" s="1"/>
  <c r="A70" i="27"/>
  <c r="F156" i="27" s="1"/>
  <c r="A67" i="27"/>
  <c r="F153" i="27" s="1"/>
  <c r="A64" i="27"/>
  <c r="F150" i="27" s="1"/>
  <c r="A61" i="27"/>
  <c r="F147" i="27" s="1"/>
  <c r="A55" i="27"/>
  <c r="F141" i="27" s="1"/>
  <c r="A52" i="27"/>
  <c r="F138" i="27" s="1"/>
  <c r="A49" i="27"/>
  <c r="F135" i="27" s="1"/>
  <c r="A46" i="27"/>
  <c r="F132" i="27" s="1"/>
  <c r="A43" i="27"/>
  <c r="F129" i="27" s="1"/>
  <c r="A40" i="27"/>
  <c r="F126" i="27" s="1"/>
  <c r="A37" i="27"/>
  <c r="F123" i="27" s="1"/>
  <c r="A31" i="27"/>
  <c r="F117" i="27" s="1"/>
  <c r="U9" i="45"/>
  <c r="G43" i="28"/>
  <c r="G44" i="28"/>
  <c r="G42" i="28"/>
  <c r="J1" i="28"/>
  <c r="I1" i="28"/>
  <c r="H1" i="28"/>
  <c r="G1" i="28"/>
  <c r="F1" i="28"/>
  <c r="E1" i="28"/>
  <c r="D1" i="28"/>
  <c r="M14" i="29"/>
  <c r="M13" i="29"/>
  <c r="M12" i="29"/>
  <c r="L50" i="29"/>
  <c r="L49" i="29"/>
  <c r="L48" i="29"/>
  <c r="K50" i="29"/>
  <c r="K49" i="29"/>
  <c r="K48" i="29"/>
  <c r="J50" i="29"/>
  <c r="J49" i="29"/>
  <c r="J48" i="29"/>
  <c r="H50" i="29"/>
  <c r="H49" i="29"/>
  <c r="H48" i="29"/>
  <c r="G50" i="29"/>
  <c r="G49" i="29"/>
  <c r="G48" i="29"/>
  <c r="D48" i="29"/>
  <c r="D50" i="29"/>
  <c r="D49" i="29"/>
  <c r="AK65" i="29"/>
  <c r="AK62" i="29"/>
  <c r="AK59" i="29"/>
  <c r="AK56" i="29"/>
  <c r="AK53" i="29"/>
  <c r="AK50" i="29"/>
  <c r="AK47" i="29"/>
  <c r="AK44" i="29"/>
  <c r="AK41" i="29"/>
  <c r="AK38" i="29"/>
  <c r="AK35" i="29"/>
  <c r="AK32" i="29"/>
  <c r="AK29" i="29"/>
  <c r="AK26" i="29"/>
  <c r="AK23" i="29"/>
  <c r="AH31" i="29"/>
  <c r="AH30" i="29"/>
  <c r="AH28" i="29"/>
  <c r="AH27" i="29"/>
  <c r="AE37" i="29"/>
  <c r="AE36" i="29"/>
  <c r="AJ65" i="29"/>
  <c r="AJ62" i="29"/>
  <c r="AJ59" i="29"/>
  <c r="AJ56" i="29"/>
  <c r="AJ53" i="29"/>
  <c r="AJ50" i="29"/>
  <c r="AJ47" i="29"/>
  <c r="AJ44" i="29"/>
  <c r="AJ41" i="29"/>
  <c r="AJ38" i="29"/>
  <c r="AJ35" i="29"/>
  <c r="AJ32" i="29"/>
  <c r="AJ29" i="29"/>
  <c r="AJ26" i="29"/>
  <c r="AJ23" i="29"/>
  <c r="AI65" i="29"/>
  <c r="AI62" i="29"/>
  <c r="AI59" i="29"/>
  <c r="AI56" i="29"/>
  <c r="AI53" i="29"/>
  <c r="AI50" i="29"/>
  <c r="AI47" i="29"/>
  <c r="AI44" i="29"/>
  <c r="AI41" i="29"/>
  <c r="AI38" i="29"/>
  <c r="AI35" i="29"/>
  <c r="AI32" i="29"/>
  <c r="AI29" i="29"/>
  <c r="AI26" i="29"/>
  <c r="AI23" i="29"/>
  <c r="AH67" i="29"/>
  <c r="AH66" i="29"/>
  <c r="AH65" i="29"/>
  <c r="AH64" i="29"/>
  <c r="AH63" i="29"/>
  <c r="AH62" i="29"/>
  <c r="AH61" i="29"/>
  <c r="AH60" i="29"/>
  <c r="AH59" i="29"/>
  <c r="AH58" i="29"/>
  <c r="AH57" i="29"/>
  <c r="AH56" i="29"/>
  <c r="AH55" i="29"/>
  <c r="AH54" i="29"/>
  <c r="AH53" i="29"/>
  <c r="AH52" i="29"/>
  <c r="AH51" i="29"/>
  <c r="AH50" i="29"/>
  <c r="AH49" i="29"/>
  <c r="AH48" i="29"/>
  <c r="AH47" i="29"/>
  <c r="AH46" i="29"/>
  <c r="AH45" i="29"/>
  <c r="AH44" i="29"/>
  <c r="AH43" i="29"/>
  <c r="AH42" i="29"/>
  <c r="AF40" i="29"/>
  <c r="AF39" i="29"/>
  <c r="AH40" i="29"/>
  <c r="AH39" i="29"/>
  <c r="AH37" i="29"/>
  <c r="AH36" i="29"/>
  <c r="AH34" i="29"/>
  <c r="AH33" i="29"/>
  <c r="AH41" i="29"/>
  <c r="AH38" i="29"/>
  <c r="AH35" i="29"/>
  <c r="AH32" i="29"/>
  <c r="AH29" i="29"/>
  <c r="AH26" i="29"/>
  <c r="AH23" i="29"/>
  <c r="AE67" i="29"/>
  <c r="AF67" i="29" s="1"/>
  <c r="AE66" i="29"/>
  <c r="AF66" i="29" s="1"/>
  <c r="AE65" i="29"/>
  <c r="AF65" i="29" s="1"/>
  <c r="AE58" i="29"/>
  <c r="AF58" i="29" s="1"/>
  <c r="AE57" i="29"/>
  <c r="AF57" i="29" s="1"/>
  <c r="AE56" i="29"/>
  <c r="AF56" i="29" s="1"/>
  <c r="AE52" i="29"/>
  <c r="AF52" i="29" s="1"/>
  <c r="AE51" i="29"/>
  <c r="AF51" i="29" s="1"/>
  <c r="AE50" i="29"/>
  <c r="AF50" i="29" s="1"/>
  <c r="AE25" i="29"/>
  <c r="AF25" i="29" s="1"/>
  <c r="AE24" i="29"/>
  <c r="AF24" i="29" s="1"/>
  <c r="AE23" i="29"/>
  <c r="AE43" i="29"/>
  <c r="AF43" i="29" s="1"/>
  <c r="AE42" i="29"/>
  <c r="AF42" i="29" s="1"/>
  <c r="AE41" i="29"/>
  <c r="AE40" i="29"/>
  <c r="AE39" i="29"/>
  <c r="AE38" i="29"/>
  <c r="AC65" i="29"/>
  <c r="AC62" i="29"/>
  <c r="AC56" i="29"/>
  <c r="Q22" i="29"/>
  <c r="AE64" i="29" s="1"/>
  <c r="AF64" i="29" s="1"/>
  <c r="Q21" i="29"/>
  <c r="AE63" i="29" s="1"/>
  <c r="AF63" i="29" s="1"/>
  <c r="Q20" i="29"/>
  <c r="AE62" i="29" s="1"/>
  <c r="AF62" i="29" s="1"/>
  <c r="P22" i="29"/>
  <c r="AE61" i="29" s="1"/>
  <c r="AF61" i="29" s="1"/>
  <c r="P21" i="29"/>
  <c r="AE60" i="29" s="1"/>
  <c r="AF60" i="29" s="1"/>
  <c r="P20" i="29"/>
  <c r="AE59" i="29" s="1"/>
  <c r="AF59" i="29" s="1"/>
  <c r="N22" i="29"/>
  <c r="AE55" i="29" s="1"/>
  <c r="AF55" i="29" s="1"/>
  <c r="L22" i="29"/>
  <c r="H22" i="29"/>
  <c r="G22" i="29"/>
  <c r="AE34" i="29" s="1"/>
  <c r="AF34" i="29" s="1"/>
  <c r="F22" i="29"/>
  <c r="AE31" i="29" s="1"/>
  <c r="AF31" i="29" s="1"/>
  <c r="N21" i="29"/>
  <c r="AE54" i="29" s="1"/>
  <c r="AF54" i="29" s="1"/>
  <c r="L21" i="29"/>
  <c r="H21" i="29"/>
  <c r="G21" i="29"/>
  <c r="AE33" i="29" s="1"/>
  <c r="AF33" i="29" s="1"/>
  <c r="F21" i="29"/>
  <c r="AE30" i="29" s="1"/>
  <c r="AF30" i="29" s="1"/>
  <c r="N20" i="29"/>
  <c r="AE53" i="29" s="1"/>
  <c r="AF53" i="29" s="1"/>
  <c r="L20" i="29"/>
  <c r="AE47" i="29" s="1"/>
  <c r="AF47" i="29" s="1"/>
  <c r="H20" i="29"/>
  <c r="AE35" i="29" s="1"/>
  <c r="G20" i="29"/>
  <c r="AE32" i="29" s="1"/>
  <c r="F20" i="29"/>
  <c r="AE29" i="29" s="1"/>
  <c r="P6" i="29"/>
  <c r="AC59" i="29" s="1"/>
  <c r="N6" i="29"/>
  <c r="AC53" i="29" s="1"/>
  <c r="M6" i="29"/>
  <c r="AC50" i="29" s="1"/>
  <c r="H71" i="27" l="1"/>
  <c r="I157" i="27" s="1"/>
  <c r="H57" i="27"/>
  <c r="I143" i="27" s="1"/>
  <c r="H56" i="27"/>
  <c r="I142" i="27" s="1"/>
  <c r="H72" i="27"/>
  <c r="I158" i="27" s="1"/>
  <c r="H60" i="27"/>
  <c r="I146" i="27" s="1"/>
  <c r="H69" i="27"/>
  <c r="I155" i="27" s="1"/>
  <c r="H68" i="27"/>
  <c r="I154" i="27" s="1"/>
  <c r="I150" i="27"/>
  <c r="H65" i="27"/>
  <c r="I151" i="27" s="1"/>
  <c r="H63" i="27"/>
  <c r="I149" i="27" s="1"/>
  <c r="H62" i="27"/>
  <c r="I148" i="27" s="1"/>
  <c r="H53" i="27"/>
  <c r="I138" i="27"/>
  <c r="I54" i="27"/>
  <c r="J140" i="27" s="1"/>
  <c r="I53" i="27"/>
  <c r="J139" i="27" s="1"/>
  <c r="I57" i="27"/>
  <c r="J143" i="27" s="1"/>
  <c r="I56" i="27"/>
  <c r="J142" i="27" s="1"/>
  <c r="I60" i="27"/>
  <c r="J146" i="27" s="1"/>
  <c r="I59" i="27"/>
  <c r="J145" i="27" s="1"/>
  <c r="I63" i="27"/>
  <c r="J149" i="27" s="1"/>
  <c r="I62" i="27"/>
  <c r="J148" i="27" s="1"/>
  <c r="I66" i="27"/>
  <c r="J152" i="27" s="1"/>
  <c r="I65" i="27"/>
  <c r="J151" i="27" s="1"/>
  <c r="I69" i="27"/>
  <c r="J155" i="27" s="1"/>
  <c r="I68" i="27"/>
  <c r="J154" i="27" s="1"/>
  <c r="I72" i="27"/>
  <c r="J158" i="27" s="1"/>
  <c r="I71" i="27"/>
  <c r="J157" i="27" s="1"/>
  <c r="L6" i="29"/>
  <c r="AC47" i="29" s="1"/>
  <c r="K6" i="29"/>
  <c r="AC44" i="29" s="1"/>
  <c r="J6" i="29"/>
  <c r="AC41" i="29" s="1"/>
  <c r="I6" i="29"/>
  <c r="AC38" i="29" s="1"/>
  <c r="H6" i="29"/>
  <c r="AC35" i="29" s="1"/>
  <c r="G6" i="29"/>
  <c r="AC32" i="29" s="1"/>
  <c r="F6" i="29"/>
  <c r="AC29" i="29" s="1"/>
  <c r="E6" i="29"/>
  <c r="AC26" i="29" s="1"/>
  <c r="D6" i="29"/>
  <c r="AC23" i="29" s="1"/>
  <c r="Z11" i="45"/>
  <c r="Z10" i="45"/>
  <c r="Z9" i="45"/>
  <c r="Y11" i="45"/>
  <c r="Y10" i="45"/>
  <c r="Y9" i="45"/>
  <c r="R11" i="45"/>
  <c r="S11" i="45"/>
  <c r="S10" i="45"/>
  <c r="S9" i="45"/>
  <c r="W11" i="45"/>
  <c r="W10" i="45"/>
  <c r="W9" i="45"/>
  <c r="T11" i="45"/>
  <c r="T10" i="45"/>
  <c r="T9" i="45"/>
  <c r="X11" i="45"/>
  <c r="X10" i="45"/>
  <c r="X9" i="45"/>
  <c r="U11" i="45"/>
  <c r="U10" i="45"/>
  <c r="V11" i="45"/>
  <c r="V10" i="45"/>
  <c r="V9" i="45"/>
  <c r="K40" i="45"/>
  <c r="J40" i="45"/>
  <c r="I40" i="45"/>
  <c r="K32" i="45"/>
  <c r="J32" i="45"/>
  <c r="I32" i="45"/>
  <c r="K26" i="45"/>
  <c r="S3" i="45" s="1"/>
  <c r="E20" i="29" s="1"/>
  <c r="AE26" i="29" s="1"/>
  <c r="J26" i="45"/>
  <c r="S4" i="45" s="1"/>
  <c r="E21" i="29" s="1"/>
  <c r="AE27" i="29" s="1"/>
  <c r="I26" i="45"/>
  <c r="S5" i="45" s="1"/>
  <c r="E22" i="29" s="1"/>
  <c r="AE28" i="29" s="1"/>
  <c r="K24" i="45"/>
  <c r="R3" i="45" s="1"/>
  <c r="J24" i="45"/>
  <c r="R4" i="45" s="1"/>
  <c r="I24" i="45"/>
  <c r="K23" i="45"/>
  <c r="Y3" i="45" s="1"/>
  <c r="K20" i="29" s="1"/>
  <c r="AE44" i="29" s="1"/>
  <c r="AF44" i="29" s="1"/>
  <c r="J23" i="45"/>
  <c r="Y4" i="45" s="1"/>
  <c r="K21" i="29" s="1"/>
  <c r="AE45" i="29" s="1"/>
  <c r="AF45" i="29" s="1"/>
  <c r="I23" i="45"/>
  <c r="Y5" i="45" s="1"/>
  <c r="K22" i="29" s="1"/>
  <c r="AE46" i="29" s="1"/>
  <c r="AF46" i="29" s="1"/>
  <c r="K21" i="45"/>
  <c r="J21" i="45" s="1"/>
  <c r="I21" i="45"/>
  <c r="K19" i="45"/>
  <c r="I19" i="45"/>
  <c r="J19" i="45" s="1"/>
  <c r="K18" i="45"/>
  <c r="I18" i="45"/>
  <c r="J18" i="45" s="1"/>
  <c r="I14" i="45"/>
  <c r="J14" i="45" s="1"/>
  <c r="I13" i="45"/>
  <c r="K13" i="45" s="1"/>
  <c r="K12" i="45"/>
  <c r="I12" i="45"/>
  <c r="J12" i="45" s="1"/>
  <c r="K11" i="45"/>
  <c r="J11" i="45"/>
  <c r="I11" i="45"/>
  <c r="K10" i="45"/>
  <c r="J10" i="45" s="1"/>
  <c r="I10" i="45"/>
  <c r="J9" i="45"/>
  <c r="K7" i="45"/>
  <c r="I7" i="45"/>
  <c r="J7" i="45" s="1"/>
  <c r="K6" i="45"/>
  <c r="I6" i="45"/>
  <c r="J6" i="45" s="1"/>
  <c r="AD5" i="45"/>
  <c r="AC5" i="45"/>
  <c r="W5" i="45"/>
  <c r="AB5" i="45"/>
  <c r="AA5" i="45"/>
  <c r="Z5" i="45"/>
  <c r="X5" i="45"/>
  <c r="V5" i="45"/>
  <c r="U5" i="45"/>
  <c r="T5" i="45"/>
  <c r="R5" i="45"/>
  <c r="K5" i="45"/>
  <c r="I5" i="45"/>
  <c r="J5" i="45" s="1"/>
  <c r="AD4" i="45"/>
  <c r="AC4" i="45"/>
  <c r="W4" i="45"/>
  <c r="AB4" i="45"/>
  <c r="AA4" i="45"/>
  <c r="Z4" i="45"/>
  <c r="X4" i="45"/>
  <c r="V4" i="45"/>
  <c r="U4" i="45"/>
  <c r="T4" i="45"/>
  <c r="K4" i="45"/>
  <c r="I4" i="45"/>
  <c r="J4" i="45" s="1"/>
  <c r="AD3" i="45"/>
  <c r="AC3" i="45"/>
  <c r="W3" i="45"/>
  <c r="AB3" i="45"/>
  <c r="AA3" i="45"/>
  <c r="Z3" i="45"/>
  <c r="X3" i="45"/>
  <c r="V3" i="45"/>
  <c r="U3" i="45"/>
  <c r="T3" i="45"/>
  <c r="K3" i="45"/>
  <c r="I3" i="45"/>
  <c r="J3" i="45" s="1"/>
  <c r="H54" i="27" l="1"/>
  <c r="I140" i="27" s="1"/>
  <c r="I139" i="27"/>
  <c r="J13" i="45"/>
  <c r="K14" i="45"/>
  <c r="R9" i="45" s="1"/>
  <c r="K6" i="44"/>
  <c r="K7" i="44"/>
  <c r="K8" i="44"/>
  <c r="U8" i="44"/>
  <c r="K9" i="44"/>
  <c r="U10" i="44"/>
  <c r="K11" i="44"/>
  <c r="K12" i="44"/>
  <c r="K13" i="44"/>
  <c r="K14" i="44"/>
  <c r="K17" i="44"/>
  <c r="K21" i="44"/>
  <c r="K22" i="44"/>
  <c r="T23" i="44"/>
  <c r="K24" i="44"/>
  <c r="K26" i="44"/>
  <c r="K30" i="44"/>
  <c r="K38" i="44"/>
  <c r="K39" i="44"/>
  <c r="K41" i="44"/>
  <c r="K42" i="44"/>
  <c r="K44" i="44"/>
  <c r="K45" i="44"/>
  <c r="K46" i="44"/>
  <c r="K47" i="44"/>
  <c r="I49" i="44"/>
  <c r="K49" i="44" s="1"/>
  <c r="J49" i="44"/>
  <c r="K62" i="44"/>
  <c r="K63" i="44"/>
  <c r="K64" i="44"/>
  <c r="K65" i="44"/>
  <c r="K66" i="44"/>
  <c r="K67" i="44"/>
  <c r="K68" i="44"/>
  <c r="K69" i="44"/>
  <c r="K70" i="44"/>
  <c r="K72" i="44"/>
  <c r="K73" i="44"/>
  <c r="K74" i="44"/>
  <c r="M75" i="44"/>
  <c r="K69" i="27" l="1"/>
  <c r="K64" i="27" l="1"/>
  <c r="K68" i="27"/>
  <c r="K67" i="27"/>
  <c r="K54" i="27" l="1"/>
  <c r="K53" i="27"/>
  <c r="K72" i="27"/>
  <c r="K71" i="27"/>
  <c r="K66" i="27"/>
  <c r="K65" i="27"/>
  <c r="K63" i="27"/>
  <c r="K62" i="27"/>
  <c r="G60" i="27"/>
  <c r="G59" i="27"/>
  <c r="K57" i="27"/>
  <c r="K56" i="27"/>
  <c r="K70" i="27"/>
  <c r="K61" i="27"/>
  <c r="G58" i="27"/>
  <c r="K55" i="27"/>
  <c r="M55" i="27" s="1"/>
  <c r="K52" i="27"/>
  <c r="M52" i="27" s="1"/>
  <c r="AA52" i="27" s="1"/>
  <c r="K58" i="27" l="1"/>
  <c r="M58" i="27" s="1"/>
  <c r="T58" i="27" s="1"/>
  <c r="H144" i="27"/>
  <c r="K59" i="27"/>
  <c r="N59" i="27" s="1"/>
  <c r="H145" i="27"/>
  <c r="K60" i="27"/>
  <c r="Q60" i="27" s="1"/>
  <c r="H146" i="27"/>
  <c r="T52" i="27"/>
  <c r="N56" i="27"/>
  <c r="S56" i="27"/>
  <c r="R56" i="27"/>
  <c r="P56" i="27"/>
  <c r="O56" i="27"/>
  <c r="M56" i="27"/>
  <c r="T56" i="27" s="1"/>
  <c r="Q56" i="27"/>
  <c r="N62" i="27"/>
  <c r="M62" i="27"/>
  <c r="S62" i="27"/>
  <c r="R62" i="27"/>
  <c r="Q62" i="27"/>
  <c r="P62" i="27"/>
  <c r="O62" i="27"/>
  <c r="S63" i="27"/>
  <c r="P63" i="27"/>
  <c r="Q63" i="27"/>
  <c r="O63" i="27"/>
  <c r="R63" i="27"/>
  <c r="N63" i="27"/>
  <c r="M63" i="27"/>
  <c r="T63" i="27" s="1"/>
  <c r="P61" i="27"/>
  <c r="S61" i="27"/>
  <c r="O61" i="27"/>
  <c r="R61" i="27"/>
  <c r="M61" i="27"/>
  <c r="T61" i="27" s="1"/>
  <c r="N61" i="27"/>
  <c r="Q61" i="27"/>
  <c r="S66" i="27"/>
  <c r="P66" i="27"/>
  <c r="O66" i="27"/>
  <c r="M66" i="27"/>
  <c r="N66" i="27"/>
  <c r="R66" i="27"/>
  <c r="Q66" i="27"/>
  <c r="S70" i="27"/>
  <c r="R70" i="27"/>
  <c r="P70" i="27"/>
  <c r="N70" i="27"/>
  <c r="Q70" i="27"/>
  <c r="O70" i="27"/>
  <c r="M70" i="27"/>
  <c r="T70" i="27" s="1"/>
  <c r="N71" i="27"/>
  <c r="AB71" i="27" s="1"/>
  <c r="M71" i="27"/>
  <c r="AA71" i="27" s="1"/>
  <c r="R71" i="27"/>
  <c r="AF71" i="27" s="1"/>
  <c r="AT71" i="27" s="1"/>
  <c r="Q71" i="27"/>
  <c r="AE71" i="27" s="1"/>
  <c r="AS71" i="27" s="1"/>
  <c r="P71" i="27"/>
  <c r="AD71" i="27" s="1"/>
  <c r="O71" i="27"/>
  <c r="AC71" i="27" s="1"/>
  <c r="AQ71" i="27" s="1"/>
  <c r="BK71" i="27" s="1"/>
  <c r="S71" i="27"/>
  <c r="AG71" i="27" s="1"/>
  <c r="AU71" i="27" s="1"/>
  <c r="S60" i="27"/>
  <c r="P60" i="27"/>
  <c r="O60" i="27"/>
  <c r="R60" i="27"/>
  <c r="M53" i="27"/>
  <c r="T53" i="27" s="1"/>
  <c r="Q53" i="27"/>
  <c r="P53" i="27"/>
  <c r="S53" i="27"/>
  <c r="R53" i="27"/>
  <c r="O53" i="27"/>
  <c r="N53" i="27"/>
  <c r="M65" i="27"/>
  <c r="T65" i="27" s="1"/>
  <c r="N65" i="27"/>
  <c r="O65" i="27"/>
  <c r="P65" i="27"/>
  <c r="S65" i="27"/>
  <c r="R65" i="27"/>
  <c r="Q65" i="27"/>
  <c r="S57" i="27"/>
  <c r="P57" i="27"/>
  <c r="O57" i="27"/>
  <c r="N57" i="27"/>
  <c r="R57" i="27"/>
  <c r="M57" i="27"/>
  <c r="Q57" i="27"/>
  <c r="Q59" i="27"/>
  <c r="S59" i="27"/>
  <c r="T55" i="27"/>
  <c r="O55" i="27"/>
  <c r="N55" i="27"/>
  <c r="Q55" i="27"/>
  <c r="S55" i="27"/>
  <c r="R55" i="27"/>
  <c r="P55" i="27"/>
  <c r="S54" i="27"/>
  <c r="P54" i="27"/>
  <c r="O54" i="27"/>
  <c r="M54" i="27"/>
  <c r="T54" i="27" s="1"/>
  <c r="Q54" i="27"/>
  <c r="N54" i="27"/>
  <c r="R54" i="27"/>
  <c r="Q64" i="27"/>
  <c r="P64" i="27"/>
  <c r="O64" i="27"/>
  <c r="N64" i="27"/>
  <c r="S64" i="27"/>
  <c r="R64" i="27"/>
  <c r="M64" i="27"/>
  <c r="T64" i="27" s="1"/>
  <c r="S72" i="27"/>
  <c r="AG72" i="27" s="1"/>
  <c r="AU72" i="27" s="1"/>
  <c r="P72" i="27"/>
  <c r="M72" i="27"/>
  <c r="AA72" i="27" s="1"/>
  <c r="Q72" i="27"/>
  <c r="AE72" i="27" s="1"/>
  <c r="AS72" i="27" s="1"/>
  <c r="N72" i="27"/>
  <c r="AB72" i="27" s="1"/>
  <c r="O72" i="27"/>
  <c r="AC72" i="27" s="1"/>
  <c r="AQ72" i="27" s="1"/>
  <c r="BK72" i="27" s="1"/>
  <c r="R72" i="27"/>
  <c r="AF72" i="27" s="1"/>
  <c r="AT72" i="27" s="1"/>
  <c r="K51" i="27"/>
  <c r="K50" i="27"/>
  <c r="K48" i="27"/>
  <c r="K47" i="27"/>
  <c r="K45" i="27"/>
  <c r="K44" i="27"/>
  <c r="K42" i="27"/>
  <c r="K41" i="27"/>
  <c r="K39" i="27"/>
  <c r="K38" i="27"/>
  <c r="G36" i="27"/>
  <c r="G35" i="27"/>
  <c r="K33" i="27"/>
  <c r="K32" i="27"/>
  <c r="G30" i="27"/>
  <c r="G29" i="27"/>
  <c r="K27" i="27"/>
  <c r="K26" i="27"/>
  <c r="G24" i="27"/>
  <c r="G23" i="27"/>
  <c r="G21" i="27"/>
  <c r="G20" i="27"/>
  <c r="G18" i="27"/>
  <c r="G17" i="27"/>
  <c r="G15" i="27"/>
  <c r="G14" i="27"/>
  <c r="G9" i="27"/>
  <c r="G8" i="27"/>
  <c r="G6" i="27"/>
  <c r="G5" i="27"/>
  <c r="K49" i="27"/>
  <c r="K46" i="27"/>
  <c r="K43" i="27"/>
  <c r="K40" i="27"/>
  <c r="K37" i="27"/>
  <c r="G34" i="27"/>
  <c r="K31" i="27"/>
  <c r="G28" i="27"/>
  <c r="K25" i="27"/>
  <c r="G22" i="27"/>
  <c r="G19" i="27"/>
  <c r="G16" i="27"/>
  <c r="G13" i="27"/>
  <c r="G4" i="27"/>
  <c r="H93" i="27" s="1"/>
  <c r="A58" i="27"/>
  <c r="F144" i="27" s="1"/>
  <c r="A34" i="27"/>
  <c r="F120" i="27" s="1"/>
  <c r="A28" i="27"/>
  <c r="F114" i="27" s="1"/>
  <c r="A25" i="27"/>
  <c r="F111" i="27" s="1"/>
  <c r="A22" i="27"/>
  <c r="F108" i="27" s="1"/>
  <c r="A19" i="27"/>
  <c r="F105" i="27" s="1"/>
  <c r="A16" i="27"/>
  <c r="F102" i="27" s="1"/>
  <c r="A13" i="27"/>
  <c r="F99" i="27" s="1"/>
  <c r="A7" i="27"/>
  <c r="F96" i="27" s="1"/>
  <c r="A4" i="27"/>
  <c r="F93" i="27" s="1"/>
  <c r="N58" i="27" l="1"/>
  <c r="S58" i="27"/>
  <c r="N60" i="27"/>
  <c r="O59" i="27"/>
  <c r="M60" i="27"/>
  <c r="T60" i="27" s="1"/>
  <c r="R59" i="27"/>
  <c r="O58" i="27"/>
  <c r="Q58" i="27"/>
  <c r="R58" i="27"/>
  <c r="M59" i="27"/>
  <c r="T59" i="27" s="1"/>
  <c r="P58" i="27"/>
  <c r="P59" i="27"/>
  <c r="AD72" i="27"/>
  <c r="BA72" i="27" s="1"/>
  <c r="W72" i="27"/>
  <c r="AK72" i="27" s="1"/>
  <c r="K7" i="27"/>
  <c r="Q7" i="27" s="1"/>
  <c r="H96" i="27"/>
  <c r="K13" i="27"/>
  <c r="P13" i="27" s="1"/>
  <c r="H99" i="27"/>
  <c r="K16" i="27"/>
  <c r="P16" i="27" s="1"/>
  <c r="H102" i="27"/>
  <c r="K19" i="27"/>
  <c r="P19" i="27" s="1"/>
  <c r="H105" i="27"/>
  <c r="K22" i="27"/>
  <c r="S22" i="27" s="1"/>
  <c r="H108" i="27"/>
  <c r="K28" i="27"/>
  <c r="H114" i="27"/>
  <c r="K34" i="27"/>
  <c r="H120" i="27"/>
  <c r="K5" i="27"/>
  <c r="O5" i="27" s="1"/>
  <c r="V5" i="27" s="1"/>
  <c r="AJ5" i="27" s="1"/>
  <c r="H94" i="27"/>
  <c r="K6" i="27"/>
  <c r="R6" i="27" s="1"/>
  <c r="Y6" i="27" s="1"/>
  <c r="AM6" i="27" s="1"/>
  <c r="H95" i="27"/>
  <c r="K8" i="27"/>
  <c r="N8" i="27" s="1"/>
  <c r="U8" i="27" s="1"/>
  <c r="H97" i="27"/>
  <c r="K9" i="27"/>
  <c r="S9" i="27" s="1"/>
  <c r="Z9" i="27" s="1"/>
  <c r="AN9" i="27" s="1"/>
  <c r="BH9" i="27" s="1"/>
  <c r="H98" i="27"/>
  <c r="K14" i="27"/>
  <c r="R14" i="27" s="1"/>
  <c r="Y14" i="27" s="1"/>
  <c r="AM14" i="27" s="1"/>
  <c r="H100" i="27"/>
  <c r="K15" i="27"/>
  <c r="S15" i="27" s="1"/>
  <c r="Z15" i="27" s="1"/>
  <c r="AN15" i="27" s="1"/>
  <c r="H101" i="27"/>
  <c r="K17" i="27"/>
  <c r="S17" i="27" s="1"/>
  <c r="Z17" i="27" s="1"/>
  <c r="AN17" i="27" s="1"/>
  <c r="BH17" i="27" s="1"/>
  <c r="H103" i="27"/>
  <c r="K18" i="27"/>
  <c r="R18" i="27" s="1"/>
  <c r="Y18" i="27" s="1"/>
  <c r="AM18" i="27" s="1"/>
  <c r="BG18" i="27" s="1"/>
  <c r="H104" i="27"/>
  <c r="K20" i="27"/>
  <c r="N20" i="27" s="1"/>
  <c r="U20" i="27" s="1"/>
  <c r="H106" i="27"/>
  <c r="K21" i="27"/>
  <c r="M21" i="27" s="1"/>
  <c r="T21" i="27" s="1"/>
  <c r="H107" i="27"/>
  <c r="K23" i="27"/>
  <c r="O23" i="27" s="1"/>
  <c r="V23" i="27" s="1"/>
  <c r="AJ23" i="27" s="1"/>
  <c r="BD23" i="27" s="1"/>
  <c r="H109" i="27"/>
  <c r="K24" i="27"/>
  <c r="S24" i="27" s="1"/>
  <c r="Z24" i="27" s="1"/>
  <c r="AN24" i="27" s="1"/>
  <c r="BH24" i="27" s="1"/>
  <c r="H110" i="27"/>
  <c r="K29" i="27"/>
  <c r="H115" i="27"/>
  <c r="K30" i="27"/>
  <c r="H116" i="27"/>
  <c r="K35" i="27"/>
  <c r="H121" i="27"/>
  <c r="K36" i="27"/>
  <c r="H122" i="27"/>
  <c r="T66" i="27"/>
  <c r="T62" i="27"/>
  <c r="K4" i="27"/>
  <c r="M4" i="27" s="1"/>
  <c r="Z72" i="27"/>
  <c r="AN72" i="27" s="1"/>
  <c r="V72" i="27"/>
  <c r="AJ72" i="27" s="1"/>
  <c r="BD72" i="27" s="1"/>
  <c r="Y72" i="27"/>
  <c r="AM72" i="27" s="1"/>
  <c r="AO72" i="27"/>
  <c r="BI72" i="27" s="1"/>
  <c r="AY72" i="27"/>
  <c r="Q24" i="27"/>
  <c r="X24" i="27" s="1"/>
  <c r="AL24" i="27" s="1"/>
  <c r="BF24" i="27" s="1"/>
  <c r="N24" i="27"/>
  <c r="U24" i="27" s="1"/>
  <c r="M24" i="27"/>
  <c r="T24" i="27" s="1"/>
  <c r="U72" i="27"/>
  <c r="AI72" i="27" s="1"/>
  <c r="BC72" i="27" s="1"/>
  <c r="N14" i="27"/>
  <c r="U14" i="27" s="1"/>
  <c r="P14" i="27"/>
  <c r="W14" i="27" s="1"/>
  <c r="X72" i="27"/>
  <c r="AL72" i="27" s="1"/>
  <c r="AZ72" i="27"/>
  <c r="AP72" i="27"/>
  <c r="BJ72" i="27" s="1"/>
  <c r="AC70" i="27"/>
  <c r="AQ70" i="27" s="1"/>
  <c r="BK70" i="27" s="1"/>
  <c r="V70" i="27"/>
  <c r="AJ70" i="27" s="1"/>
  <c r="BD70" i="27" s="1"/>
  <c r="AB70" i="27"/>
  <c r="U70" i="27"/>
  <c r="AF70" i="27"/>
  <c r="AT70" i="27" s="1"/>
  <c r="Y70" i="27"/>
  <c r="AM70" i="27" s="1"/>
  <c r="T72" i="27"/>
  <c r="AV72" i="27" s="1"/>
  <c r="M16" i="27"/>
  <c r="T57" i="27"/>
  <c r="AP71" i="27"/>
  <c r="BJ71" i="27" s="1"/>
  <c r="AZ71" i="27"/>
  <c r="AE70" i="27"/>
  <c r="AS70" i="27" s="1"/>
  <c r="X70" i="27"/>
  <c r="AL70" i="27" s="1"/>
  <c r="R23" i="27"/>
  <c r="Y23" i="27" s="1"/>
  <c r="AM23" i="27" s="1"/>
  <c r="BG23" i="27" s="1"/>
  <c r="Q23" i="27"/>
  <c r="X23" i="27" s="1"/>
  <c r="AL23" i="27" s="1"/>
  <c r="BF23" i="27" s="1"/>
  <c r="W70" i="27"/>
  <c r="AD70" i="27"/>
  <c r="P6" i="27"/>
  <c r="W6" i="27" s="1"/>
  <c r="Q6" i="27"/>
  <c r="X6" i="27" s="1"/>
  <c r="AL6" i="27" s="1"/>
  <c r="Z70" i="27"/>
  <c r="AN70" i="27" s="1"/>
  <c r="AG70" i="27"/>
  <c r="AU70" i="27" s="1"/>
  <c r="BA71" i="27"/>
  <c r="AR71" i="27"/>
  <c r="AY71" i="27"/>
  <c r="AO71" i="27"/>
  <c r="BI71" i="27" s="1"/>
  <c r="P18" i="27"/>
  <c r="W18" i="27" s="1"/>
  <c r="O18" i="27"/>
  <c r="V18" i="27" s="1"/>
  <c r="AJ18" i="27" s="1"/>
  <c r="BD18" i="27" s="1"/>
  <c r="N18" i="27"/>
  <c r="U18" i="27" s="1"/>
  <c r="AA70" i="27"/>
  <c r="Z71" i="27"/>
  <c r="AN71" i="27" s="1"/>
  <c r="W71" i="27"/>
  <c r="V71" i="27"/>
  <c r="AJ71" i="27" s="1"/>
  <c r="BD71" i="27" s="1"/>
  <c r="U71" i="27"/>
  <c r="Y71" i="27"/>
  <c r="AM71" i="27" s="1"/>
  <c r="X71" i="27"/>
  <c r="AL71" i="27" s="1"/>
  <c r="T71" i="27"/>
  <c r="P78" i="27"/>
  <c r="N6" i="27" l="1"/>
  <c r="U6" i="27" s="1"/>
  <c r="N16" i="27"/>
  <c r="N19" i="27"/>
  <c r="O16" i="27"/>
  <c r="S18" i="27"/>
  <c r="Z18" i="27" s="1"/>
  <c r="AN18" i="27" s="1"/>
  <c r="BH18" i="27" s="1"/>
  <c r="R16" i="27"/>
  <c r="Y16" i="27" s="1"/>
  <c r="AM16" i="27" s="1"/>
  <c r="BG16" i="27" s="1"/>
  <c r="R21" i="27"/>
  <c r="Y21" i="27" s="1"/>
  <c r="AM21" i="27" s="1"/>
  <c r="BG21" i="27" s="1"/>
  <c r="N21" i="27"/>
  <c r="U21" i="27" s="1"/>
  <c r="Q21" i="27"/>
  <c r="X21" i="27" s="1"/>
  <c r="AL21" i="27" s="1"/>
  <c r="BF21" i="27" s="1"/>
  <c r="O6" i="27"/>
  <c r="V6" i="27" s="1"/>
  <c r="AJ6" i="27" s="1"/>
  <c r="S6" i="27"/>
  <c r="Z6" i="27" s="1"/>
  <c r="AN6" i="27" s="1"/>
  <c r="M19" i="27"/>
  <c r="AA19" i="27" s="1"/>
  <c r="N22" i="27"/>
  <c r="U22" i="27" s="1"/>
  <c r="P22" i="27"/>
  <c r="M23" i="27"/>
  <c r="T23" i="27" s="1"/>
  <c r="Q22" i="27"/>
  <c r="S21" i="27"/>
  <c r="Z21" i="27" s="1"/>
  <c r="AN21" i="27" s="1"/>
  <c r="BH21" i="27" s="1"/>
  <c r="P8" i="27"/>
  <c r="W8" i="27" s="1"/>
  <c r="AK8" i="27" s="1"/>
  <c r="BE8" i="27" s="1"/>
  <c r="M22" i="27"/>
  <c r="AA22" i="27" s="1"/>
  <c r="Q18" i="27"/>
  <c r="X18" i="27" s="1"/>
  <c r="AL18" i="27" s="1"/>
  <c r="BF18" i="27" s="1"/>
  <c r="S13" i="27"/>
  <c r="Z13" i="27" s="1"/>
  <c r="AN13" i="27" s="1"/>
  <c r="N23" i="27"/>
  <c r="U23" i="27" s="1"/>
  <c r="AW23" i="27" s="1"/>
  <c r="R22" i="27"/>
  <c r="AF22" i="27" s="1"/>
  <c r="AT22" i="27" s="1"/>
  <c r="BN22" i="27" s="1"/>
  <c r="P21" i="27"/>
  <c r="W21" i="27" s="1"/>
  <c r="AK21" i="27" s="1"/>
  <c r="BE21" i="27" s="1"/>
  <c r="Q19" i="27"/>
  <c r="AE19" i="27" s="1"/>
  <c r="AS19" i="27" s="1"/>
  <c r="BM19" i="27" s="1"/>
  <c r="O22" i="27"/>
  <c r="M18" i="27"/>
  <c r="T18" i="27" s="1"/>
  <c r="P23" i="27"/>
  <c r="W23" i="27" s="1"/>
  <c r="S14" i="27"/>
  <c r="Z14" i="27" s="1"/>
  <c r="AN14" i="27" s="1"/>
  <c r="M17" i="27"/>
  <c r="T17" i="27" s="1"/>
  <c r="AV17" i="27" s="1"/>
  <c r="O24" i="27"/>
  <c r="V24" i="27" s="1"/>
  <c r="AJ24" i="27" s="1"/>
  <c r="BD24" i="27" s="1"/>
  <c r="R24" i="27"/>
  <c r="Y24" i="27" s="1"/>
  <c r="AM24" i="27" s="1"/>
  <c r="BG24" i="27" s="1"/>
  <c r="P24" i="27"/>
  <c r="W24" i="27" s="1"/>
  <c r="AX24" i="27" s="1"/>
  <c r="Q15" i="27"/>
  <c r="X15" i="27" s="1"/>
  <c r="AL15" i="27" s="1"/>
  <c r="R15" i="27"/>
  <c r="Y15" i="27" s="1"/>
  <c r="AM15" i="27" s="1"/>
  <c r="O21" i="27"/>
  <c r="V21" i="27" s="1"/>
  <c r="AJ21" i="27" s="1"/>
  <c r="BD21" i="27" s="1"/>
  <c r="O14" i="27"/>
  <c r="V14" i="27" s="1"/>
  <c r="AJ14" i="27" s="1"/>
  <c r="BD14" i="27" s="1"/>
  <c r="N15" i="27"/>
  <c r="U15" i="27" s="1"/>
  <c r="AI15" i="27" s="1"/>
  <c r="BC15" i="27" s="1"/>
  <c r="O15" i="27"/>
  <c r="V15" i="27" s="1"/>
  <c r="AJ15" i="27" s="1"/>
  <c r="BD15" i="27" s="1"/>
  <c r="M14" i="27"/>
  <c r="T14" i="27" s="1"/>
  <c r="S20" i="27"/>
  <c r="Z20" i="27" s="1"/>
  <c r="AN20" i="27" s="1"/>
  <c r="BH20" i="27" s="1"/>
  <c r="M5" i="27"/>
  <c r="T5" i="27" s="1"/>
  <c r="AH5" i="27" s="1"/>
  <c r="BB5" i="27" s="1"/>
  <c r="N17" i="27"/>
  <c r="U17" i="27" s="1"/>
  <c r="R13" i="27"/>
  <c r="AF13" i="27" s="1"/>
  <c r="AT13" i="27" s="1"/>
  <c r="M20" i="27"/>
  <c r="T20" i="27" s="1"/>
  <c r="AV20" i="27" s="1"/>
  <c r="O8" i="27"/>
  <c r="V8" i="27" s="1"/>
  <c r="AJ8" i="27" s="1"/>
  <c r="BD8" i="27" s="1"/>
  <c r="R8" i="27"/>
  <c r="Y8" i="27" s="1"/>
  <c r="AM8" i="27" s="1"/>
  <c r="BG8" i="27" s="1"/>
  <c r="M8" i="27"/>
  <c r="T8" i="27" s="1"/>
  <c r="AV8" i="27" s="1"/>
  <c r="Q8" i="27"/>
  <c r="X8" i="27" s="1"/>
  <c r="AL8" i="27" s="1"/>
  <c r="BF8" i="27" s="1"/>
  <c r="S8" i="27"/>
  <c r="Z8" i="27" s="1"/>
  <c r="AN8" i="27" s="1"/>
  <c r="BH8" i="27" s="1"/>
  <c r="N7" i="27"/>
  <c r="AB7" i="27" s="1"/>
  <c r="R7" i="27"/>
  <c r="AF7" i="27" s="1"/>
  <c r="AT7" i="27" s="1"/>
  <c r="BN7" i="27" s="1"/>
  <c r="M7" i="27"/>
  <c r="T7" i="27" s="1"/>
  <c r="O7" i="27"/>
  <c r="AC7" i="27" s="1"/>
  <c r="AQ7" i="27" s="1"/>
  <c r="BK7" i="27" s="1"/>
  <c r="S7" i="27"/>
  <c r="Z7" i="27" s="1"/>
  <c r="AN7" i="27" s="1"/>
  <c r="BH7" i="27" s="1"/>
  <c r="P7" i="27"/>
  <c r="AD7" i="27" s="1"/>
  <c r="Q9" i="27"/>
  <c r="X9" i="27" s="1"/>
  <c r="AL9" i="27" s="1"/>
  <c r="BF9" i="27" s="1"/>
  <c r="N9" i="27"/>
  <c r="U9" i="27" s="1"/>
  <c r="AI9" i="27" s="1"/>
  <c r="BC9" i="27" s="1"/>
  <c r="R9" i="27"/>
  <c r="Y9" i="27" s="1"/>
  <c r="AM9" i="27" s="1"/>
  <c r="BG9" i="27" s="1"/>
  <c r="M9" i="27"/>
  <c r="T9" i="27" s="1"/>
  <c r="AV9" i="27" s="1"/>
  <c r="O9" i="27"/>
  <c r="V9" i="27" s="1"/>
  <c r="AJ9" i="27" s="1"/>
  <c r="BD9" i="27" s="1"/>
  <c r="P9" i="27"/>
  <c r="W9" i="27" s="1"/>
  <c r="AK9" i="27" s="1"/>
  <c r="BE9" i="27" s="1"/>
  <c r="O17" i="27"/>
  <c r="V17" i="27" s="1"/>
  <c r="AJ17" i="27" s="1"/>
  <c r="BD17" i="27" s="1"/>
  <c r="P17" i="27"/>
  <c r="W17" i="27" s="1"/>
  <c r="R19" i="27"/>
  <c r="Y19" i="27" s="1"/>
  <c r="AM19" i="27" s="1"/>
  <c r="BG19" i="27" s="1"/>
  <c r="M15" i="27"/>
  <c r="T15" i="27" s="1"/>
  <c r="Q17" i="27"/>
  <c r="X17" i="27" s="1"/>
  <c r="AL17" i="27" s="1"/>
  <c r="BF17" i="27" s="1"/>
  <c r="S19" i="27"/>
  <c r="Z19" i="27" s="1"/>
  <c r="AN19" i="27" s="1"/>
  <c r="BH19" i="27" s="1"/>
  <c r="P15" i="27"/>
  <c r="W15" i="27" s="1"/>
  <c r="AK15" i="27" s="1"/>
  <c r="Q16" i="27"/>
  <c r="X16" i="27" s="1"/>
  <c r="AL16" i="27" s="1"/>
  <c r="BF16" i="27" s="1"/>
  <c r="Q20" i="27"/>
  <c r="X20" i="27" s="1"/>
  <c r="AL20" i="27" s="1"/>
  <c r="BF20" i="27" s="1"/>
  <c r="O19" i="27"/>
  <c r="AC19" i="27" s="1"/>
  <c r="AQ19" i="27" s="1"/>
  <c r="BK19" i="27" s="1"/>
  <c r="M6" i="27"/>
  <c r="T6" i="27" s="1"/>
  <c r="AV6" i="27" s="1"/>
  <c r="S23" i="27"/>
  <c r="Z23" i="27" s="1"/>
  <c r="AN23" i="27" s="1"/>
  <c r="BH23" i="27" s="1"/>
  <c r="S16" i="27"/>
  <c r="AG16" i="27" s="1"/>
  <c r="AU16" i="27" s="1"/>
  <c r="BO16" i="27" s="1"/>
  <c r="N5" i="27"/>
  <c r="U5" i="27" s="1"/>
  <c r="AI5" i="27" s="1"/>
  <c r="BC5" i="27" s="1"/>
  <c r="Q14" i="27"/>
  <c r="X14" i="27" s="1"/>
  <c r="AL14" i="27" s="1"/>
  <c r="AR72" i="27"/>
  <c r="O20" i="27"/>
  <c r="V20" i="27" s="1"/>
  <c r="AJ20" i="27" s="1"/>
  <c r="BD20" i="27" s="1"/>
  <c r="O13" i="27"/>
  <c r="AC13" i="27" s="1"/>
  <c r="AQ13" i="27" s="1"/>
  <c r="BK13" i="27" s="1"/>
  <c r="Q5" i="27"/>
  <c r="X5" i="27" s="1"/>
  <c r="AL5" i="27" s="1"/>
  <c r="P20" i="27"/>
  <c r="W20" i="27" s="1"/>
  <c r="AK20" i="27" s="1"/>
  <c r="BE20" i="27" s="1"/>
  <c r="N13" i="27"/>
  <c r="U13" i="27" s="1"/>
  <c r="R5" i="27"/>
  <c r="Y5" i="27" s="1"/>
  <c r="AM5" i="27" s="1"/>
  <c r="R20" i="27"/>
  <c r="Y20" i="27" s="1"/>
  <c r="AM20" i="27" s="1"/>
  <c r="BG20" i="27" s="1"/>
  <c r="M13" i="27"/>
  <c r="T13" i="27" s="1"/>
  <c r="S5" i="27"/>
  <c r="Z5" i="27" s="1"/>
  <c r="AN5" i="27" s="1"/>
  <c r="Q13" i="27"/>
  <c r="X13" i="27" s="1"/>
  <c r="AL13" i="27" s="1"/>
  <c r="R17" i="27"/>
  <c r="Y17" i="27" s="1"/>
  <c r="AM17" i="27" s="1"/>
  <c r="BG17" i="27" s="1"/>
  <c r="P5" i="27"/>
  <c r="W5" i="27" s="1"/>
  <c r="AX72" i="27"/>
  <c r="P4" i="27"/>
  <c r="AD4" i="27" s="1"/>
  <c r="S4" i="27"/>
  <c r="Z4" i="27" s="1"/>
  <c r="AN4" i="27" s="1"/>
  <c r="Q4" i="27"/>
  <c r="X4" i="27" s="1"/>
  <c r="AL4" i="27" s="1"/>
  <c r="R4" i="27"/>
  <c r="Y4" i="27" s="1"/>
  <c r="AM4" i="27" s="1"/>
  <c r="N4" i="27"/>
  <c r="AB4" i="27" s="1"/>
  <c r="O4" i="27"/>
  <c r="AC4" i="27" s="1"/>
  <c r="AQ4" i="27" s="1"/>
  <c r="AW72" i="27"/>
  <c r="AH17" i="27"/>
  <c r="AW17" i="27"/>
  <c r="AI17" i="27"/>
  <c r="BC17" i="27" s="1"/>
  <c r="AI21" i="27"/>
  <c r="BC21" i="27" s="1"/>
  <c r="AW6" i="27"/>
  <c r="AI6" i="27"/>
  <c r="BC6" i="27" s="1"/>
  <c r="AO70" i="27"/>
  <c r="BI70" i="27" s="1"/>
  <c r="AY70" i="27"/>
  <c r="AK23" i="27"/>
  <c r="BE23" i="27" s="1"/>
  <c r="AH70" i="27"/>
  <c r="BB70" i="27" s="1"/>
  <c r="AV70" i="27"/>
  <c r="AC22" i="27"/>
  <c r="AQ22" i="27" s="1"/>
  <c r="BK22" i="27" s="1"/>
  <c r="V22" i="27"/>
  <c r="AJ22" i="27" s="1"/>
  <c r="BD22" i="27" s="1"/>
  <c r="T4" i="27"/>
  <c r="AA4" i="27"/>
  <c r="AO4" i="27" s="1"/>
  <c r="AK5" i="27"/>
  <c r="AI14" i="27"/>
  <c r="BC14" i="27" s="1"/>
  <c r="AW14" i="27"/>
  <c r="AD19" i="27"/>
  <c r="W19" i="27"/>
  <c r="AH18" i="27"/>
  <c r="AV18" i="27"/>
  <c r="AK6" i="27"/>
  <c r="AE22" i="27"/>
  <c r="AS22" i="27" s="1"/>
  <c r="BM22" i="27" s="1"/>
  <c r="X22" i="27"/>
  <c r="AL22" i="27" s="1"/>
  <c r="BF22" i="27" s="1"/>
  <c r="AI18" i="27"/>
  <c r="BC18" i="27" s="1"/>
  <c r="AW18" i="27"/>
  <c r="AH72" i="27"/>
  <c r="BB72" i="27" s="1"/>
  <c r="AK18" i="27"/>
  <c r="BE18" i="27" s="1"/>
  <c r="AD22" i="27"/>
  <c r="W22" i="27"/>
  <c r="AD16" i="27"/>
  <c r="W16" i="27"/>
  <c r="AI8" i="27"/>
  <c r="BC8" i="27" s="1"/>
  <c r="AH14" i="27"/>
  <c r="BB14" i="27" s="1"/>
  <c r="AV14" i="27"/>
  <c r="AV24" i="27"/>
  <c r="AH24" i="27"/>
  <c r="BB24" i="27" s="1"/>
  <c r="AW24" i="27"/>
  <c r="AI24" i="27"/>
  <c r="BC24" i="27" s="1"/>
  <c r="AV15" i="27"/>
  <c r="AH15" i="27"/>
  <c r="BB15" i="27" s="1"/>
  <c r="AV21" i="27"/>
  <c r="AH21" i="27"/>
  <c r="AA16" i="27"/>
  <c r="T16" i="27"/>
  <c r="AE7" i="27"/>
  <c r="AS7" i="27" s="1"/>
  <c r="BM7" i="27" s="1"/>
  <c r="X7" i="27"/>
  <c r="AL7" i="27" s="1"/>
  <c r="BF7" i="27" s="1"/>
  <c r="U19" i="27"/>
  <c r="AB19" i="27"/>
  <c r="AD13" i="27"/>
  <c r="W13" i="27"/>
  <c r="AR70" i="27"/>
  <c r="BA70" i="27"/>
  <c r="AV23" i="27"/>
  <c r="AH23" i="27"/>
  <c r="BB23" i="27" s="1"/>
  <c r="U16" i="27"/>
  <c r="AB16" i="27"/>
  <c r="AW70" i="27"/>
  <c r="AI70" i="27"/>
  <c r="BC70" i="27" s="1"/>
  <c r="AK14" i="27"/>
  <c r="AK70" i="27"/>
  <c r="AX70" i="27"/>
  <c r="Z22" i="27"/>
  <c r="AN22" i="27" s="1"/>
  <c r="BH22" i="27" s="1"/>
  <c r="AG22" i="27"/>
  <c r="AU22" i="27" s="1"/>
  <c r="BO22" i="27" s="1"/>
  <c r="AC16" i="27"/>
  <c r="AQ16" i="27" s="1"/>
  <c r="BK16" i="27" s="1"/>
  <c r="V16" i="27"/>
  <c r="AJ16" i="27" s="1"/>
  <c r="BD16" i="27" s="1"/>
  <c r="AZ70" i="27"/>
  <c r="AP70" i="27"/>
  <c r="BJ70" i="27" s="1"/>
  <c r="AI20" i="27"/>
  <c r="BC20" i="27" s="1"/>
  <c r="AF14" i="27"/>
  <c r="AT14" i="27" s="1"/>
  <c r="AD14" i="27"/>
  <c r="AB14" i="27"/>
  <c r="AA14" i="27"/>
  <c r="AC15" i="27"/>
  <c r="AQ15" i="27" s="1"/>
  <c r="BK15" i="27" s="1"/>
  <c r="AA15" i="27"/>
  <c r="AG15" i="27"/>
  <c r="AU15" i="27" s="1"/>
  <c r="AB17" i="27"/>
  <c r="AG17" i="27"/>
  <c r="AU17" i="27" s="1"/>
  <c r="BO17" i="27" s="1"/>
  <c r="AC23" i="27"/>
  <c r="AQ23" i="27" s="1"/>
  <c r="BK23" i="27" s="1"/>
  <c r="AA23" i="27"/>
  <c r="AF23" i="27"/>
  <c r="AT23" i="27" s="1"/>
  <c r="BN23" i="27" s="1"/>
  <c r="AE23" i="27"/>
  <c r="AS23" i="27" s="1"/>
  <c r="BM23" i="27" s="1"/>
  <c r="AD23" i="27"/>
  <c r="AD18" i="27"/>
  <c r="AB18" i="27"/>
  <c r="AA18" i="27"/>
  <c r="AG18" i="27"/>
  <c r="AU18" i="27" s="1"/>
  <c r="BO18" i="27" s="1"/>
  <c r="AF18" i="27"/>
  <c r="AT18" i="27" s="1"/>
  <c r="BN18" i="27" s="1"/>
  <c r="AC18" i="27"/>
  <c r="AQ18" i="27" s="1"/>
  <c r="BK18" i="27" s="1"/>
  <c r="AE24" i="27"/>
  <c r="AS24" i="27" s="1"/>
  <c r="BM24" i="27" s="1"/>
  <c r="AG24" i="27"/>
  <c r="AU24" i="27" s="1"/>
  <c r="BO24" i="27" s="1"/>
  <c r="AB24" i="27"/>
  <c r="AA24" i="27"/>
  <c r="AG9" i="27"/>
  <c r="AU9" i="27" s="1"/>
  <c r="BO9" i="27" s="1"/>
  <c r="AB8" i="27"/>
  <c r="AG5" i="27"/>
  <c r="AU5" i="27" s="1"/>
  <c r="AD5" i="27"/>
  <c r="AC5" i="27"/>
  <c r="AQ5" i="27" s="1"/>
  <c r="AA5" i="27"/>
  <c r="AA21" i="27"/>
  <c r="O67" i="27"/>
  <c r="M67" i="27"/>
  <c r="T67" i="27" s="1"/>
  <c r="S67" i="27"/>
  <c r="N67" i="27"/>
  <c r="R67" i="27"/>
  <c r="Q67" i="27"/>
  <c r="P67" i="27"/>
  <c r="AF6" i="27"/>
  <c r="AT6" i="27" s="1"/>
  <c r="AE6" i="27"/>
  <c r="AS6" i="27" s="1"/>
  <c r="AD6" i="27"/>
  <c r="AB6" i="27"/>
  <c r="AB20" i="27"/>
  <c r="AH71" i="27"/>
  <c r="BB71" i="27" s="1"/>
  <c r="AV71" i="27"/>
  <c r="AI71" i="27"/>
  <c r="BC71" i="27" s="1"/>
  <c r="AW71" i="27"/>
  <c r="AX71" i="27"/>
  <c r="AK71" i="27"/>
  <c r="M86" i="12"/>
  <c r="AF41" i="29"/>
  <c r="AF29" i="29"/>
  <c r="AF28" i="29"/>
  <c r="AF27" i="29"/>
  <c r="AF26" i="29"/>
  <c r="AF38" i="29"/>
  <c r="AF35" i="29"/>
  <c r="AF32" i="29"/>
  <c r="AF23" i="29"/>
  <c r="AN1" i="27"/>
  <c r="AM1" i="27" s="1"/>
  <c r="AL1" i="27" s="1"/>
  <c r="AK1" i="27" s="1"/>
  <c r="AJ1" i="27" s="1"/>
  <c r="AI1" i="27" s="1"/>
  <c r="AH1" i="27" s="1"/>
  <c r="AR1" i="27"/>
  <c r="AS1" i="27" s="1"/>
  <c r="AT1" i="27" s="1"/>
  <c r="AU1" i="27" s="1"/>
  <c r="H154" i="12"/>
  <c r="H152" i="12"/>
  <c r="L152" i="12" s="1"/>
  <c r="H153" i="12"/>
  <c r="L153" i="12" s="1"/>
  <c r="K153" i="12"/>
  <c r="K154" i="12"/>
  <c r="K152" i="12"/>
  <c r="L154" i="12"/>
  <c r="F143" i="12"/>
  <c r="F142" i="12"/>
  <c r="F145" i="12"/>
  <c r="F144" i="12"/>
  <c r="F147" i="12"/>
  <c r="F146" i="12"/>
  <c r="D128" i="12"/>
  <c r="E128" i="12" s="1"/>
  <c r="D119" i="12"/>
  <c r="E119" i="12"/>
  <c r="AF24" i="27" l="1"/>
  <c r="AT24" i="27" s="1"/>
  <c r="BN24" i="27" s="1"/>
  <c r="AG13" i="27"/>
  <c r="AU13" i="27" s="1"/>
  <c r="AF16" i="27"/>
  <c r="AT16" i="27" s="1"/>
  <c r="BN16" i="27" s="1"/>
  <c r="AB21" i="27"/>
  <c r="AC24" i="27"/>
  <c r="AQ24" i="27" s="1"/>
  <c r="BK24" i="27" s="1"/>
  <c r="AF21" i="27"/>
  <c r="AT21" i="27" s="1"/>
  <c r="BN21" i="27" s="1"/>
  <c r="AX6" i="27"/>
  <c r="AG6" i="27"/>
  <c r="AU6" i="27" s="1"/>
  <c r="V13" i="27"/>
  <c r="AJ13" i="27" s="1"/>
  <c r="BD13" i="27" s="1"/>
  <c r="AE18" i="27"/>
  <c r="AS18" i="27" s="1"/>
  <c r="BM18" i="27" s="1"/>
  <c r="T19" i="27"/>
  <c r="AV19" i="27" s="1"/>
  <c r="X19" i="27"/>
  <c r="AL19" i="27" s="1"/>
  <c r="BF19" i="27" s="1"/>
  <c r="AW15" i="27"/>
  <c r="AC6" i="27"/>
  <c r="AQ6" i="27" s="1"/>
  <c r="AC21" i="27"/>
  <c r="AQ21" i="27" s="1"/>
  <c r="BK21" i="27" s="1"/>
  <c r="AH20" i="27"/>
  <c r="AB22" i="27"/>
  <c r="AP22" i="27" s="1"/>
  <c r="BJ22" i="27" s="1"/>
  <c r="AE21" i="27"/>
  <c r="AS21" i="27" s="1"/>
  <c r="BM21" i="27" s="1"/>
  <c r="AX21" i="27"/>
  <c r="AD15" i="27"/>
  <c r="AR15" i="27" s="1"/>
  <c r="AC20" i="27"/>
  <c r="AQ20" i="27" s="1"/>
  <c r="BK20" i="27" s="1"/>
  <c r="AD21" i="27"/>
  <c r="AR21" i="27" s="1"/>
  <c r="BL21" i="27" s="1"/>
  <c r="AA20" i="27"/>
  <c r="AO20" i="27" s="1"/>
  <c r="AB23" i="27"/>
  <c r="AZ23" i="27" s="1"/>
  <c r="AA17" i="27"/>
  <c r="AO17" i="27" s="1"/>
  <c r="Y22" i="27"/>
  <c r="AM22" i="27" s="1"/>
  <c r="BG22" i="27" s="1"/>
  <c r="AV5" i="27"/>
  <c r="AD8" i="27"/>
  <c r="AR8" i="27" s="1"/>
  <c r="BL8" i="27" s="1"/>
  <c r="Y13" i="27"/>
  <c r="AM13" i="27" s="1"/>
  <c r="AE16" i="27"/>
  <c r="AS16" i="27" s="1"/>
  <c r="BM16" i="27" s="1"/>
  <c r="AI23" i="27"/>
  <c r="BC23" i="27" s="1"/>
  <c r="AD24" i="27"/>
  <c r="AX18" i="27"/>
  <c r="AE5" i="27"/>
  <c r="AS5" i="27" s="1"/>
  <c r="AG21" i="27"/>
  <c r="AU21" i="27" s="1"/>
  <c r="BO21" i="27" s="1"/>
  <c r="AD17" i="27"/>
  <c r="AR17" i="27" s="1"/>
  <c r="BL17" i="27" s="1"/>
  <c r="AG14" i="27"/>
  <c r="AU14" i="27" s="1"/>
  <c r="T22" i="27"/>
  <c r="AG19" i="27"/>
  <c r="AU19" i="27" s="1"/>
  <c r="BO19" i="27" s="1"/>
  <c r="AK24" i="27"/>
  <c r="BE24" i="27" s="1"/>
  <c r="AE17" i="27"/>
  <c r="AS17" i="27" s="1"/>
  <c r="BM17" i="27" s="1"/>
  <c r="AW20" i="27"/>
  <c r="AX17" i="27"/>
  <c r="AC8" i="27"/>
  <c r="AQ8" i="27" s="1"/>
  <c r="BK8" i="27" s="1"/>
  <c r="AC14" i="27"/>
  <c r="AQ14" i="27" s="1"/>
  <c r="BK14" i="27" s="1"/>
  <c r="AF19" i="27"/>
  <c r="AT19" i="27" s="1"/>
  <c r="BN19" i="27" s="1"/>
  <c r="AW21" i="27"/>
  <c r="AB15" i="27"/>
  <c r="AP15" i="27" s="1"/>
  <c r="BJ15" i="27" s="1"/>
  <c r="AG20" i="27"/>
  <c r="AU20" i="27" s="1"/>
  <c r="BO20" i="27" s="1"/>
  <c r="AG4" i="27"/>
  <c r="AU4" i="27" s="1"/>
  <c r="AA6" i="27"/>
  <c r="AO6" i="27" s="1"/>
  <c r="BI6" i="27" s="1"/>
  <c r="AE15" i="27"/>
  <c r="AS15" i="27" s="1"/>
  <c r="AW8" i="27"/>
  <c r="AB13" i="27"/>
  <c r="AZ13" i="27" s="1"/>
  <c r="AF15" i="27"/>
  <c r="AT15" i="27" s="1"/>
  <c r="W7" i="27"/>
  <c r="AK7" i="27" s="1"/>
  <c r="BE7" i="27" s="1"/>
  <c r="AA8" i="27"/>
  <c r="AO8" i="27" s="1"/>
  <c r="BI8" i="27" s="1"/>
  <c r="AF8" i="27"/>
  <c r="AT8" i="27" s="1"/>
  <c r="BN8" i="27" s="1"/>
  <c r="AE8" i="27"/>
  <c r="AS8" i="27" s="1"/>
  <c r="BM8" i="27" s="1"/>
  <c r="AX8" i="27"/>
  <c r="AG8" i="27"/>
  <c r="AU8" i="27" s="1"/>
  <c r="BO8" i="27" s="1"/>
  <c r="AH8" i="27"/>
  <c r="BB8" i="27" s="1"/>
  <c r="AE9" i="27"/>
  <c r="AS9" i="27" s="1"/>
  <c r="BM9" i="27" s="1"/>
  <c r="AX9" i="27"/>
  <c r="U7" i="27"/>
  <c r="AI7" i="27" s="1"/>
  <c r="BC7" i="27" s="1"/>
  <c r="AA7" i="27"/>
  <c r="AY7" i="27" s="1"/>
  <c r="Y7" i="27"/>
  <c r="AM7" i="27" s="1"/>
  <c r="BG7" i="27" s="1"/>
  <c r="AG7" i="27"/>
  <c r="AU7" i="27" s="1"/>
  <c r="BO7" i="27" s="1"/>
  <c r="V7" i="27"/>
  <c r="AJ7" i="27" s="1"/>
  <c r="BD7" i="27" s="1"/>
  <c r="AF9" i="27"/>
  <c r="AT9" i="27" s="1"/>
  <c r="BN9" i="27" s="1"/>
  <c r="AW9" i="27"/>
  <c r="AC9" i="27"/>
  <c r="AQ9" i="27" s="1"/>
  <c r="BK9" i="27" s="1"/>
  <c r="AA9" i="27"/>
  <c r="AO9" i="27" s="1"/>
  <c r="BI9" i="27" s="1"/>
  <c r="BB9" i="27"/>
  <c r="AB9" i="27"/>
  <c r="AP9" i="27" s="1"/>
  <c r="BJ9" i="27" s="1"/>
  <c r="AD9" i="27"/>
  <c r="AR9" i="27" s="1"/>
  <c r="BL9" i="27" s="1"/>
  <c r="AX14" i="27"/>
  <c r="AF17" i="27"/>
  <c r="AT17" i="27" s="1"/>
  <c r="BN17" i="27" s="1"/>
  <c r="AD20" i="27"/>
  <c r="AR20" i="27" s="1"/>
  <c r="BL20" i="27" s="1"/>
  <c r="AW5" i="27"/>
  <c r="AE13" i="27"/>
  <c r="AS13" i="27" s="1"/>
  <c r="Z16" i="27"/>
  <c r="AN16" i="27" s="1"/>
  <c r="BH16" i="27" s="1"/>
  <c r="AC17" i="27"/>
  <c r="AQ17" i="27" s="1"/>
  <c r="BK17" i="27" s="1"/>
  <c r="AE14" i="27"/>
  <c r="AS14" i="27" s="1"/>
  <c r="AX5" i="27"/>
  <c r="AF20" i="27"/>
  <c r="AT20" i="27" s="1"/>
  <c r="BN20" i="27" s="1"/>
  <c r="AB5" i="27"/>
  <c r="AZ5" i="27" s="1"/>
  <c r="AH6" i="27"/>
  <c r="BB6" i="27" s="1"/>
  <c r="AX15" i="27"/>
  <c r="AK17" i="27"/>
  <c r="BE17" i="27" s="1"/>
  <c r="V19" i="27"/>
  <c r="AJ19" i="27" s="1"/>
  <c r="BD19" i="27" s="1"/>
  <c r="AE20" i="27"/>
  <c r="AS20" i="27" s="1"/>
  <c r="BM20" i="27" s="1"/>
  <c r="AG23" i="27"/>
  <c r="AU23" i="27" s="1"/>
  <c r="BO23" i="27" s="1"/>
  <c r="AX23" i="27"/>
  <c r="V4" i="27"/>
  <c r="AJ4" i="27" s="1"/>
  <c r="AA13" i="27"/>
  <c r="AO13" i="27" s="1"/>
  <c r="BI13" i="27" s="1"/>
  <c r="AF5" i="27"/>
  <c r="AT5" i="27" s="1"/>
  <c r="AX20" i="27"/>
  <c r="AE4" i="27"/>
  <c r="AS4" i="27" s="1"/>
  <c r="U4" i="27"/>
  <c r="AI4" i="27" s="1"/>
  <c r="BC4" i="27" s="1"/>
  <c r="AF4" i="27"/>
  <c r="AT4" i="27" s="1"/>
  <c r="W4" i="27"/>
  <c r="AK4" i="27" s="1"/>
  <c r="AI13" i="27"/>
  <c r="BC13" i="27" s="1"/>
  <c r="AK22" i="27"/>
  <c r="BE22" i="27" s="1"/>
  <c r="AK19" i="27"/>
  <c r="BE19" i="27" s="1"/>
  <c r="BI4" i="27"/>
  <c r="AY4" i="27"/>
  <c r="BA22" i="27"/>
  <c r="AR22" i="27"/>
  <c r="BL22" i="27" s="1"/>
  <c r="AW22" i="27"/>
  <c r="AI22" i="27"/>
  <c r="BC22" i="27" s="1"/>
  <c r="AH4" i="27"/>
  <c r="BB4" i="27" s="1"/>
  <c r="AV4" i="27"/>
  <c r="AK13" i="27"/>
  <c r="AV22" i="27"/>
  <c r="AH22" i="27"/>
  <c r="BB22" i="27" s="1"/>
  <c r="AR16" i="27"/>
  <c r="BL16" i="27" s="1"/>
  <c r="AR19" i="27"/>
  <c r="BL19" i="27" s="1"/>
  <c r="AP4" i="27"/>
  <c r="BJ4" i="27" s="1"/>
  <c r="AZ4" i="27"/>
  <c r="AO19" i="27"/>
  <c r="AY19" i="27"/>
  <c r="AR13" i="27"/>
  <c r="AR7" i="27"/>
  <c r="BL7" i="27" s="1"/>
  <c r="AH13" i="27"/>
  <c r="BB13" i="27" s="1"/>
  <c r="AV13" i="27"/>
  <c r="AZ7" i="27"/>
  <c r="AP7" i="27"/>
  <c r="BJ7" i="27" s="1"/>
  <c r="AW16" i="27"/>
  <c r="AI16" i="27"/>
  <c r="BC16" i="27" s="1"/>
  <c r="AY22" i="27"/>
  <c r="AO22" i="27"/>
  <c r="BI22" i="27" s="1"/>
  <c r="AR4" i="27"/>
  <c r="AK16" i="27"/>
  <c r="BE16" i="27" s="1"/>
  <c r="AP19" i="27"/>
  <c r="BJ19" i="27" s="1"/>
  <c r="AZ19" i="27"/>
  <c r="AI19" i="27"/>
  <c r="BC19" i="27" s="1"/>
  <c r="AV16" i="27"/>
  <c r="AH16" i="27"/>
  <c r="AH7" i="27"/>
  <c r="BB7" i="27" s="1"/>
  <c r="AV7" i="27"/>
  <c r="AZ16" i="27"/>
  <c r="AP16" i="27"/>
  <c r="BJ16" i="27" s="1"/>
  <c r="AY16" i="27"/>
  <c r="AO16" i="27"/>
  <c r="AP6" i="27"/>
  <c r="BJ6" i="27" s="1"/>
  <c r="AO23" i="27"/>
  <c r="BI23" i="27" s="1"/>
  <c r="AY23" i="27"/>
  <c r="AO21" i="27"/>
  <c r="AY21" i="27"/>
  <c r="AR6" i="27"/>
  <c r="AP21" i="27"/>
  <c r="BJ21" i="27" s="1"/>
  <c r="AP20" i="27"/>
  <c r="BJ20" i="27" s="1"/>
  <c r="AO18" i="27"/>
  <c r="AY18" i="27"/>
  <c r="S69" i="27"/>
  <c r="R69" i="27"/>
  <c r="Q69" i="27"/>
  <c r="P69" i="27"/>
  <c r="O69" i="27"/>
  <c r="N69" i="27"/>
  <c r="M69" i="27"/>
  <c r="T69" i="27" s="1"/>
  <c r="AP18" i="27"/>
  <c r="BJ18" i="27" s="1"/>
  <c r="AZ18" i="27"/>
  <c r="AY14" i="27"/>
  <c r="AO14" i="27"/>
  <c r="BI14" i="27" s="1"/>
  <c r="AO24" i="27"/>
  <c r="BI24" i="27" s="1"/>
  <c r="AY24" i="27"/>
  <c r="AR18" i="27"/>
  <c r="BL18" i="27" s="1"/>
  <c r="AP14" i="27"/>
  <c r="BJ14" i="27" s="1"/>
  <c r="AY5" i="27"/>
  <c r="AO5" i="27"/>
  <c r="BI5" i="27" s="1"/>
  <c r="AP8" i="27"/>
  <c r="BJ8" i="27" s="1"/>
  <c r="AP24" i="27"/>
  <c r="BJ24" i="27" s="1"/>
  <c r="AZ24" i="27"/>
  <c r="AR23" i="27"/>
  <c r="BL23" i="27" s="1"/>
  <c r="AP17" i="27"/>
  <c r="BJ17" i="27" s="1"/>
  <c r="AR14" i="27"/>
  <c r="S68" i="27"/>
  <c r="R68" i="27"/>
  <c r="O68" i="27"/>
  <c r="Q68" i="27"/>
  <c r="N68" i="27"/>
  <c r="M68" i="27"/>
  <c r="T68" i="27" s="1"/>
  <c r="P68" i="27"/>
  <c r="AR5" i="27"/>
  <c r="BA24" i="27"/>
  <c r="AR24" i="27"/>
  <c r="BL24" i="27" s="1"/>
  <c r="AO15" i="27"/>
  <c r="BI15" i="27" s="1"/>
  <c r="AY15" i="27"/>
  <c r="M152" i="12"/>
  <c r="M154" i="12"/>
  <c r="M153" i="12"/>
  <c r="G142" i="12"/>
  <c r="G144" i="12"/>
  <c r="G146" i="12"/>
  <c r="G119" i="12"/>
  <c r="BA13" i="27" l="1"/>
  <c r="AZ20" i="27"/>
  <c r="AY20" i="27"/>
  <c r="AZ14" i="27"/>
  <c r="BA6" i="27"/>
  <c r="AX19" i="27"/>
  <c r="AW13" i="27"/>
  <c r="AZ8" i="27"/>
  <c r="AX16" i="27"/>
  <c r="BA18" i="27"/>
  <c r="AH19" i="27"/>
  <c r="AP23" i="27"/>
  <c r="BJ23" i="27" s="1"/>
  <c r="AZ6" i="27"/>
  <c r="BA21" i="27"/>
  <c r="AW19" i="27"/>
  <c r="AZ21" i="27"/>
  <c r="AZ22" i="27"/>
  <c r="AP13" i="27"/>
  <c r="BJ13" i="27" s="1"/>
  <c r="AY17" i="27"/>
  <c r="BA19" i="27"/>
  <c r="AX22" i="27"/>
  <c r="AX13" i="27"/>
  <c r="BA16" i="27"/>
  <c r="AY6" i="27"/>
  <c r="AZ15" i="27"/>
  <c r="BA20" i="27"/>
  <c r="BA17" i="27"/>
  <c r="BA15" i="27"/>
  <c r="AY8" i="27"/>
  <c r="AO7" i="27"/>
  <c r="BI7" i="27" s="1"/>
  <c r="BA7" i="27"/>
  <c r="BA8" i="27"/>
  <c r="AX7" i="27"/>
  <c r="AY9" i="27"/>
  <c r="AZ9" i="27"/>
  <c r="AW7" i="27"/>
  <c r="BA9" i="27"/>
  <c r="BA5" i="27"/>
  <c r="AY13" i="27"/>
  <c r="BA14" i="27"/>
  <c r="AZ17" i="27"/>
  <c r="BA23" i="27"/>
  <c r="AP5" i="27"/>
  <c r="BJ5" i="27" s="1"/>
  <c r="AW4" i="27"/>
  <c r="BA4" i="27"/>
  <c r="AX4" i="27"/>
  <c r="AD67" i="27"/>
  <c r="W67" i="27"/>
  <c r="Y67" i="27"/>
  <c r="AM67" i="27" s="1"/>
  <c r="AF67" i="27"/>
  <c r="AT67" i="27" s="1"/>
  <c r="AC67" i="27"/>
  <c r="AQ67" i="27" s="1"/>
  <c r="BK67" i="27" s="1"/>
  <c r="V67" i="27"/>
  <c r="AJ67" i="27" s="1"/>
  <c r="BD67" i="27" s="1"/>
  <c r="AA68" i="27"/>
  <c r="AE67" i="27"/>
  <c r="AS67" i="27" s="1"/>
  <c r="X67" i="27"/>
  <c r="AL67" i="27" s="1"/>
  <c r="U68" i="27"/>
  <c r="AB68" i="27"/>
  <c r="Z67" i="27"/>
  <c r="AN67" i="27" s="1"/>
  <c r="AG67" i="27"/>
  <c r="AU67" i="27" s="1"/>
  <c r="V68" i="27"/>
  <c r="AJ68" i="27" s="1"/>
  <c r="BD68" i="27" s="1"/>
  <c r="AC68" i="27"/>
  <c r="AQ68" i="27" s="1"/>
  <c r="BK68" i="27" s="1"/>
  <c r="Y69" i="27"/>
  <c r="AM69" i="27" s="1"/>
  <c r="AF69" i="27"/>
  <c r="AT69" i="27" s="1"/>
  <c r="W68" i="27"/>
  <c r="AD68" i="27"/>
  <c r="Z69" i="27"/>
  <c r="AN69" i="27" s="1"/>
  <c r="AG69" i="27"/>
  <c r="AU69" i="27" s="1"/>
  <c r="X68" i="27"/>
  <c r="AL68" i="27" s="1"/>
  <c r="AE68" i="27"/>
  <c r="AS68" i="27" s="1"/>
  <c r="AF68" i="27"/>
  <c r="AT68" i="27" s="1"/>
  <c r="Y68" i="27"/>
  <c r="AM68" i="27" s="1"/>
  <c r="AA69" i="27"/>
  <c r="AC69" i="27"/>
  <c r="AQ69" i="27" s="1"/>
  <c r="BK69" i="27" s="1"/>
  <c r="V69" i="27"/>
  <c r="AJ69" i="27" s="1"/>
  <c r="BD69" i="27" s="1"/>
  <c r="W69" i="27"/>
  <c r="AD69" i="27"/>
  <c r="AG68" i="27"/>
  <c r="AU68" i="27" s="1"/>
  <c r="Z68" i="27"/>
  <c r="AN68" i="27" s="1"/>
  <c r="AA67" i="27"/>
  <c r="AB69" i="27"/>
  <c r="U69" i="27"/>
  <c r="AB67" i="27"/>
  <c r="U67" i="27"/>
  <c r="X69" i="27"/>
  <c r="AL69" i="27" s="1"/>
  <c r="AE69" i="27"/>
  <c r="AS69" i="27" s="1"/>
  <c r="N40" i="27" l="1"/>
  <c r="M40" i="27"/>
  <c r="T40" i="27" s="1"/>
  <c r="R40" i="27"/>
  <c r="Q40" i="27"/>
  <c r="P40" i="27"/>
  <c r="O40" i="27"/>
  <c r="S40" i="27"/>
  <c r="S42" i="27"/>
  <c r="P42" i="27"/>
  <c r="O42" i="27"/>
  <c r="R42" i="27"/>
  <c r="Q42" i="27"/>
  <c r="M42" i="27"/>
  <c r="T42" i="27" s="1"/>
  <c r="N42" i="27"/>
  <c r="S48" i="27"/>
  <c r="P48" i="27"/>
  <c r="O48" i="27"/>
  <c r="M48" i="27"/>
  <c r="T48" i="27" s="1"/>
  <c r="R48" i="27"/>
  <c r="Q48" i="27"/>
  <c r="N48" i="27"/>
  <c r="R52" i="27"/>
  <c r="S52" i="27"/>
  <c r="Q52" i="27"/>
  <c r="O52" i="27"/>
  <c r="N52" i="27"/>
  <c r="P52" i="27"/>
  <c r="N50" i="27"/>
  <c r="M50" i="27"/>
  <c r="T50" i="27" s="1"/>
  <c r="Q50" i="27"/>
  <c r="P50" i="27"/>
  <c r="S50" i="27"/>
  <c r="R50" i="27"/>
  <c r="O50" i="27"/>
  <c r="S49" i="27"/>
  <c r="R49" i="27"/>
  <c r="P49" i="27"/>
  <c r="O49" i="27"/>
  <c r="M49" i="27"/>
  <c r="T49" i="27" s="1"/>
  <c r="Q49" i="27"/>
  <c r="N49" i="27"/>
  <c r="S45" i="27"/>
  <c r="P45" i="27"/>
  <c r="Q45" i="27"/>
  <c r="O45" i="27"/>
  <c r="N45" i="27"/>
  <c r="M45" i="27"/>
  <c r="T45" i="27" s="1"/>
  <c r="R45" i="27"/>
  <c r="R41" i="27"/>
  <c r="Q41" i="27"/>
  <c r="S41" i="27"/>
  <c r="O41" i="27"/>
  <c r="P41" i="27"/>
  <c r="N41" i="27"/>
  <c r="M41" i="27"/>
  <c r="T41" i="27" s="1"/>
  <c r="N44" i="27"/>
  <c r="M44" i="27"/>
  <c r="T44" i="27" s="1"/>
  <c r="O44" i="27"/>
  <c r="S44" i="27"/>
  <c r="Q44" i="27"/>
  <c r="R44" i="27"/>
  <c r="P44" i="27"/>
  <c r="M43" i="27"/>
  <c r="T43" i="27" s="1"/>
  <c r="R43" i="27"/>
  <c r="Q43" i="27"/>
  <c r="P43" i="27"/>
  <c r="O43" i="27"/>
  <c r="N43" i="27"/>
  <c r="S43" i="27"/>
  <c r="M47" i="27"/>
  <c r="T47" i="27" s="1"/>
  <c r="N47" i="27"/>
  <c r="S47" i="27"/>
  <c r="R47" i="27"/>
  <c r="P47" i="27"/>
  <c r="Q47" i="27"/>
  <c r="O47" i="27"/>
  <c r="Q46" i="27"/>
  <c r="P46" i="27"/>
  <c r="O46" i="27"/>
  <c r="N46" i="27"/>
  <c r="S46" i="27"/>
  <c r="R46" i="27"/>
  <c r="M46" i="27"/>
  <c r="T46" i="27" s="1"/>
  <c r="S51" i="27"/>
  <c r="P51" i="27"/>
  <c r="R51" i="27"/>
  <c r="Q51" i="27"/>
  <c r="M51" i="27"/>
  <c r="T51" i="27" s="1"/>
  <c r="O51" i="27"/>
  <c r="N51" i="27"/>
  <c r="AV69" i="27"/>
  <c r="AH69" i="27"/>
  <c r="BB69" i="27" s="1"/>
  <c r="AV68" i="27"/>
  <c r="AH68" i="27"/>
  <c r="BB68" i="27" s="1"/>
  <c r="AW67" i="27"/>
  <c r="AI67" i="27"/>
  <c r="BC67" i="27" s="1"/>
  <c r="AV67" i="27"/>
  <c r="AH67" i="27"/>
  <c r="BB67" i="27" s="1"/>
  <c r="AP68" i="27"/>
  <c r="BJ68" i="27" s="1"/>
  <c r="AZ68" i="27"/>
  <c r="AO67" i="27"/>
  <c r="BI67" i="27" s="1"/>
  <c r="AY67" i="27"/>
  <c r="AI68" i="27"/>
  <c r="BC68" i="27" s="1"/>
  <c r="AW68" i="27"/>
  <c r="BA69" i="27"/>
  <c r="AR69" i="27"/>
  <c r="AR68" i="27"/>
  <c r="BA68" i="27"/>
  <c r="AO68" i="27"/>
  <c r="BI68" i="27" s="1"/>
  <c r="AY68" i="27"/>
  <c r="AX69" i="27"/>
  <c r="AK69" i="27"/>
  <c r="AX68" i="27"/>
  <c r="AK68" i="27"/>
  <c r="AP67" i="27"/>
  <c r="BJ67" i="27" s="1"/>
  <c r="AZ67" i="27"/>
  <c r="AO69" i="27"/>
  <c r="BI69" i="27" s="1"/>
  <c r="AY69" i="27"/>
  <c r="AW69" i="27"/>
  <c r="AI69" i="27"/>
  <c r="BC69" i="27" s="1"/>
  <c r="AX67" i="27"/>
  <c r="AK67" i="27"/>
  <c r="AZ69" i="27"/>
  <c r="AP69" i="27"/>
  <c r="BJ69" i="27" s="1"/>
  <c r="BA67" i="27"/>
  <c r="AR67" i="27"/>
  <c r="AB44" i="27" l="1"/>
  <c r="F112" i="12" l="1"/>
  <c r="E112" i="12"/>
  <c r="D112" i="12"/>
  <c r="F113" i="12"/>
  <c r="E113" i="12"/>
  <c r="D113" i="12"/>
  <c r="F114" i="12"/>
  <c r="E114" i="12"/>
  <c r="D114" i="12"/>
  <c r="H100" i="12"/>
  <c r="H104" i="12" s="1"/>
  <c r="F46" i="12"/>
  <c r="E46" i="12"/>
  <c r="D46" i="12"/>
  <c r="C46" i="12"/>
  <c r="F45" i="12"/>
  <c r="E45" i="12"/>
  <c r="D45" i="12"/>
  <c r="C45" i="12"/>
  <c r="F42" i="12"/>
  <c r="E42" i="12"/>
  <c r="D42" i="12"/>
  <c r="C42" i="12"/>
  <c r="F41" i="12"/>
  <c r="E41" i="12"/>
  <c r="D41" i="12"/>
  <c r="C41" i="12"/>
  <c r="F38" i="12"/>
  <c r="E38" i="12"/>
  <c r="D38" i="12"/>
  <c r="C38" i="12"/>
  <c r="F37" i="12"/>
  <c r="E37" i="12"/>
  <c r="D37" i="12"/>
  <c r="J16" i="12"/>
  <c r="J15" i="12"/>
  <c r="J14" i="12"/>
  <c r="N26" i="27" l="1"/>
  <c r="M26" i="27"/>
  <c r="T26" i="27" s="1"/>
  <c r="AH26" i="27" s="1"/>
  <c r="BB26" i="27" s="1"/>
  <c r="O26" i="27"/>
  <c r="S26" i="27"/>
  <c r="R26" i="27"/>
  <c r="Q26" i="27"/>
  <c r="P26" i="27"/>
  <c r="S27" i="27"/>
  <c r="P27" i="27"/>
  <c r="Q27" i="27"/>
  <c r="O27" i="27"/>
  <c r="N27" i="27"/>
  <c r="R27" i="27"/>
  <c r="M27" i="27"/>
  <c r="T27" i="27" s="1"/>
  <c r="AA58" i="27"/>
  <c r="G114" i="12"/>
  <c r="G112" i="12"/>
  <c r="I38" i="12"/>
  <c r="C31" i="12" s="1"/>
  <c r="G31" i="12" s="1"/>
  <c r="H46" i="12"/>
  <c r="E27" i="12" s="1"/>
  <c r="I27" i="12" s="1"/>
  <c r="I41" i="12"/>
  <c r="D22" i="12" s="1"/>
  <c r="H22" i="12" s="1"/>
  <c r="G37" i="12"/>
  <c r="C17" i="12" s="1"/>
  <c r="G17" i="12" s="1"/>
  <c r="G113" i="12"/>
  <c r="I46" i="12"/>
  <c r="E25" i="12" s="1"/>
  <c r="I25" i="12" s="1"/>
  <c r="I45" i="12"/>
  <c r="E22" i="12" s="1"/>
  <c r="I22" i="12" s="1"/>
  <c r="H37" i="12"/>
  <c r="H45" i="12"/>
  <c r="E21" i="12" s="1"/>
  <c r="I21" i="12" s="1"/>
  <c r="I37" i="12"/>
  <c r="C22" i="12" s="1"/>
  <c r="G22" i="12" s="1"/>
  <c r="G38" i="12"/>
  <c r="C26" i="12" s="1"/>
  <c r="G26" i="12" s="1"/>
  <c r="I42" i="12"/>
  <c r="D25" i="12" s="1"/>
  <c r="H25" i="12" s="1"/>
  <c r="H38" i="12"/>
  <c r="C30" i="12" s="1"/>
  <c r="G30" i="12" s="1"/>
  <c r="G42" i="12"/>
  <c r="D23" i="12" s="1"/>
  <c r="H23" i="12" s="1"/>
  <c r="G46" i="12"/>
  <c r="G45" i="12"/>
  <c r="G41" i="12"/>
  <c r="H42" i="12"/>
  <c r="H41" i="12"/>
  <c r="N32" i="27" l="1"/>
  <c r="M32" i="27"/>
  <c r="T32" i="27" s="1"/>
  <c r="O32" i="27"/>
  <c r="R32" i="27"/>
  <c r="Q32" i="27"/>
  <c r="S32" i="27"/>
  <c r="P32" i="27"/>
  <c r="M37" i="27"/>
  <c r="T37" i="27" s="1"/>
  <c r="Q37" i="27"/>
  <c r="S37" i="27"/>
  <c r="R37" i="27"/>
  <c r="P37" i="27"/>
  <c r="O37" i="27"/>
  <c r="N37" i="27"/>
  <c r="R34" i="27"/>
  <c r="O34" i="27"/>
  <c r="M34" i="27"/>
  <c r="T34" i="27" s="1"/>
  <c r="P34" i="27"/>
  <c r="S34" i="27"/>
  <c r="Q34" i="27"/>
  <c r="N34" i="27"/>
  <c r="S30" i="27"/>
  <c r="P30" i="27"/>
  <c r="O30" i="27"/>
  <c r="R30" i="27"/>
  <c r="M30" i="27"/>
  <c r="T30" i="27" s="1"/>
  <c r="Q30" i="27"/>
  <c r="N30" i="27"/>
  <c r="S33" i="27"/>
  <c r="P33" i="27"/>
  <c r="N33" i="27"/>
  <c r="R33" i="27"/>
  <c r="M33" i="27"/>
  <c r="T33" i="27" s="1"/>
  <c r="Q33" i="27"/>
  <c r="O33" i="27"/>
  <c r="O25" i="27"/>
  <c r="AC25" i="27" s="1"/>
  <c r="AQ25" i="27" s="1"/>
  <c r="BK25" i="27" s="1"/>
  <c r="N25" i="27"/>
  <c r="AB25" i="27" s="1"/>
  <c r="S25" i="27"/>
  <c r="Z25" i="27" s="1"/>
  <c r="AN25" i="27" s="1"/>
  <c r="BH25" i="27" s="1"/>
  <c r="R25" i="27"/>
  <c r="Y25" i="27" s="1"/>
  <c r="AM25" i="27" s="1"/>
  <c r="BG25" i="27" s="1"/>
  <c r="Q25" i="27"/>
  <c r="AE25" i="27" s="1"/>
  <c r="AS25" i="27" s="1"/>
  <c r="BM25" i="27" s="1"/>
  <c r="P25" i="27"/>
  <c r="M25" i="27"/>
  <c r="T25" i="27" s="1"/>
  <c r="M29" i="27"/>
  <c r="T29" i="27" s="1"/>
  <c r="P29" i="27"/>
  <c r="R29" i="27"/>
  <c r="O29" i="27"/>
  <c r="Q29" i="27"/>
  <c r="N29" i="27"/>
  <c r="S29" i="27"/>
  <c r="M35" i="27"/>
  <c r="T35" i="27" s="1"/>
  <c r="Q35" i="27"/>
  <c r="P35" i="27"/>
  <c r="O35" i="27"/>
  <c r="N35" i="27"/>
  <c r="S35" i="27"/>
  <c r="R35" i="27"/>
  <c r="S31" i="27"/>
  <c r="R31" i="27"/>
  <c r="P31" i="27"/>
  <c r="N31" i="27"/>
  <c r="Q31" i="27"/>
  <c r="M31" i="27"/>
  <c r="T31" i="27" s="1"/>
  <c r="O31" i="27"/>
  <c r="Q28" i="27"/>
  <c r="P28" i="27"/>
  <c r="M28" i="27"/>
  <c r="T28" i="27" s="1"/>
  <c r="AH28" i="27" s="1"/>
  <c r="BB28" i="27" s="1"/>
  <c r="S28" i="27"/>
  <c r="R28" i="27"/>
  <c r="O28" i="27"/>
  <c r="N28" i="27"/>
  <c r="S39" i="27"/>
  <c r="P39" i="27"/>
  <c r="O39" i="27"/>
  <c r="N39" i="27"/>
  <c r="M39" i="27"/>
  <c r="T39" i="27" s="1"/>
  <c r="R39" i="27"/>
  <c r="Q39" i="27"/>
  <c r="S36" i="27"/>
  <c r="P36" i="27"/>
  <c r="O36" i="27"/>
  <c r="N36" i="27"/>
  <c r="M36" i="27"/>
  <c r="T36" i="27" s="1"/>
  <c r="R36" i="27"/>
  <c r="Q36" i="27"/>
  <c r="N38" i="27"/>
  <c r="S38" i="27"/>
  <c r="R38" i="27"/>
  <c r="P38" i="27"/>
  <c r="O38" i="27"/>
  <c r="Q38" i="27"/>
  <c r="M38" i="27"/>
  <c r="T38" i="27" s="1"/>
  <c r="AD25" i="27"/>
  <c r="AH40" i="27"/>
  <c r="BB40" i="27" s="1"/>
  <c r="AA40" i="27"/>
  <c r="AB26" i="27"/>
  <c r="U26" i="27"/>
  <c r="AI26" i="27" s="1"/>
  <c r="BC26" i="27" s="1"/>
  <c r="X26" i="27"/>
  <c r="AL26" i="27" s="1"/>
  <c r="BF26" i="27" s="1"/>
  <c r="AE26" i="27"/>
  <c r="AS26" i="27" s="1"/>
  <c r="BM26" i="27" s="1"/>
  <c r="AF26" i="27"/>
  <c r="AT26" i="27" s="1"/>
  <c r="BN26" i="27" s="1"/>
  <c r="Y26" i="27"/>
  <c r="AM26" i="27" s="1"/>
  <c r="BG26" i="27" s="1"/>
  <c r="AG26" i="27"/>
  <c r="AU26" i="27" s="1"/>
  <c r="BO26" i="27" s="1"/>
  <c r="Z26" i="27"/>
  <c r="AN26" i="27" s="1"/>
  <c r="BH26" i="27" s="1"/>
  <c r="W26" i="27"/>
  <c r="AK26" i="27" s="1"/>
  <c r="BE26" i="27" s="1"/>
  <c r="AD26" i="27"/>
  <c r="X27" i="27"/>
  <c r="AL27" i="27" s="1"/>
  <c r="BF27" i="27" s="1"/>
  <c r="AE27" i="27"/>
  <c r="AS27" i="27" s="1"/>
  <c r="BM27" i="27" s="1"/>
  <c r="Y27" i="27"/>
  <c r="AM27" i="27" s="1"/>
  <c r="BG27" i="27" s="1"/>
  <c r="AF27" i="27"/>
  <c r="AT27" i="27" s="1"/>
  <c r="BN27" i="27" s="1"/>
  <c r="AG27" i="27"/>
  <c r="AU27" i="27" s="1"/>
  <c r="BO27" i="27" s="1"/>
  <c r="Z27" i="27"/>
  <c r="AN27" i="27" s="1"/>
  <c r="BH27" i="27" s="1"/>
  <c r="AA27" i="27"/>
  <c r="AH27" i="27"/>
  <c r="BB27" i="27" s="1"/>
  <c r="AB27" i="27"/>
  <c r="U27" i="27"/>
  <c r="AI27" i="27" s="1"/>
  <c r="BC27" i="27" s="1"/>
  <c r="AC27" i="27"/>
  <c r="AQ27" i="27" s="1"/>
  <c r="BK27" i="27" s="1"/>
  <c r="V27" i="27"/>
  <c r="AJ27" i="27" s="1"/>
  <c r="BD27" i="27" s="1"/>
  <c r="W27" i="27"/>
  <c r="AK27" i="27" s="1"/>
  <c r="BE27" i="27" s="1"/>
  <c r="AD27" i="27"/>
  <c r="V26" i="27"/>
  <c r="AJ26" i="27" s="1"/>
  <c r="BD26" i="27" s="1"/>
  <c r="AC26" i="27"/>
  <c r="AQ26" i="27" s="1"/>
  <c r="BK26" i="27" s="1"/>
  <c r="AA26" i="27"/>
  <c r="U46" i="27"/>
  <c r="C20" i="12"/>
  <c r="G20" i="12" s="1"/>
  <c r="E18" i="12"/>
  <c r="I18" i="12" s="1"/>
  <c r="E19" i="12"/>
  <c r="I19" i="12" s="1"/>
  <c r="C28" i="12"/>
  <c r="G28" i="12" s="1"/>
  <c r="C24" i="12"/>
  <c r="D28" i="12"/>
  <c r="H28" i="12" s="1"/>
  <c r="C27" i="12"/>
  <c r="G27" i="12" s="1"/>
  <c r="C25" i="12"/>
  <c r="E30" i="12"/>
  <c r="I30" i="12" s="1"/>
  <c r="D26" i="12"/>
  <c r="H26" i="12" s="1"/>
  <c r="E24" i="12"/>
  <c r="I24" i="12" s="1"/>
  <c r="D29" i="12"/>
  <c r="H29" i="12" s="1"/>
  <c r="E28" i="12"/>
  <c r="I28" i="12" s="1"/>
  <c r="C29" i="12"/>
  <c r="G29" i="12" s="1"/>
  <c r="E31" i="12"/>
  <c r="I31" i="12" s="1"/>
  <c r="C19" i="12"/>
  <c r="G19" i="12" s="1"/>
  <c r="C23" i="12"/>
  <c r="D31" i="12"/>
  <c r="H31" i="12" s="1"/>
  <c r="C21" i="12"/>
  <c r="G21" i="12" s="1"/>
  <c r="C18" i="12"/>
  <c r="G18" i="12" s="1"/>
  <c r="D19" i="12"/>
  <c r="H19" i="12" s="1"/>
  <c r="E17" i="12"/>
  <c r="I17" i="12" s="1"/>
  <c r="E20" i="12"/>
  <c r="I20" i="12" s="1"/>
  <c r="D18" i="12"/>
  <c r="H18" i="12" s="1"/>
  <c r="D21" i="12"/>
  <c r="H21" i="12" s="1"/>
  <c r="E23" i="12"/>
  <c r="I23" i="12" s="1"/>
  <c r="E29" i="12"/>
  <c r="I29" i="12" s="1"/>
  <c r="E26" i="12"/>
  <c r="I26" i="12" s="1"/>
  <c r="D27" i="12"/>
  <c r="H27" i="12" s="1"/>
  <c r="D30" i="12"/>
  <c r="H30" i="12" s="1"/>
  <c r="D24" i="12"/>
  <c r="H24" i="12" s="1"/>
  <c r="D20" i="12"/>
  <c r="H20" i="12" s="1"/>
  <c r="D17" i="12"/>
  <c r="H17" i="12" s="1"/>
  <c r="AF25" i="27" l="1"/>
  <c r="AT25" i="27" s="1"/>
  <c r="BN25" i="27" s="1"/>
  <c r="AH25" i="27"/>
  <c r="BB25" i="27" s="1"/>
  <c r="U25" i="27"/>
  <c r="AI25" i="27" s="1"/>
  <c r="BC25" i="27" s="1"/>
  <c r="AG25" i="27"/>
  <c r="AU25" i="27" s="1"/>
  <c r="BO25" i="27" s="1"/>
  <c r="AA25" i="27"/>
  <c r="AY25" i="27" s="1"/>
  <c r="V25" i="27"/>
  <c r="AJ25" i="27" s="1"/>
  <c r="BD25" i="27" s="1"/>
  <c r="X25" i="27"/>
  <c r="W25" i="27"/>
  <c r="AK25" i="27" s="1"/>
  <c r="BE25" i="27" s="1"/>
  <c r="AW27" i="27"/>
  <c r="AR25" i="27"/>
  <c r="BL25" i="27" s="1"/>
  <c r="AV26" i="27"/>
  <c r="AR26" i="27"/>
  <c r="BL26" i="27" s="1"/>
  <c r="BA26" i="27"/>
  <c r="AX26" i="27"/>
  <c r="AV27" i="27"/>
  <c r="AO27" i="27"/>
  <c r="BI27" i="27" s="1"/>
  <c r="AY27" i="27"/>
  <c r="AW26" i="27"/>
  <c r="BA27" i="27"/>
  <c r="AR27" i="27"/>
  <c r="BL27" i="27" s="1"/>
  <c r="AX27" i="27"/>
  <c r="AZ27" i="27"/>
  <c r="AP27" i="27"/>
  <c r="BJ27" i="27" s="1"/>
  <c r="AO26" i="27"/>
  <c r="BI26" i="27" s="1"/>
  <c r="AY26" i="27"/>
  <c r="AP25" i="27"/>
  <c r="BJ25" i="27" s="1"/>
  <c r="AZ25" i="27"/>
  <c r="AZ26" i="27"/>
  <c r="AP26" i="27"/>
  <c r="BJ26" i="27" s="1"/>
  <c r="AA63" i="27"/>
  <c r="AH63" i="27"/>
  <c r="BB63" i="27" s="1"/>
  <c r="AC62" i="27"/>
  <c r="AQ62" i="27" s="1"/>
  <c r="BK62" i="27" s="1"/>
  <c r="V62" i="27"/>
  <c r="AJ62" i="27" s="1"/>
  <c r="BD62" i="27" s="1"/>
  <c r="AG61" i="27"/>
  <c r="AU61" i="27" s="1"/>
  <c r="Z61" i="27"/>
  <c r="AN61" i="27" s="1"/>
  <c r="AE62" i="27"/>
  <c r="AS62" i="27" s="1"/>
  <c r="X62" i="27"/>
  <c r="AL62" i="27" s="1"/>
  <c r="W63" i="27"/>
  <c r="AK63" i="27" s="1"/>
  <c r="AD63" i="27"/>
  <c r="AR63" i="27" s="1"/>
  <c r="V61" i="27"/>
  <c r="AJ61" i="27" s="1"/>
  <c r="BD61" i="27" s="1"/>
  <c r="AC61" i="27"/>
  <c r="AQ61" i="27" s="1"/>
  <c r="BK61" i="27" s="1"/>
  <c r="U62" i="27"/>
  <c r="AI62" i="27" s="1"/>
  <c r="BC62" i="27" s="1"/>
  <c r="AB62" i="27"/>
  <c r="AP62" i="27" s="1"/>
  <c r="BJ62" i="27" s="1"/>
  <c r="AC63" i="27"/>
  <c r="AQ63" i="27" s="1"/>
  <c r="BK63" i="27" s="1"/>
  <c r="V63" i="27"/>
  <c r="AJ63" i="27" s="1"/>
  <c r="BD63" i="27" s="1"/>
  <c r="AD61" i="27"/>
  <c r="AR61" i="27" s="1"/>
  <c r="W61" i="27"/>
  <c r="AK61" i="27" s="1"/>
  <c r="AG62" i="27"/>
  <c r="AU62" i="27" s="1"/>
  <c r="Z62" i="27"/>
  <c r="AN62" i="27" s="1"/>
  <c r="AE61" i="27"/>
  <c r="AS61" i="27" s="1"/>
  <c r="X61" i="27"/>
  <c r="AL61" i="27" s="1"/>
  <c r="Y63" i="27"/>
  <c r="AM63" i="27" s="1"/>
  <c r="AF63" i="27"/>
  <c r="AT63" i="27" s="1"/>
  <c r="AB61" i="27"/>
  <c r="AP61" i="27" s="1"/>
  <c r="BJ61" i="27" s="1"/>
  <c r="U61" i="27"/>
  <c r="AI61" i="27" s="1"/>
  <c r="BC61" i="27" s="1"/>
  <c r="AF62" i="27"/>
  <c r="AT62" i="27" s="1"/>
  <c r="Y62" i="27"/>
  <c r="AM62" i="27" s="1"/>
  <c r="AG63" i="27"/>
  <c r="AU63" i="27" s="1"/>
  <c r="Z63" i="27"/>
  <c r="AN63" i="27" s="1"/>
  <c r="AE63" i="27"/>
  <c r="AS63" i="27" s="1"/>
  <c r="X63" i="27"/>
  <c r="AL63" i="27" s="1"/>
  <c r="AA61" i="27"/>
  <c r="AH61" i="27"/>
  <c r="BB61" i="27" s="1"/>
  <c r="W62" i="27"/>
  <c r="AK62" i="27" s="1"/>
  <c r="AD62" i="27"/>
  <c r="AR62" i="27" s="1"/>
  <c r="U63" i="27"/>
  <c r="AI63" i="27" s="1"/>
  <c r="BC63" i="27" s="1"/>
  <c r="AB63" i="27"/>
  <c r="AP63" i="27" s="1"/>
  <c r="BJ63" i="27" s="1"/>
  <c r="Y61" i="27"/>
  <c r="AM61" i="27" s="1"/>
  <c r="AF61" i="27"/>
  <c r="AT61" i="27" s="1"/>
  <c r="AH62" i="27"/>
  <c r="BB62" i="27" s="1"/>
  <c r="AA62" i="27"/>
  <c r="W64" i="27"/>
  <c r="AK64" i="27" s="1"/>
  <c r="AD64" i="27"/>
  <c r="AR64" i="27" s="1"/>
  <c r="Y64" i="27"/>
  <c r="AM64" i="27" s="1"/>
  <c r="AF64" i="27"/>
  <c r="AT64" i="27" s="1"/>
  <c r="V66" i="27"/>
  <c r="AJ66" i="27" s="1"/>
  <c r="BD66" i="27" s="1"/>
  <c r="AC66" i="27"/>
  <c r="AQ66" i="27" s="1"/>
  <c r="BK66" i="27" s="1"/>
  <c r="V64" i="27"/>
  <c r="AJ64" i="27" s="1"/>
  <c r="BD64" i="27" s="1"/>
  <c r="AC64" i="27"/>
  <c r="AQ64" i="27" s="1"/>
  <c r="BK64" i="27" s="1"/>
  <c r="V65" i="27"/>
  <c r="AJ65" i="27" s="1"/>
  <c r="BD65" i="27" s="1"/>
  <c r="AC65" i="27"/>
  <c r="AQ65" i="27" s="1"/>
  <c r="BK65" i="27" s="1"/>
  <c r="X65" i="27"/>
  <c r="AL65" i="27" s="1"/>
  <c r="AE65" i="27"/>
  <c r="AS65" i="27" s="1"/>
  <c r="Z66" i="27"/>
  <c r="AN66" i="27" s="1"/>
  <c r="AG66" i="27"/>
  <c r="AU66" i="27" s="1"/>
  <c r="Z64" i="27"/>
  <c r="AN64" i="27" s="1"/>
  <c r="AG64" i="27"/>
  <c r="AU64" i="27" s="1"/>
  <c r="Y65" i="27"/>
  <c r="AM65" i="27" s="1"/>
  <c r="AF65" i="27"/>
  <c r="AT65" i="27" s="1"/>
  <c r="X66" i="27"/>
  <c r="AL66" i="27" s="1"/>
  <c r="AE66" i="27"/>
  <c r="AS66" i="27" s="1"/>
  <c r="X64" i="27"/>
  <c r="AL64" i="27" s="1"/>
  <c r="AE64" i="27"/>
  <c r="AS64" i="27" s="1"/>
  <c r="W65" i="27"/>
  <c r="AK65" i="27" s="1"/>
  <c r="AD65" i="27"/>
  <c r="AR65" i="27" s="1"/>
  <c r="W66" i="27"/>
  <c r="AK66" i="27" s="1"/>
  <c r="AD66" i="27"/>
  <c r="AR66" i="27" s="1"/>
  <c r="U66" i="27"/>
  <c r="AI66" i="27" s="1"/>
  <c r="BC66" i="27" s="1"/>
  <c r="AB66" i="27"/>
  <c r="AP66" i="27" s="1"/>
  <c r="BJ66" i="27" s="1"/>
  <c r="AH64" i="27"/>
  <c r="BB64" i="27" s="1"/>
  <c r="AA64" i="27"/>
  <c r="AH66" i="27"/>
  <c r="BB66" i="27" s="1"/>
  <c r="AA66" i="27"/>
  <c r="AH65" i="27"/>
  <c r="BB65" i="27" s="1"/>
  <c r="AA65" i="27"/>
  <c r="Z65" i="27"/>
  <c r="AN65" i="27" s="1"/>
  <c r="AG65" i="27"/>
  <c r="AU65" i="27" s="1"/>
  <c r="Y66" i="27"/>
  <c r="AM66" i="27" s="1"/>
  <c r="AF66" i="27"/>
  <c r="AT66" i="27" s="1"/>
  <c r="U64" i="27"/>
  <c r="AI64" i="27" s="1"/>
  <c r="BC64" i="27" s="1"/>
  <c r="AB64" i="27"/>
  <c r="AP64" i="27" s="1"/>
  <c r="BJ64" i="27" s="1"/>
  <c r="U65" i="27"/>
  <c r="AI65" i="27" s="1"/>
  <c r="BC65" i="27" s="1"/>
  <c r="AB65" i="27"/>
  <c r="AP65" i="27" s="1"/>
  <c r="BJ65" i="27" s="1"/>
  <c r="AG50" i="27"/>
  <c r="AU50" i="27" s="1"/>
  <c r="Z50" i="27"/>
  <c r="AN50" i="27" s="1"/>
  <c r="W56" i="27"/>
  <c r="AK56" i="27" s="1"/>
  <c r="AD56" i="27"/>
  <c r="AR56" i="27" s="1"/>
  <c r="AB56" i="27"/>
  <c r="AP56" i="27" s="1"/>
  <c r="BJ56" i="27" s="1"/>
  <c r="U56" i="27"/>
  <c r="AI56" i="27" s="1"/>
  <c r="BC56" i="27" s="1"/>
  <c r="Z57" i="27"/>
  <c r="AN57" i="27" s="1"/>
  <c r="AG57" i="27"/>
  <c r="AU57" i="27" s="1"/>
  <c r="X54" i="27"/>
  <c r="AL54" i="27" s="1"/>
  <c r="AE54" i="27"/>
  <c r="AS54" i="27" s="1"/>
  <c r="AH46" i="27"/>
  <c r="BB46" i="27" s="1"/>
  <c r="AA46" i="27"/>
  <c r="V41" i="27"/>
  <c r="AJ41" i="27" s="1"/>
  <c r="BD41" i="27" s="1"/>
  <c r="AC41" i="27"/>
  <c r="AQ41" i="27" s="1"/>
  <c r="BK41" i="27" s="1"/>
  <c r="V28" i="27"/>
  <c r="AJ28" i="27" s="1"/>
  <c r="BD28" i="27" s="1"/>
  <c r="AC28" i="27"/>
  <c r="AQ28" i="27" s="1"/>
  <c r="BK28" i="27" s="1"/>
  <c r="Y34" i="27"/>
  <c r="AM34" i="27" s="1"/>
  <c r="AF34" i="27"/>
  <c r="AT34" i="27" s="1"/>
  <c r="X56" i="27"/>
  <c r="AL56" i="27" s="1"/>
  <c r="AE56" i="27"/>
  <c r="AS56" i="27" s="1"/>
  <c r="AB36" i="27"/>
  <c r="AP36" i="27" s="1"/>
  <c r="BJ36" i="27" s="1"/>
  <c r="U36" i="27"/>
  <c r="AI36" i="27" s="1"/>
  <c r="BC36" i="27" s="1"/>
  <c r="V45" i="27"/>
  <c r="AJ45" i="27" s="1"/>
  <c r="BD45" i="27" s="1"/>
  <c r="AC45" i="27"/>
  <c r="AQ45" i="27" s="1"/>
  <c r="BK45" i="27" s="1"/>
  <c r="AD51" i="27"/>
  <c r="AR51" i="27" s="1"/>
  <c r="W51" i="27"/>
  <c r="AK51" i="27" s="1"/>
  <c r="Z29" i="27"/>
  <c r="AN29" i="27" s="1"/>
  <c r="BH29" i="27" s="1"/>
  <c r="AG29" i="27"/>
  <c r="AU29" i="27" s="1"/>
  <c r="BO29" i="27" s="1"/>
  <c r="AH42" i="27"/>
  <c r="BB42" i="27" s="1"/>
  <c r="AA42" i="27"/>
  <c r="Y30" i="27"/>
  <c r="AM30" i="27" s="1"/>
  <c r="BG30" i="27" s="1"/>
  <c r="AF30" i="27"/>
  <c r="AT30" i="27" s="1"/>
  <c r="BN30" i="27" s="1"/>
  <c r="U53" i="27"/>
  <c r="AI53" i="27" s="1"/>
  <c r="BC53" i="27" s="1"/>
  <c r="AB53" i="27"/>
  <c r="AP53" i="27" s="1"/>
  <c r="BJ53" i="27" s="1"/>
  <c r="AB60" i="27"/>
  <c r="AP60" i="27" s="1"/>
  <c r="BJ60" i="27" s="1"/>
  <c r="U60" i="27"/>
  <c r="AI60" i="27" s="1"/>
  <c r="BC60" i="27" s="1"/>
  <c r="Z55" i="27"/>
  <c r="AN55" i="27" s="1"/>
  <c r="AG55" i="27"/>
  <c r="AU55" i="27" s="1"/>
  <c r="AF39" i="27"/>
  <c r="AT39" i="27" s="1"/>
  <c r="BN39" i="27" s="1"/>
  <c r="Y39" i="27"/>
  <c r="AM39" i="27" s="1"/>
  <c r="BG39" i="27" s="1"/>
  <c r="AF35" i="27"/>
  <c r="AT35" i="27" s="1"/>
  <c r="Y35" i="27"/>
  <c r="AM35" i="27" s="1"/>
  <c r="W52" i="27"/>
  <c r="AK52" i="27" s="1"/>
  <c r="AD52" i="27"/>
  <c r="AR52" i="27" s="1"/>
  <c r="W37" i="27"/>
  <c r="AK37" i="27" s="1"/>
  <c r="BE37" i="27" s="1"/>
  <c r="AD37" i="27"/>
  <c r="AR37" i="27" s="1"/>
  <c r="BL37" i="27" s="1"/>
  <c r="V33" i="27"/>
  <c r="AJ33" i="27" s="1"/>
  <c r="BD33" i="27" s="1"/>
  <c r="AC33" i="27"/>
  <c r="AQ33" i="27" s="1"/>
  <c r="BK33" i="27" s="1"/>
  <c r="W54" i="27"/>
  <c r="AK54" i="27" s="1"/>
  <c r="AD54" i="27"/>
  <c r="AR54" i="27" s="1"/>
  <c r="AC49" i="27"/>
  <c r="AQ49" i="27" s="1"/>
  <c r="BK49" i="27" s="1"/>
  <c r="V49" i="27"/>
  <c r="AJ49" i="27" s="1"/>
  <c r="BD49" i="27" s="1"/>
  <c r="AH59" i="27"/>
  <c r="BB59" i="27" s="1"/>
  <c r="AA59" i="27"/>
  <c r="AI46" i="27"/>
  <c r="BC46" i="27" s="1"/>
  <c r="AB46" i="27"/>
  <c r="AP46" i="27" s="1"/>
  <c r="BJ46" i="27" s="1"/>
  <c r="X40" i="27"/>
  <c r="AL40" i="27" s="1"/>
  <c r="BF40" i="27" s="1"/>
  <c r="AE40" i="27"/>
  <c r="AS40" i="27" s="1"/>
  <c r="BM40" i="27" s="1"/>
  <c r="Y58" i="27"/>
  <c r="AM58" i="27" s="1"/>
  <c r="AF58" i="27"/>
  <c r="AT58" i="27" s="1"/>
  <c r="X41" i="27"/>
  <c r="AL41" i="27" s="1"/>
  <c r="BF41" i="27" s="1"/>
  <c r="AE41" i="27"/>
  <c r="AS41" i="27" s="1"/>
  <c r="BM41" i="27" s="1"/>
  <c r="V44" i="27"/>
  <c r="AJ44" i="27" s="1"/>
  <c r="BD44" i="27" s="1"/>
  <c r="AC44" i="27"/>
  <c r="AQ44" i="27" s="1"/>
  <c r="BK44" i="27" s="1"/>
  <c r="AH48" i="27"/>
  <c r="BB48" i="27" s="1"/>
  <c r="AA48" i="27"/>
  <c r="W31" i="27"/>
  <c r="AK31" i="27" s="1"/>
  <c r="BE31" i="27" s="1"/>
  <c r="AD31" i="27"/>
  <c r="AR31" i="27" s="1"/>
  <c r="BL31" i="27" s="1"/>
  <c r="AB47" i="27"/>
  <c r="AP47" i="27" s="1"/>
  <c r="BJ47" i="27" s="1"/>
  <c r="U47" i="27"/>
  <c r="AI47" i="27" s="1"/>
  <c r="BC47" i="27" s="1"/>
  <c r="Y38" i="27"/>
  <c r="AM38" i="27" s="1"/>
  <c r="BG38" i="27" s="1"/>
  <c r="AF38" i="27"/>
  <c r="AT38" i="27" s="1"/>
  <c r="BN38" i="27" s="1"/>
  <c r="AB43" i="27"/>
  <c r="AP43" i="27" s="1"/>
  <c r="BJ43" i="27" s="1"/>
  <c r="U43" i="27"/>
  <c r="AI43" i="27" s="1"/>
  <c r="BC43" i="27" s="1"/>
  <c r="AB34" i="27"/>
  <c r="AP34" i="27" s="1"/>
  <c r="BJ34" i="27" s="1"/>
  <c r="U34" i="27"/>
  <c r="AI34" i="27" s="1"/>
  <c r="BC34" i="27" s="1"/>
  <c r="AB30" i="27"/>
  <c r="AP30" i="27" s="1"/>
  <c r="BJ30" i="27" s="1"/>
  <c r="U30" i="27"/>
  <c r="AI30" i="27" s="1"/>
  <c r="BC30" i="27" s="1"/>
  <c r="AH36" i="27"/>
  <c r="BB36" i="27" s="1"/>
  <c r="AA36" i="27"/>
  <c r="AB45" i="27"/>
  <c r="AP45" i="27" s="1"/>
  <c r="BJ45" i="27" s="1"/>
  <c r="U45" i="27"/>
  <c r="AI45" i="27" s="1"/>
  <c r="BC45" i="27" s="1"/>
  <c r="V50" i="27"/>
  <c r="AJ50" i="27" s="1"/>
  <c r="BD50" i="27" s="1"/>
  <c r="AC50" i="27"/>
  <c r="AQ50" i="27" s="1"/>
  <c r="BK50" i="27" s="1"/>
  <c r="AE55" i="27"/>
  <c r="AS55" i="27" s="1"/>
  <c r="X55" i="27"/>
  <c r="AL55" i="27" s="1"/>
  <c r="X49" i="27"/>
  <c r="AL49" i="27" s="1"/>
  <c r="AE49" i="27"/>
  <c r="AS49" i="27" s="1"/>
  <c r="V58" i="27"/>
  <c r="AJ58" i="27" s="1"/>
  <c r="BD58" i="27" s="1"/>
  <c r="AC58" i="27"/>
  <c r="AQ58" i="27" s="1"/>
  <c r="BK58" i="27" s="1"/>
  <c r="X28" i="27"/>
  <c r="AL28" i="27" s="1"/>
  <c r="BF28" i="27" s="1"/>
  <c r="AE28" i="27"/>
  <c r="AS28" i="27" s="1"/>
  <c r="BM28" i="27" s="1"/>
  <c r="AH34" i="27"/>
  <c r="BB34" i="27" s="1"/>
  <c r="AA34" i="27"/>
  <c r="V56" i="27"/>
  <c r="AJ56" i="27" s="1"/>
  <c r="BD56" i="27" s="1"/>
  <c r="AC56" i="27"/>
  <c r="AQ56" i="27" s="1"/>
  <c r="BK56" i="27" s="1"/>
  <c r="X36" i="27"/>
  <c r="AL36" i="27" s="1"/>
  <c r="AE36" i="27"/>
  <c r="AS36" i="27" s="1"/>
  <c r="X45" i="27"/>
  <c r="AL45" i="27" s="1"/>
  <c r="BF45" i="27" s="1"/>
  <c r="AE45" i="27"/>
  <c r="AS45" i="27" s="1"/>
  <c r="BM45" i="27" s="1"/>
  <c r="AE51" i="27"/>
  <c r="AS51" i="27" s="1"/>
  <c r="X51" i="27"/>
  <c r="AL51" i="27" s="1"/>
  <c r="W29" i="27"/>
  <c r="AK29" i="27" s="1"/>
  <c r="BE29" i="27" s="1"/>
  <c r="AD29" i="27"/>
  <c r="AR29" i="27" s="1"/>
  <c r="BL29" i="27" s="1"/>
  <c r="X42" i="27"/>
  <c r="AL42" i="27" s="1"/>
  <c r="BF42" i="27" s="1"/>
  <c r="AE42" i="27"/>
  <c r="AS42" i="27" s="1"/>
  <c r="BM42" i="27" s="1"/>
  <c r="AD50" i="27"/>
  <c r="AR50" i="27" s="1"/>
  <c r="W50" i="27"/>
  <c r="AK50" i="27" s="1"/>
  <c r="AF53" i="27"/>
  <c r="AT53" i="27" s="1"/>
  <c r="Y53" i="27"/>
  <c r="AM53" i="27" s="1"/>
  <c r="Y60" i="27"/>
  <c r="AM60" i="27" s="1"/>
  <c r="AF60" i="27"/>
  <c r="AT60" i="27" s="1"/>
  <c r="AH55" i="27"/>
  <c r="BB55" i="27" s="1"/>
  <c r="AA55" i="27"/>
  <c r="AH39" i="27"/>
  <c r="BB39" i="27" s="1"/>
  <c r="AA39" i="27"/>
  <c r="W57" i="27"/>
  <c r="AK57" i="27" s="1"/>
  <c r="AD57" i="27"/>
  <c r="AR57" i="27" s="1"/>
  <c r="AH52" i="27"/>
  <c r="BB52" i="27" s="1"/>
  <c r="X37" i="27"/>
  <c r="AL37" i="27" s="1"/>
  <c r="BF37" i="27" s="1"/>
  <c r="AE37" i="27"/>
  <c r="AS37" i="27" s="1"/>
  <c r="BM37" i="27" s="1"/>
  <c r="AF33" i="27"/>
  <c r="AT33" i="27" s="1"/>
  <c r="BN33" i="27" s="1"/>
  <c r="Y33" i="27"/>
  <c r="AM33" i="27" s="1"/>
  <c r="BG33" i="27" s="1"/>
  <c r="W49" i="27"/>
  <c r="AK49" i="27" s="1"/>
  <c r="AD49" i="27"/>
  <c r="AR49" i="27" s="1"/>
  <c r="W59" i="27"/>
  <c r="AK59" i="27" s="1"/>
  <c r="AD59" i="27"/>
  <c r="AR59" i="27" s="1"/>
  <c r="X46" i="27"/>
  <c r="AL46" i="27" s="1"/>
  <c r="BF46" i="27" s="1"/>
  <c r="AE46" i="27"/>
  <c r="AS46" i="27" s="1"/>
  <c r="BM46" i="27" s="1"/>
  <c r="V32" i="27"/>
  <c r="AJ32" i="27" s="1"/>
  <c r="BD32" i="27" s="1"/>
  <c r="AC32" i="27"/>
  <c r="AQ32" i="27" s="1"/>
  <c r="BK32" i="27" s="1"/>
  <c r="AF40" i="27"/>
  <c r="AT40" i="27" s="1"/>
  <c r="BN40" i="27" s="1"/>
  <c r="Y40" i="27"/>
  <c r="AM40" i="27" s="1"/>
  <c r="BG40" i="27" s="1"/>
  <c r="AH58" i="27"/>
  <c r="BB58" i="27" s="1"/>
  <c r="AH41" i="27"/>
  <c r="BB41" i="27" s="1"/>
  <c r="AA41" i="27"/>
  <c r="V48" i="27"/>
  <c r="AJ48" i="27" s="1"/>
  <c r="BD48" i="27" s="1"/>
  <c r="AC48" i="27"/>
  <c r="AQ48" i="27" s="1"/>
  <c r="BK48" i="27" s="1"/>
  <c r="U31" i="27"/>
  <c r="AI31" i="27" s="1"/>
  <c r="BC31" i="27" s="1"/>
  <c r="AB31" i="27"/>
  <c r="AP31" i="27" s="1"/>
  <c r="BJ31" i="27" s="1"/>
  <c r="V47" i="27"/>
  <c r="AJ47" i="27" s="1"/>
  <c r="BD47" i="27" s="1"/>
  <c r="AC47" i="27"/>
  <c r="AQ47" i="27" s="1"/>
  <c r="BK47" i="27" s="1"/>
  <c r="Z38" i="27"/>
  <c r="AN38" i="27" s="1"/>
  <c r="BH38" i="27" s="1"/>
  <c r="AG38" i="27"/>
  <c r="AU38" i="27" s="1"/>
  <c r="BO38" i="27" s="1"/>
  <c r="Z45" i="27"/>
  <c r="AN45" i="27" s="1"/>
  <c r="BH45" i="27" s="1"/>
  <c r="AG45" i="27"/>
  <c r="AU45" i="27" s="1"/>
  <c r="BO45" i="27" s="1"/>
  <c r="X50" i="27"/>
  <c r="AL50" i="27" s="1"/>
  <c r="AE50" i="27"/>
  <c r="AS50" i="27" s="1"/>
  <c r="AD34" i="27"/>
  <c r="AR34" i="27" s="1"/>
  <c r="W34" i="27"/>
  <c r="AK34" i="27" s="1"/>
  <c r="AC51" i="27"/>
  <c r="AQ51" i="27" s="1"/>
  <c r="BK51" i="27" s="1"/>
  <c r="V51" i="27"/>
  <c r="AJ51" i="27" s="1"/>
  <c r="BD51" i="27" s="1"/>
  <c r="AE53" i="27"/>
  <c r="AS53" i="27" s="1"/>
  <c r="X53" i="27"/>
  <c r="AL53" i="27" s="1"/>
  <c r="V40" i="27"/>
  <c r="AJ40" i="27" s="1"/>
  <c r="BD40" i="27" s="1"/>
  <c r="AC40" i="27"/>
  <c r="AQ40" i="27" s="1"/>
  <c r="BK40" i="27" s="1"/>
  <c r="Y28" i="27"/>
  <c r="AM28" i="27" s="1"/>
  <c r="BG28" i="27" s="1"/>
  <c r="AF28" i="27"/>
  <c r="AT28" i="27" s="1"/>
  <c r="BN28" i="27" s="1"/>
  <c r="Y56" i="27"/>
  <c r="AM56" i="27" s="1"/>
  <c r="AF56" i="27"/>
  <c r="AT56" i="27" s="1"/>
  <c r="Y36" i="27"/>
  <c r="AM36" i="27" s="1"/>
  <c r="AF36" i="27"/>
  <c r="AT36" i="27" s="1"/>
  <c r="AH45" i="27"/>
  <c r="BB45" i="27" s="1"/>
  <c r="AA45" i="27"/>
  <c r="AF51" i="27"/>
  <c r="AT51" i="27" s="1"/>
  <c r="Y51" i="27"/>
  <c r="AM51" i="27" s="1"/>
  <c r="U29" i="27"/>
  <c r="AI29" i="27" s="1"/>
  <c r="BC29" i="27" s="1"/>
  <c r="AB29" i="27"/>
  <c r="AP29" i="27" s="1"/>
  <c r="BJ29" i="27" s="1"/>
  <c r="AA30" i="27"/>
  <c r="AH30" i="27"/>
  <c r="BB30" i="27" s="1"/>
  <c r="AB50" i="27"/>
  <c r="AP50" i="27" s="1"/>
  <c r="BJ50" i="27" s="1"/>
  <c r="U50" i="27"/>
  <c r="AI50" i="27" s="1"/>
  <c r="BC50" i="27" s="1"/>
  <c r="Z53" i="27"/>
  <c r="AN53" i="27" s="1"/>
  <c r="AG53" i="27"/>
  <c r="AU53" i="27" s="1"/>
  <c r="V60" i="27"/>
  <c r="AJ60" i="27" s="1"/>
  <c r="BD60" i="27" s="1"/>
  <c r="AC60" i="27"/>
  <c r="AQ60" i="27" s="1"/>
  <c r="BK60" i="27" s="1"/>
  <c r="Y55" i="27"/>
  <c r="AM55" i="27" s="1"/>
  <c r="AF55" i="27"/>
  <c r="AT55" i="27" s="1"/>
  <c r="Z35" i="27"/>
  <c r="AN35" i="27" s="1"/>
  <c r="AG35" i="27"/>
  <c r="AU35" i="27" s="1"/>
  <c r="U57" i="27"/>
  <c r="AI57" i="27" s="1"/>
  <c r="BC57" i="27" s="1"/>
  <c r="AB57" i="27"/>
  <c r="AP57" i="27" s="1"/>
  <c r="BJ57" i="27" s="1"/>
  <c r="X52" i="27"/>
  <c r="AL52" i="27" s="1"/>
  <c r="AE52" i="27"/>
  <c r="AS52" i="27" s="1"/>
  <c r="Z37" i="27"/>
  <c r="AN37" i="27" s="1"/>
  <c r="BH37" i="27" s="1"/>
  <c r="AG37" i="27"/>
  <c r="AU37" i="27" s="1"/>
  <c r="BO37" i="27" s="1"/>
  <c r="U33" i="27"/>
  <c r="AI33" i="27" s="1"/>
  <c r="BC33" i="27" s="1"/>
  <c r="AB33" i="27"/>
  <c r="AP33" i="27" s="1"/>
  <c r="BJ33" i="27" s="1"/>
  <c r="U54" i="27"/>
  <c r="AI54" i="27" s="1"/>
  <c r="BC54" i="27" s="1"/>
  <c r="AB54" i="27"/>
  <c r="AP54" i="27" s="1"/>
  <c r="BJ54" i="27" s="1"/>
  <c r="AA49" i="27"/>
  <c r="AH49" i="27"/>
  <c r="BB49" i="27" s="1"/>
  <c r="Z59" i="27"/>
  <c r="AN59" i="27" s="1"/>
  <c r="AG59" i="27"/>
  <c r="AU59" i="27" s="1"/>
  <c r="Z32" i="27"/>
  <c r="AN32" i="27" s="1"/>
  <c r="BH32" i="27" s="1"/>
  <c r="AG32" i="27"/>
  <c r="AU32" i="27" s="1"/>
  <c r="BO32" i="27" s="1"/>
  <c r="Z40" i="27"/>
  <c r="AN40" i="27" s="1"/>
  <c r="BH40" i="27" s="1"/>
  <c r="AG40" i="27"/>
  <c r="AU40" i="27" s="1"/>
  <c r="BO40" i="27" s="1"/>
  <c r="AB58" i="27"/>
  <c r="AP58" i="27" s="1"/>
  <c r="BJ58" i="27" s="1"/>
  <c r="U58" i="27"/>
  <c r="AI58" i="27" s="1"/>
  <c r="BC58" i="27" s="1"/>
  <c r="X44" i="27"/>
  <c r="AL44" i="27" s="1"/>
  <c r="BF44" i="27" s="1"/>
  <c r="AE44" i="27"/>
  <c r="AS44" i="27" s="1"/>
  <c r="BM44" i="27" s="1"/>
  <c r="AD48" i="27"/>
  <c r="AR48" i="27" s="1"/>
  <c r="BL48" i="27" s="1"/>
  <c r="W48" i="27"/>
  <c r="AK48" i="27" s="1"/>
  <c r="BE48" i="27" s="1"/>
  <c r="AF31" i="27"/>
  <c r="AT31" i="27" s="1"/>
  <c r="BN31" i="27" s="1"/>
  <c r="Y31" i="27"/>
  <c r="AM31" i="27" s="1"/>
  <c r="BG31" i="27" s="1"/>
  <c r="Z47" i="27"/>
  <c r="AN47" i="27" s="1"/>
  <c r="BH47" i="27" s="1"/>
  <c r="AG47" i="27"/>
  <c r="AU47" i="27" s="1"/>
  <c r="BO47" i="27" s="1"/>
  <c r="AB38" i="27"/>
  <c r="AP38" i="27" s="1"/>
  <c r="BJ38" i="27" s="1"/>
  <c r="U38" i="27"/>
  <c r="AI38" i="27" s="1"/>
  <c r="BC38" i="27" s="1"/>
  <c r="V43" i="27"/>
  <c r="AJ43" i="27" s="1"/>
  <c r="BD43" i="27" s="1"/>
  <c r="AC43" i="27"/>
  <c r="AQ43" i="27" s="1"/>
  <c r="BK43" i="27" s="1"/>
  <c r="AD36" i="27"/>
  <c r="AR36" i="27" s="1"/>
  <c r="W36" i="27"/>
  <c r="AK36" i="27" s="1"/>
  <c r="W42" i="27"/>
  <c r="AK42" i="27" s="1"/>
  <c r="BE42" i="27" s="1"/>
  <c r="AD42" i="27"/>
  <c r="AR42" i="27" s="1"/>
  <c r="BL42" i="27" s="1"/>
  <c r="V42" i="27"/>
  <c r="AJ42" i="27" s="1"/>
  <c r="BD42" i="27" s="1"/>
  <c r="AC42" i="27"/>
  <c r="AQ42" i="27" s="1"/>
  <c r="BK42" i="27" s="1"/>
  <c r="U39" i="27"/>
  <c r="AI39" i="27" s="1"/>
  <c r="BC39" i="27" s="1"/>
  <c r="AB39" i="27"/>
  <c r="AP39" i="27" s="1"/>
  <c r="BJ39" i="27" s="1"/>
  <c r="Z34" i="27"/>
  <c r="AN34" i="27" s="1"/>
  <c r="AG34" i="27"/>
  <c r="AU34" i="27" s="1"/>
  <c r="Z56" i="27"/>
  <c r="AN56" i="27" s="1"/>
  <c r="AG56" i="27"/>
  <c r="AU56" i="27" s="1"/>
  <c r="Z36" i="27"/>
  <c r="AN36" i="27" s="1"/>
  <c r="AG36" i="27"/>
  <c r="AU36" i="27" s="1"/>
  <c r="Y45" i="27"/>
  <c r="AM45" i="27" s="1"/>
  <c r="BG45" i="27" s="1"/>
  <c r="AF45" i="27"/>
  <c r="AT45" i="27" s="1"/>
  <c r="BN45" i="27" s="1"/>
  <c r="AH51" i="27"/>
  <c r="BB51" i="27" s="1"/>
  <c r="AA51" i="27"/>
  <c r="U42" i="27"/>
  <c r="AI42" i="27" s="1"/>
  <c r="BC42" i="27" s="1"/>
  <c r="AB42" i="27"/>
  <c r="AP42" i="27" s="1"/>
  <c r="BJ42" i="27" s="1"/>
  <c r="Z30" i="27"/>
  <c r="AN30" i="27" s="1"/>
  <c r="BH30" i="27" s="1"/>
  <c r="AG30" i="27"/>
  <c r="AU30" i="27" s="1"/>
  <c r="BO30" i="27" s="1"/>
  <c r="AA50" i="27"/>
  <c r="AH50" i="27"/>
  <c r="BB50" i="27" s="1"/>
  <c r="W53" i="27"/>
  <c r="AK53" i="27" s="1"/>
  <c r="AD53" i="27"/>
  <c r="AR53" i="27" s="1"/>
  <c r="Z60" i="27"/>
  <c r="AN60" i="27" s="1"/>
  <c r="AG60" i="27"/>
  <c r="AU60" i="27" s="1"/>
  <c r="Z39" i="27"/>
  <c r="AN39" i="27" s="1"/>
  <c r="BH39" i="27" s="1"/>
  <c r="AG39" i="27"/>
  <c r="AU39" i="27" s="1"/>
  <c r="BO39" i="27" s="1"/>
  <c r="V35" i="27"/>
  <c r="AJ35" i="27" s="1"/>
  <c r="BD35" i="27" s="1"/>
  <c r="AC35" i="27"/>
  <c r="AQ35" i="27" s="1"/>
  <c r="BK35" i="27" s="1"/>
  <c r="AF57" i="27"/>
  <c r="AT57" i="27" s="1"/>
  <c r="Y57" i="27"/>
  <c r="AM57" i="27" s="1"/>
  <c r="Z52" i="27"/>
  <c r="AN52" i="27" s="1"/>
  <c r="AG52" i="27"/>
  <c r="AU52" i="27" s="1"/>
  <c r="AH37" i="27"/>
  <c r="BB37" i="27" s="1"/>
  <c r="AA37" i="27"/>
  <c r="Y54" i="27"/>
  <c r="AM54" i="27" s="1"/>
  <c r="AF54" i="27"/>
  <c r="AT54" i="27" s="1"/>
  <c r="Y49" i="27"/>
  <c r="AM49" i="27" s="1"/>
  <c r="AF49" i="27"/>
  <c r="AT49" i="27" s="1"/>
  <c r="U59" i="27"/>
  <c r="AI59" i="27" s="1"/>
  <c r="BC59" i="27" s="1"/>
  <c r="AB59" i="27"/>
  <c r="AP59" i="27" s="1"/>
  <c r="BJ59" i="27" s="1"/>
  <c r="Z46" i="27"/>
  <c r="AN46" i="27" s="1"/>
  <c r="BH46" i="27" s="1"/>
  <c r="AG46" i="27"/>
  <c r="AU46" i="27" s="1"/>
  <c r="BO46" i="27" s="1"/>
  <c r="AH32" i="27"/>
  <c r="BB32" i="27" s="1"/>
  <c r="AA32" i="27"/>
  <c r="Z41" i="27"/>
  <c r="AN41" i="27" s="1"/>
  <c r="BH41" i="27" s="1"/>
  <c r="AG41" i="27"/>
  <c r="AU41" i="27" s="1"/>
  <c r="BO41" i="27" s="1"/>
  <c r="AH44" i="27"/>
  <c r="BB44" i="27" s="1"/>
  <c r="AA44" i="27"/>
  <c r="U48" i="27"/>
  <c r="AI48" i="27" s="1"/>
  <c r="BC48" i="27" s="1"/>
  <c r="AB48" i="27"/>
  <c r="AP48" i="27" s="1"/>
  <c r="BJ48" i="27" s="1"/>
  <c r="AC31" i="27"/>
  <c r="AQ31" i="27" s="1"/>
  <c r="BK31" i="27" s="1"/>
  <c r="V31" i="27"/>
  <c r="AJ31" i="27" s="1"/>
  <c r="BD31" i="27" s="1"/>
  <c r="AD47" i="27"/>
  <c r="AR47" i="27" s="1"/>
  <c r="BL47" i="27" s="1"/>
  <c r="W47" i="27"/>
  <c r="AK47" i="27" s="1"/>
  <c r="BE47" i="27" s="1"/>
  <c r="V38" i="27"/>
  <c r="AJ38" i="27" s="1"/>
  <c r="BD38" i="27" s="1"/>
  <c r="AC38" i="27"/>
  <c r="AQ38" i="27" s="1"/>
  <c r="BK38" i="27" s="1"/>
  <c r="AH43" i="27"/>
  <c r="BB43" i="27" s="1"/>
  <c r="AA43" i="27"/>
  <c r="AF42" i="27"/>
  <c r="AT42" i="27" s="1"/>
  <c r="BN42" i="27" s="1"/>
  <c r="Y42" i="27"/>
  <c r="AM42" i="27" s="1"/>
  <c r="BG42" i="27" s="1"/>
  <c r="AH53" i="27"/>
  <c r="BB53" i="27" s="1"/>
  <c r="AA53" i="27"/>
  <c r="W55" i="27"/>
  <c r="AK55" i="27" s="1"/>
  <c r="AD55" i="27"/>
  <c r="AR55" i="27" s="1"/>
  <c r="V39" i="27"/>
  <c r="AJ39" i="27" s="1"/>
  <c r="BD39" i="27" s="1"/>
  <c r="AC39" i="27"/>
  <c r="AQ39" i="27" s="1"/>
  <c r="BK39" i="27" s="1"/>
  <c r="U35" i="27"/>
  <c r="AI35" i="27" s="1"/>
  <c r="BC35" i="27" s="1"/>
  <c r="AB35" i="27"/>
  <c r="AP35" i="27" s="1"/>
  <c r="BJ35" i="27" s="1"/>
  <c r="AE57" i="27"/>
  <c r="AS57" i="27" s="1"/>
  <c r="X57" i="27"/>
  <c r="AL57" i="27" s="1"/>
  <c r="Y52" i="27"/>
  <c r="AM52" i="27" s="1"/>
  <c r="AF52" i="27"/>
  <c r="AT52" i="27" s="1"/>
  <c r="U37" i="27"/>
  <c r="AI37" i="27" s="1"/>
  <c r="BC37" i="27" s="1"/>
  <c r="AB37" i="27"/>
  <c r="AP37" i="27" s="1"/>
  <c r="BJ37" i="27" s="1"/>
  <c r="AH33" i="27"/>
  <c r="BB33" i="27" s="1"/>
  <c r="AA33" i="27"/>
  <c r="V54" i="27"/>
  <c r="AJ54" i="27" s="1"/>
  <c r="BD54" i="27" s="1"/>
  <c r="AC54" i="27"/>
  <c r="AQ54" i="27" s="1"/>
  <c r="BK54" i="27" s="1"/>
  <c r="U49" i="27"/>
  <c r="AI49" i="27" s="1"/>
  <c r="BC49" i="27" s="1"/>
  <c r="AB49" i="27"/>
  <c r="AP49" i="27" s="1"/>
  <c r="BJ49" i="27" s="1"/>
  <c r="AF46" i="27"/>
  <c r="AT46" i="27" s="1"/>
  <c r="BN46" i="27" s="1"/>
  <c r="Y46" i="27"/>
  <c r="AM46" i="27" s="1"/>
  <c r="BG46" i="27" s="1"/>
  <c r="U32" i="27"/>
  <c r="AI32" i="27" s="1"/>
  <c r="BC32" i="27" s="1"/>
  <c r="AB32" i="27"/>
  <c r="AP32" i="27" s="1"/>
  <c r="BJ32" i="27" s="1"/>
  <c r="X58" i="27"/>
  <c r="AL58" i="27" s="1"/>
  <c r="AE58" i="27"/>
  <c r="AS58" i="27" s="1"/>
  <c r="AB41" i="27"/>
  <c r="AP41" i="27" s="1"/>
  <c r="BJ41" i="27" s="1"/>
  <c r="U41" i="27"/>
  <c r="AI41" i="27" s="1"/>
  <c r="BC41" i="27" s="1"/>
  <c r="AF44" i="27"/>
  <c r="AT44" i="27" s="1"/>
  <c r="BN44" i="27" s="1"/>
  <c r="Y44" i="27"/>
  <c r="AM44" i="27" s="1"/>
  <c r="BG44" i="27" s="1"/>
  <c r="X48" i="27"/>
  <c r="AL48" i="27" s="1"/>
  <c r="BF48" i="27" s="1"/>
  <c r="AE48" i="27"/>
  <c r="AS48" i="27" s="1"/>
  <c r="BM48" i="27" s="1"/>
  <c r="AG31" i="27"/>
  <c r="AU31" i="27" s="1"/>
  <c r="BO31" i="27" s="1"/>
  <c r="Z31" i="27"/>
  <c r="AN31" i="27" s="1"/>
  <c r="BH31" i="27" s="1"/>
  <c r="AH47" i="27"/>
  <c r="BB47" i="27" s="1"/>
  <c r="AA47" i="27"/>
  <c r="AD43" i="27"/>
  <c r="AR43" i="27" s="1"/>
  <c r="BL43" i="27" s="1"/>
  <c r="W43" i="27"/>
  <c r="AK43" i="27" s="1"/>
  <c r="BE43" i="27" s="1"/>
  <c r="U51" i="27"/>
  <c r="AI51" i="27" s="1"/>
  <c r="BC51" i="27" s="1"/>
  <c r="AB51" i="27"/>
  <c r="AP51" i="27" s="1"/>
  <c r="BJ51" i="27" s="1"/>
  <c r="W60" i="27"/>
  <c r="AK60" i="27" s="1"/>
  <c r="AD60" i="27"/>
  <c r="AR60" i="27" s="1"/>
  <c r="U55" i="27"/>
  <c r="AI55" i="27" s="1"/>
  <c r="BC55" i="27" s="1"/>
  <c r="AB55" i="27"/>
  <c r="AP55" i="27" s="1"/>
  <c r="BJ55" i="27" s="1"/>
  <c r="W39" i="27"/>
  <c r="AK39" i="27" s="1"/>
  <c r="BE39" i="27" s="1"/>
  <c r="AD39" i="27"/>
  <c r="AR39" i="27" s="1"/>
  <c r="BL39" i="27" s="1"/>
  <c r="W35" i="27"/>
  <c r="AK35" i="27" s="1"/>
  <c r="AD35" i="27"/>
  <c r="AR35" i="27" s="1"/>
  <c r="V57" i="27"/>
  <c r="AJ57" i="27" s="1"/>
  <c r="BD57" i="27" s="1"/>
  <c r="AC57" i="27"/>
  <c r="AQ57" i="27" s="1"/>
  <c r="BK57" i="27" s="1"/>
  <c r="U52" i="27"/>
  <c r="AI52" i="27" s="1"/>
  <c r="BC52" i="27" s="1"/>
  <c r="AB52" i="27"/>
  <c r="AP52" i="27" s="1"/>
  <c r="BJ52" i="27" s="1"/>
  <c r="Z33" i="27"/>
  <c r="AN33" i="27" s="1"/>
  <c r="BH33" i="27" s="1"/>
  <c r="AG33" i="27"/>
  <c r="AU33" i="27" s="1"/>
  <c r="BO33" i="27" s="1"/>
  <c r="Z54" i="27"/>
  <c r="AN54" i="27" s="1"/>
  <c r="AG54" i="27"/>
  <c r="AU54" i="27" s="1"/>
  <c r="AF59" i="27"/>
  <c r="AT59" i="27" s="1"/>
  <c r="Y59" i="27"/>
  <c r="AM59" i="27" s="1"/>
  <c r="W46" i="27"/>
  <c r="AK46" i="27" s="1"/>
  <c r="BE46" i="27" s="1"/>
  <c r="AD46" i="27"/>
  <c r="AR46" i="27" s="1"/>
  <c r="BL46" i="27" s="1"/>
  <c r="AD32" i="27"/>
  <c r="AR32" i="27" s="1"/>
  <c r="BL32" i="27" s="1"/>
  <c r="W32" i="27"/>
  <c r="AK32" i="27" s="1"/>
  <c r="BE32" i="27" s="1"/>
  <c r="W40" i="27"/>
  <c r="AK40" i="27" s="1"/>
  <c r="BE40" i="27" s="1"/>
  <c r="AD40" i="27"/>
  <c r="AR40" i="27" s="1"/>
  <c r="BL40" i="27" s="1"/>
  <c r="W58" i="27"/>
  <c r="AK58" i="27" s="1"/>
  <c r="AD58" i="27"/>
  <c r="AR58" i="27" s="1"/>
  <c r="Y41" i="27"/>
  <c r="AM41" i="27" s="1"/>
  <c r="BG41" i="27" s="1"/>
  <c r="AF41" i="27"/>
  <c r="AT41" i="27" s="1"/>
  <c r="BN41" i="27" s="1"/>
  <c r="Z44" i="27"/>
  <c r="AN44" i="27" s="1"/>
  <c r="BH44" i="27" s="1"/>
  <c r="AG44" i="27"/>
  <c r="AU44" i="27" s="1"/>
  <c r="BO44" i="27" s="1"/>
  <c r="AE31" i="27"/>
  <c r="AS31" i="27" s="1"/>
  <c r="BM31" i="27" s="1"/>
  <c r="X31" i="27"/>
  <c r="AL31" i="27" s="1"/>
  <c r="BF31" i="27" s="1"/>
  <c r="AD38" i="27"/>
  <c r="AR38" i="27" s="1"/>
  <c r="BL38" i="27" s="1"/>
  <c r="W38" i="27"/>
  <c r="AK38" i="27" s="1"/>
  <c r="BE38" i="27" s="1"/>
  <c r="X43" i="27"/>
  <c r="AL43" i="27" s="1"/>
  <c r="BF43" i="27" s="1"/>
  <c r="AE43" i="27"/>
  <c r="AS43" i="27" s="1"/>
  <c r="BM43" i="27" s="1"/>
  <c r="Z28" i="27"/>
  <c r="AN28" i="27" s="1"/>
  <c r="BH28" i="27" s="1"/>
  <c r="AG28" i="27"/>
  <c r="AU28" i="27" s="1"/>
  <c r="BO28" i="27" s="1"/>
  <c r="V29" i="27"/>
  <c r="AJ29" i="27" s="1"/>
  <c r="BD29" i="27" s="1"/>
  <c r="AC29" i="27"/>
  <c r="AQ29" i="27" s="1"/>
  <c r="BK29" i="27" s="1"/>
  <c r="V34" i="27"/>
  <c r="AJ34" i="27" s="1"/>
  <c r="BD34" i="27" s="1"/>
  <c r="AC34" i="27"/>
  <c r="AQ34" i="27" s="1"/>
  <c r="BK34" i="27" s="1"/>
  <c r="V30" i="27"/>
  <c r="AJ30" i="27" s="1"/>
  <c r="BD30" i="27" s="1"/>
  <c r="AC30" i="27"/>
  <c r="AQ30" i="27" s="1"/>
  <c r="BK30" i="27" s="1"/>
  <c r="AB28" i="27"/>
  <c r="AP28" i="27" s="1"/>
  <c r="BJ28" i="27" s="1"/>
  <c r="U28" i="27"/>
  <c r="AI28" i="27" s="1"/>
  <c r="BC28" i="27" s="1"/>
  <c r="Y29" i="27"/>
  <c r="AM29" i="27" s="1"/>
  <c r="BG29" i="27" s="1"/>
  <c r="AF29" i="27"/>
  <c r="AT29" i="27" s="1"/>
  <c r="BN29" i="27" s="1"/>
  <c r="X60" i="27"/>
  <c r="AL60" i="27" s="1"/>
  <c r="AE60" i="27"/>
  <c r="AS60" i="27" s="1"/>
  <c r="V37" i="27"/>
  <c r="AJ37" i="27" s="1"/>
  <c r="BD37" i="27" s="1"/>
  <c r="AC37" i="27"/>
  <c r="AQ37" i="27" s="1"/>
  <c r="BK37" i="27" s="1"/>
  <c r="X32" i="27"/>
  <c r="AL32" i="27" s="1"/>
  <c r="BF32" i="27" s="1"/>
  <c r="AE32" i="27"/>
  <c r="AS32" i="27" s="1"/>
  <c r="BM32" i="27" s="1"/>
  <c r="AG48" i="27"/>
  <c r="AU48" i="27" s="1"/>
  <c r="BO48" i="27" s="1"/>
  <c r="Z48" i="27"/>
  <c r="AN48" i="27" s="1"/>
  <c r="BH48" i="27" s="1"/>
  <c r="AH31" i="27"/>
  <c r="BB31" i="27" s="1"/>
  <c r="AA31" i="27"/>
  <c r="X47" i="27"/>
  <c r="AL47" i="27" s="1"/>
  <c r="BF47" i="27" s="1"/>
  <c r="AE47" i="27"/>
  <c r="AS47" i="27" s="1"/>
  <c r="BM47" i="27" s="1"/>
  <c r="AH38" i="27"/>
  <c r="BB38" i="27" s="1"/>
  <c r="AA38" i="27"/>
  <c r="Y43" i="27"/>
  <c r="AM43" i="27" s="1"/>
  <c r="BG43" i="27" s="1"/>
  <c r="AF43" i="27"/>
  <c r="AT43" i="27" s="1"/>
  <c r="BN43" i="27" s="1"/>
  <c r="AA56" i="27"/>
  <c r="AH56" i="27"/>
  <c r="BB56" i="27" s="1"/>
  <c r="AA28" i="27"/>
  <c r="AE29" i="27"/>
  <c r="AS29" i="27" s="1"/>
  <c r="BM29" i="27" s="1"/>
  <c r="X29" i="27"/>
  <c r="AL29" i="27" s="1"/>
  <c r="BF29" i="27" s="1"/>
  <c r="W30" i="27"/>
  <c r="AK30" i="27" s="1"/>
  <c r="BE30" i="27" s="1"/>
  <c r="AD30" i="27"/>
  <c r="AR30" i="27" s="1"/>
  <c r="BL30" i="27" s="1"/>
  <c r="AH35" i="27"/>
  <c r="BB35" i="27" s="1"/>
  <c r="AA35" i="27"/>
  <c r="X33" i="27"/>
  <c r="AL33" i="27" s="1"/>
  <c r="BF33" i="27" s="1"/>
  <c r="AE33" i="27"/>
  <c r="AS33" i="27" s="1"/>
  <c r="BM33" i="27" s="1"/>
  <c r="V59" i="27"/>
  <c r="AJ59" i="27" s="1"/>
  <c r="BD59" i="27" s="1"/>
  <c r="AC59" i="27"/>
  <c r="AQ59" i="27" s="1"/>
  <c r="BK59" i="27" s="1"/>
  <c r="U44" i="27"/>
  <c r="AI44" i="27" s="1"/>
  <c r="BC44" i="27" s="1"/>
  <c r="AP44" i="27"/>
  <c r="BJ44" i="27" s="1"/>
  <c r="W28" i="27"/>
  <c r="AK28" i="27" s="1"/>
  <c r="BE28" i="27" s="1"/>
  <c r="AD28" i="27"/>
  <c r="AR28" i="27" s="1"/>
  <c r="BL28" i="27" s="1"/>
  <c r="X34" i="27"/>
  <c r="AL34" i="27" s="1"/>
  <c r="AE34" i="27"/>
  <c r="AS34" i="27" s="1"/>
  <c r="V36" i="27"/>
  <c r="AJ36" i="27" s="1"/>
  <c r="BD36" i="27" s="1"/>
  <c r="AC36" i="27"/>
  <c r="AQ36" i="27" s="1"/>
  <c r="BK36" i="27" s="1"/>
  <c r="AD45" i="27"/>
  <c r="AR45" i="27" s="1"/>
  <c r="BL45" i="27" s="1"/>
  <c r="W45" i="27"/>
  <c r="AK45" i="27" s="1"/>
  <c r="BE45" i="27" s="1"/>
  <c r="Z51" i="27"/>
  <c r="AN51" i="27" s="1"/>
  <c r="AG51" i="27"/>
  <c r="AU51" i="27" s="1"/>
  <c r="AH29" i="27"/>
  <c r="BB29" i="27" s="1"/>
  <c r="AA29" i="27"/>
  <c r="Z42" i="27"/>
  <c r="AN42" i="27" s="1"/>
  <c r="BH42" i="27" s="1"/>
  <c r="AG42" i="27"/>
  <c r="AU42" i="27" s="1"/>
  <c r="BO42" i="27" s="1"/>
  <c r="X30" i="27"/>
  <c r="AL30" i="27" s="1"/>
  <c r="BF30" i="27" s="1"/>
  <c r="AE30" i="27"/>
  <c r="AS30" i="27" s="1"/>
  <c r="BM30" i="27" s="1"/>
  <c r="Y50" i="27"/>
  <c r="AM50" i="27" s="1"/>
  <c r="AF50" i="27"/>
  <c r="AT50" i="27" s="1"/>
  <c r="V53" i="27"/>
  <c r="AJ53" i="27" s="1"/>
  <c r="BD53" i="27" s="1"/>
  <c r="AC53" i="27"/>
  <c r="AQ53" i="27" s="1"/>
  <c r="BK53" i="27" s="1"/>
  <c r="AA60" i="27"/>
  <c r="AH60" i="27"/>
  <c r="BB60" i="27" s="1"/>
  <c r="V55" i="27"/>
  <c r="AJ55" i="27" s="1"/>
  <c r="BD55" i="27" s="1"/>
  <c r="AC55" i="27"/>
  <c r="AQ55" i="27" s="1"/>
  <c r="BK55" i="27" s="1"/>
  <c r="X39" i="27"/>
  <c r="AL39" i="27" s="1"/>
  <c r="BF39" i="27" s="1"/>
  <c r="AE39" i="27"/>
  <c r="AS39" i="27" s="1"/>
  <c r="BM39" i="27" s="1"/>
  <c r="X35" i="27"/>
  <c r="AL35" i="27" s="1"/>
  <c r="AE35" i="27"/>
  <c r="AS35" i="27" s="1"/>
  <c r="AH57" i="27"/>
  <c r="BB57" i="27" s="1"/>
  <c r="AA57" i="27"/>
  <c r="V52" i="27"/>
  <c r="AJ52" i="27" s="1"/>
  <c r="BD52" i="27" s="1"/>
  <c r="AC52" i="27"/>
  <c r="AQ52" i="27" s="1"/>
  <c r="BK52" i="27" s="1"/>
  <c r="AF37" i="27"/>
  <c r="AT37" i="27" s="1"/>
  <c r="BN37" i="27" s="1"/>
  <c r="Y37" i="27"/>
  <c r="AM37" i="27" s="1"/>
  <c r="BG37" i="27" s="1"/>
  <c r="W33" i="27"/>
  <c r="AK33" i="27" s="1"/>
  <c r="BE33" i="27" s="1"/>
  <c r="AD33" i="27"/>
  <c r="AR33" i="27" s="1"/>
  <c r="BL33" i="27" s="1"/>
  <c r="AA54" i="27"/>
  <c r="AH54" i="27"/>
  <c r="BB54" i="27" s="1"/>
  <c r="Z49" i="27"/>
  <c r="AN49" i="27" s="1"/>
  <c r="AG49" i="27"/>
  <c r="AU49" i="27" s="1"/>
  <c r="AE59" i="27"/>
  <c r="AS59" i="27" s="1"/>
  <c r="X59" i="27"/>
  <c r="AL59" i="27" s="1"/>
  <c r="V46" i="27"/>
  <c r="AJ46" i="27" s="1"/>
  <c r="BD46" i="27" s="1"/>
  <c r="AC46" i="27"/>
  <c r="AQ46" i="27" s="1"/>
  <c r="BK46" i="27" s="1"/>
  <c r="Y32" i="27"/>
  <c r="AM32" i="27" s="1"/>
  <c r="BG32" i="27" s="1"/>
  <c r="AF32" i="27"/>
  <c r="AT32" i="27" s="1"/>
  <c r="BN32" i="27" s="1"/>
  <c r="U40" i="27"/>
  <c r="AI40" i="27" s="1"/>
  <c r="BC40" i="27" s="1"/>
  <c r="AB40" i="27"/>
  <c r="AP40" i="27" s="1"/>
  <c r="BJ40" i="27" s="1"/>
  <c r="Z58" i="27"/>
  <c r="AN58" i="27" s="1"/>
  <c r="AG58" i="27"/>
  <c r="AU58" i="27" s="1"/>
  <c r="AD41" i="27"/>
  <c r="AR41" i="27" s="1"/>
  <c r="BL41" i="27" s="1"/>
  <c r="W41" i="27"/>
  <c r="AK41" i="27" s="1"/>
  <c r="BE41" i="27" s="1"/>
  <c r="W44" i="27"/>
  <c r="AK44" i="27" s="1"/>
  <c r="BE44" i="27" s="1"/>
  <c r="AD44" i="27"/>
  <c r="AR44" i="27" s="1"/>
  <c r="BL44" i="27" s="1"/>
  <c r="Y48" i="27"/>
  <c r="AM48" i="27" s="1"/>
  <c r="BG48" i="27" s="1"/>
  <c r="AF48" i="27"/>
  <c r="AT48" i="27" s="1"/>
  <c r="BN48" i="27" s="1"/>
  <c r="Y47" i="27"/>
  <c r="AM47" i="27" s="1"/>
  <c r="BG47" i="27" s="1"/>
  <c r="AF47" i="27"/>
  <c r="AT47" i="27" s="1"/>
  <c r="BN47" i="27" s="1"/>
  <c r="X38" i="27"/>
  <c r="AL38" i="27" s="1"/>
  <c r="BF38" i="27" s="1"/>
  <c r="AE38" i="27"/>
  <c r="AS38" i="27" s="1"/>
  <c r="BM38" i="27" s="1"/>
  <c r="Z43" i="27"/>
  <c r="AN43" i="27" s="1"/>
  <c r="BH43" i="27" s="1"/>
  <c r="AG43" i="27"/>
  <c r="AU43" i="27" s="1"/>
  <c r="BO43" i="27" s="1"/>
  <c r="AV25" i="27" l="1"/>
  <c r="AO25" i="27"/>
  <c r="BI25" i="27" s="1"/>
  <c r="BA25" i="27"/>
  <c r="AW25" i="27"/>
  <c r="AL25" i="27"/>
  <c r="BF25" i="27" s="1"/>
  <c r="AX25" i="27"/>
  <c r="AY38" i="27"/>
  <c r="AO38" i="27"/>
  <c r="BI38" i="27" s="1"/>
  <c r="AY40" i="27"/>
  <c r="AO40" i="27"/>
  <c r="BI40" i="27" s="1"/>
  <c r="AY34" i="27"/>
  <c r="AO34" i="27"/>
  <c r="BI34" i="27" s="1"/>
  <c r="AY66" i="27"/>
  <c r="AO66" i="27"/>
  <c r="BI66" i="27" s="1"/>
  <c r="AY37" i="27"/>
  <c r="AO37" i="27"/>
  <c r="BI37" i="27" s="1"/>
  <c r="AY48" i="27"/>
  <c r="AO48" i="27"/>
  <c r="BI48" i="27" s="1"/>
  <c r="AY42" i="27"/>
  <c r="AO42" i="27"/>
  <c r="BI42" i="27" s="1"/>
  <c r="AY64" i="27"/>
  <c r="AO64" i="27"/>
  <c r="BI64" i="27" s="1"/>
  <c r="AY54" i="27"/>
  <c r="AO54" i="27"/>
  <c r="BI54" i="27" s="1"/>
  <c r="AY52" i="27"/>
  <c r="AO52" i="27"/>
  <c r="BI52" i="27" s="1"/>
  <c r="AY31" i="27"/>
  <c r="AO31" i="27"/>
  <c r="BI31" i="27" s="1"/>
  <c r="AY51" i="27"/>
  <c r="AO51" i="27"/>
  <c r="BI51" i="27" s="1"/>
  <c r="AY59" i="27"/>
  <c r="AO59" i="27"/>
  <c r="BI59" i="27" s="1"/>
  <c r="AY56" i="27"/>
  <c r="AO56" i="27"/>
  <c r="BI56" i="27" s="1"/>
  <c r="AY35" i="27"/>
  <c r="AO35" i="27"/>
  <c r="BI35" i="27" s="1"/>
  <c r="AY41" i="27"/>
  <c r="AO41" i="27"/>
  <c r="BI41" i="27" s="1"/>
  <c r="AY30" i="27"/>
  <c r="AO30" i="27"/>
  <c r="BI30" i="27" s="1"/>
  <c r="AY29" i="27"/>
  <c r="AO29" i="27"/>
  <c r="BI29" i="27" s="1"/>
  <c r="AY44" i="27"/>
  <c r="AO44" i="27"/>
  <c r="BI44" i="27" s="1"/>
  <c r="AY32" i="27"/>
  <c r="AO32" i="27"/>
  <c r="BI32" i="27" s="1"/>
  <c r="AY39" i="27"/>
  <c r="AO39" i="27"/>
  <c r="BI39" i="27" s="1"/>
  <c r="AY62" i="27"/>
  <c r="AO62" i="27"/>
  <c r="BI62" i="27" s="1"/>
  <c r="AY49" i="27"/>
  <c r="AO49" i="27"/>
  <c r="BI49" i="27" s="1"/>
  <c r="AY58" i="27"/>
  <c r="AO58" i="27"/>
  <c r="BI58" i="27" s="1"/>
  <c r="AY43" i="27"/>
  <c r="AO43" i="27"/>
  <c r="BI43" i="27" s="1"/>
  <c r="AY61" i="27"/>
  <c r="AO61" i="27"/>
  <c r="BI61" i="27" s="1"/>
  <c r="AY36" i="27"/>
  <c r="AO36" i="27"/>
  <c r="BI36" i="27" s="1"/>
  <c r="AY33" i="27"/>
  <c r="AO33" i="27"/>
  <c r="BI33" i="27" s="1"/>
  <c r="AY60" i="27"/>
  <c r="AO60" i="27"/>
  <c r="BI60" i="27" s="1"/>
  <c r="AY47" i="27"/>
  <c r="AO47" i="27"/>
  <c r="BI47" i="27" s="1"/>
  <c r="AY55" i="27"/>
  <c r="AO55" i="27"/>
  <c r="BI55" i="27" s="1"/>
  <c r="AY46" i="27"/>
  <c r="AO46" i="27"/>
  <c r="BI46" i="27" s="1"/>
  <c r="AY65" i="27"/>
  <c r="AO65" i="27"/>
  <c r="BI65" i="27" s="1"/>
  <c r="AY50" i="27"/>
  <c r="AO50" i="27"/>
  <c r="BI50" i="27" s="1"/>
  <c r="AY57" i="27"/>
  <c r="AO57" i="27"/>
  <c r="BI57" i="27" s="1"/>
  <c r="AY53" i="27"/>
  <c r="AO53" i="27"/>
  <c r="BI53" i="27" s="1"/>
  <c r="AY45" i="27"/>
  <c r="AO45" i="27"/>
  <c r="BI45" i="27" s="1"/>
  <c r="AY63" i="27"/>
  <c r="AO63" i="27"/>
  <c r="BI63" i="27" s="1"/>
  <c r="AY28" i="27"/>
  <c r="AO28" i="27"/>
  <c r="BI28" i="27" s="1"/>
  <c r="AV37" i="27"/>
  <c r="AV48" i="27"/>
  <c r="AV42" i="27"/>
  <c r="AV31" i="27"/>
  <c r="AV35" i="27"/>
  <c r="AV36" i="27"/>
  <c r="AV49" i="27"/>
  <c r="AV29" i="27"/>
  <c r="AV33" i="27"/>
  <c r="AV44" i="27"/>
  <c r="AV32" i="27"/>
  <c r="AV39" i="27"/>
  <c r="AV50" i="27"/>
  <c r="AV28" i="27"/>
  <c r="AV51" i="27"/>
  <c r="AV30" i="27"/>
  <c r="AV41" i="27"/>
  <c r="AV47" i="27"/>
  <c r="AV43" i="27"/>
  <c r="AV46" i="27"/>
  <c r="AV38" i="27"/>
  <c r="AV40" i="27"/>
  <c r="AV45" i="27"/>
  <c r="AV34" i="27"/>
  <c r="AV54" i="27"/>
  <c r="AV59" i="27"/>
  <c r="AV60" i="27"/>
  <c r="AV58" i="27"/>
  <c r="AV62" i="27"/>
  <c r="AV52" i="27"/>
  <c r="AV64" i="27"/>
  <c r="AV56" i="27"/>
  <c r="AV61" i="27"/>
  <c r="AV55" i="27"/>
  <c r="AV65" i="27"/>
  <c r="AV63" i="27"/>
  <c r="AV57" i="27"/>
  <c r="AV53" i="27"/>
  <c r="AV66" i="27"/>
  <c r="AW40" i="27"/>
  <c r="AW64" i="27"/>
  <c r="AZ65" i="27"/>
  <c r="AW65" i="27"/>
  <c r="AZ40" i="27"/>
  <c r="AZ64" i="27"/>
  <c r="AZ62" i="27"/>
  <c r="AW62" i="27"/>
  <c r="AZ35" i="27"/>
  <c r="AW42" i="27"/>
  <c r="AW61" i="27"/>
  <c r="AZ63" i="27"/>
  <c r="BA62" i="27"/>
  <c r="AW63" i="27"/>
  <c r="AX62" i="27"/>
  <c r="AX61" i="27"/>
  <c r="BA63" i="27"/>
  <c r="AZ61" i="27"/>
  <c r="BA61" i="27"/>
  <c r="AX63" i="27"/>
  <c r="AX65" i="27"/>
  <c r="BA65" i="27"/>
  <c r="AZ66" i="27"/>
  <c r="AW66" i="27"/>
  <c r="BA66" i="27"/>
  <c r="BA64" i="27"/>
  <c r="AX66" i="27"/>
  <c r="AX64" i="27"/>
  <c r="AW35" i="27"/>
  <c r="AZ42" i="27"/>
  <c r="AZ49" i="27"/>
  <c r="AZ32" i="27"/>
  <c r="AW32" i="27"/>
  <c r="AZ28" i="27"/>
  <c r="AX33" i="27"/>
  <c r="AZ44" i="27"/>
  <c r="AW49" i="27"/>
  <c r="AZ41" i="27"/>
  <c r="BA55" i="27"/>
  <c r="BA33" i="27"/>
  <c r="AX40" i="27"/>
  <c r="AX41" i="27"/>
  <c r="AW41" i="27"/>
  <c r="AW45" i="27"/>
  <c r="AW33" i="27"/>
  <c r="AW28" i="27"/>
  <c r="AZ31" i="27"/>
  <c r="AZ51" i="27"/>
  <c r="AW44" i="27"/>
  <c r="AX32" i="27"/>
  <c r="BA42" i="27"/>
  <c r="AZ57" i="27"/>
  <c r="BA52" i="27"/>
  <c r="AZ33" i="27"/>
  <c r="BA29" i="27"/>
  <c r="AW30" i="27"/>
  <c r="AX51" i="27"/>
  <c r="AW56" i="27"/>
  <c r="AZ45" i="27"/>
  <c r="AX45" i="27"/>
  <c r="BA44" i="27"/>
  <c r="BA46" i="27"/>
  <c r="AZ37" i="27"/>
  <c r="AX36" i="27"/>
  <c r="AW58" i="27"/>
  <c r="AW43" i="27"/>
  <c r="AW47" i="27"/>
  <c r="AW48" i="27"/>
  <c r="BA30" i="27"/>
  <c r="AW38" i="27"/>
  <c r="AW50" i="27"/>
  <c r="BA57" i="27"/>
  <c r="AX28" i="27"/>
  <c r="AX58" i="27"/>
  <c r="BA32" i="27"/>
  <c r="AW55" i="27"/>
  <c r="AX55" i="27"/>
  <c r="AX42" i="27"/>
  <c r="AW57" i="27"/>
  <c r="AW31" i="27"/>
  <c r="AX29" i="27"/>
  <c r="AZ30" i="27"/>
  <c r="AX52" i="27"/>
  <c r="BA51" i="27"/>
  <c r="AZ56" i="27"/>
  <c r="AX38" i="27"/>
  <c r="BA40" i="27"/>
  <c r="BA60" i="27"/>
  <c r="AX43" i="27"/>
  <c r="AX47" i="27"/>
  <c r="BA53" i="27"/>
  <c r="AZ39" i="27"/>
  <c r="AX48" i="27"/>
  <c r="AZ29" i="27"/>
  <c r="BA59" i="27"/>
  <c r="AW34" i="27"/>
  <c r="AW60" i="27"/>
  <c r="BA45" i="27"/>
  <c r="BA38" i="27"/>
  <c r="AX60" i="27"/>
  <c r="BA43" i="27"/>
  <c r="BA47" i="27"/>
  <c r="AX53" i="27"/>
  <c r="AW39" i="27"/>
  <c r="BA48" i="27"/>
  <c r="AW29" i="27"/>
  <c r="AX59" i="27"/>
  <c r="AZ34" i="27"/>
  <c r="AZ60" i="27"/>
  <c r="BA35" i="27"/>
  <c r="AZ48" i="27"/>
  <c r="AZ54" i="27"/>
  <c r="BA49" i="27"/>
  <c r="AX50" i="27"/>
  <c r="AZ46" i="27"/>
  <c r="AZ53" i="27"/>
  <c r="AW36" i="27"/>
  <c r="BA56" i="27"/>
  <c r="AZ55" i="27"/>
  <c r="BA28" i="27"/>
  <c r="AX44" i="27"/>
  <c r="AX46" i="27"/>
  <c r="AX35" i="27"/>
  <c r="AW51" i="27"/>
  <c r="AW37" i="27"/>
  <c r="BA36" i="27"/>
  <c r="AZ58" i="27"/>
  <c r="AW54" i="27"/>
  <c r="AX49" i="27"/>
  <c r="BA50" i="27"/>
  <c r="AZ43" i="27"/>
  <c r="AZ47" i="27"/>
  <c r="AW46" i="27"/>
  <c r="AW53" i="27"/>
  <c r="AZ36" i="27"/>
  <c r="AX56" i="27"/>
  <c r="BA58" i="27"/>
  <c r="AZ52" i="27"/>
  <c r="AZ59" i="27"/>
  <c r="AX34" i="27"/>
  <c r="BA31" i="27"/>
  <c r="BA54" i="27"/>
  <c r="BA37" i="27"/>
  <c r="BA39" i="27"/>
  <c r="BA41" i="27"/>
  <c r="AX30" i="27"/>
  <c r="AW52" i="27"/>
  <c r="AX39" i="27"/>
  <c r="AW59" i="27"/>
  <c r="AZ38" i="27"/>
  <c r="AZ50" i="27"/>
  <c r="BA34" i="27"/>
  <c r="AX57" i="27"/>
  <c r="AX31" i="27"/>
  <c r="AX54" i="27"/>
  <c r="AX37" i="27"/>
</calcChain>
</file>

<file path=xl/sharedStrings.xml><?xml version="1.0" encoding="utf-8"?>
<sst xmlns="http://schemas.openxmlformats.org/spreadsheetml/2006/main" count="5852" uniqueCount="1499">
  <si>
    <t>CASRN: 117-81-7</t>
  </si>
  <si>
    <t>May 2025</t>
  </si>
  <si>
    <t>Table of Contents</t>
  </si>
  <si>
    <t>Tab Name</t>
  </si>
  <si>
    <t>Description</t>
  </si>
  <si>
    <t>P-Chem</t>
  </si>
  <si>
    <t>Values for physical chemical properites used in consumer modeling</t>
  </si>
  <si>
    <t>DEHP Use Report Information</t>
  </si>
  <si>
    <t>Use Report information about products, and online search results for available products</t>
  </si>
  <si>
    <t>DEHP Literature</t>
  </si>
  <si>
    <t>DEHP information found in literature sources</t>
  </si>
  <si>
    <t>Use Info Research</t>
  </si>
  <si>
    <t>Compilation of used information from DEHP Use Report Information Tab and DEHP Literature Tab</t>
  </si>
  <si>
    <t>DEHP Crosswalk</t>
  </si>
  <si>
    <t>Crosswalk of products in EPA Use Report to COUs and consumer scenarios</t>
  </si>
  <si>
    <t>Article Inputs</t>
  </si>
  <si>
    <t>Calculations and sources for mouthing duration, area of article mouthed, chemical migration rate, material density, surface area of articles</t>
  </si>
  <si>
    <t>Compiled Products</t>
  </si>
  <si>
    <t>Inputs for product consumer scenarios compiled in one tab</t>
  </si>
  <si>
    <t>Compiled Articles</t>
  </si>
  <si>
    <t>Inputs for article consumer scenarios compiled in one tab</t>
  </si>
  <si>
    <t>Dermal Calcs</t>
  </si>
  <si>
    <t>Inputs, calculations, and results for dermal route of consumer scenarios (products and articles)</t>
  </si>
  <si>
    <t>Tire Crumb</t>
  </si>
  <si>
    <t>Information used to assess exposures from tire crumb and artificial turf for inhalation, ingestion, and dermal</t>
  </si>
  <si>
    <t>Common Materials</t>
  </si>
  <si>
    <t>Dp (m2/hr)</t>
  </si>
  <si>
    <t>Kma</t>
  </si>
  <si>
    <t>Chemical Migration Partial Calculation</t>
  </si>
  <si>
    <t>DINP CAS 68515-48-0</t>
  </si>
  <si>
    <t>Carpet</t>
  </si>
  <si>
    <t>Property or Endpoint</t>
  </si>
  <si>
    <t>Mean</t>
  </si>
  <si>
    <t>Selected Value</t>
  </si>
  <si>
    <t>Unit</t>
  </si>
  <si>
    <t>Vinyl Flooring</t>
  </si>
  <si>
    <t>Molecular weight</t>
  </si>
  <si>
    <t>g/mol</t>
  </si>
  <si>
    <t>PVC</t>
  </si>
  <si>
    <t xml:space="preserve">These calculations will be on the sheets for individual products. I'm just including here to make sure the full implementation works. CEM reccomeded values and the values obtained from literature are added for comparison. </t>
  </si>
  <si>
    <t>Vapor pressure</t>
  </si>
  <si>
    <t>mm Hg</t>
  </si>
  <si>
    <t>Rigid Plastics</t>
  </si>
  <si>
    <t>Water solubility</t>
  </si>
  <si>
    <t>mg/L</t>
  </si>
  <si>
    <t>Flexible Plastics</t>
  </si>
  <si>
    <t>Octanol/water partition coefficient (log Kow)</t>
  </si>
  <si>
    <t>-</t>
  </si>
  <si>
    <t>Rubbers</t>
  </si>
  <si>
    <t>Material Type</t>
  </si>
  <si>
    <t>Henry’s Law constant</t>
  </si>
  <si>
    <t>atm·m3/mol</t>
  </si>
  <si>
    <t>Low Density Foam (Packaging)</t>
  </si>
  <si>
    <t>Chemical Migration Rate mg/cm2/hr</t>
  </si>
  <si>
    <r>
      <t>Octanol/air partition coefficient (log K</t>
    </r>
    <r>
      <rPr>
        <vertAlign val="subscript"/>
        <sz val="11"/>
        <color rgb="FF111111"/>
        <rFont val="Calibri"/>
        <family val="2"/>
        <scheme val="minor"/>
      </rPr>
      <t>OA</t>
    </r>
    <r>
      <rPr>
        <sz val="11"/>
        <color rgb="FF111111"/>
        <rFont val="Calibri"/>
        <family val="2"/>
        <scheme val="minor"/>
      </rPr>
      <t>)</t>
    </r>
  </si>
  <si>
    <t>High Density Foam (matresses, insulation)</t>
  </si>
  <si>
    <r>
      <t>C</t>
    </r>
    <r>
      <rPr>
        <vertAlign val="subscript"/>
        <sz val="11"/>
        <color theme="1"/>
        <rFont val="Calibri"/>
        <family val="2"/>
        <scheme val="minor"/>
      </rPr>
      <t>0</t>
    </r>
    <r>
      <rPr>
        <sz val="11"/>
        <color theme="1"/>
        <rFont val="Calibri"/>
        <family val="2"/>
        <scheme val="minor"/>
      </rPr>
      <t xml:space="preserve"> g chemical/   g solid</t>
    </r>
  </si>
  <si>
    <r>
      <t>log</t>
    </r>
    <r>
      <rPr>
        <vertAlign val="subscript"/>
        <sz val="11"/>
        <color theme="1"/>
        <rFont val="Calibri"/>
        <family val="2"/>
        <scheme val="minor"/>
      </rPr>
      <t>10</t>
    </r>
    <r>
      <rPr>
        <sz val="11"/>
        <color theme="1"/>
        <rFont val="Calibri"/>
        <family val="2"/>
        <scheme val="minor"/>
      </rPr>
      <t>(C</t>
    </r>
    <r>
      <rPr>
        <vertAlign val="subscript"/>
        <sz val="11"/>
        <color theme="1"/>
        <rFont val="Calibri"/>
        <family val="2"/>
        <scheme val="minor"/>
      </rPr>
      <t>0</t>
    </r>
    <r>
      <rPr>
        <sz val="11"/>
        <color theme="1"/>
        <rFont val="Calibri"/>
        <family val="2"/>
        <scheme val="minor"/>
      </rPr>
      <t>)</t>
    </r>
  </si>
  <si>
    <t>CEM Reccomended Value</t>
  </si>
  <si>
    <t>Literature Values Used</t>
  </si>
  <si>
    <t>Wood</t>
  </si>
  <si>
    <t>Exposure Scenario Level Legacy Children's Toys</t>
  </si>
  <si>
    <t>mg/cm2/hr</t>
  </si>
  <si>
    <t>Source of Pchem Information:</t>
  </si>
  <si>
    <t>Pressed Wood</t>
  </si>
  <si>
    <t>Low</t>
  </si>
  <si>
    <t>Paper</t>
  </si>
  <si>
    <t>Med</t>
  </si>
  <si>
    <t>Gypsum Board</t>
  </si>
  <si>
    <t>High</t>
  </si>
  <si>
    <t>CEM Estimated Value (Material Agnostic)</t>
  </si>
  <si>
    <t>N/A</t>
  </si>
  <si>
    <t>Calculation of Internal Diffusion Cefficient based on Huang et al. (2017)</t>
  </si>
  <si>
    <t>Calculations for Solid-Air Partitioning Coefficient</t>
  </si>
  <si>
    <t>Calculations for chemical Migration Rate to Saliva based on Aurisano et al. (2022)</t>
  </si>
  <si>
    <t>https://doi.org/10.1111/ina.12395</t>
  </si>
  <si>
    <t>DOI: 10.1111/ina.12510</t>
  </si>
  <si>
    <t>doi: 10.1038/s41370-021-00354-0</t>
  </si>
  <si>
    <t>QPPR Equaation</t>
  </si>
  <si>
    <t xml:space="preserve">QPPR Equation </t>
  </si>
  <si>
    <r>
      <t>Where </t>
    </r>
    <r>
      <rPr>
        <i/>
        <sz val="10"/>
        <color rgb="FF212121"/>
        <rFont val="Cambria"/>
        <family val="1"/>
      </rPr>
      <t>R</t>
    </r>
    <r>
      <rPr>
        <sz val="8"/>
        <color rgb="FF212121"/>
        <rFont val="Cambria"/>
        <family val="1"/>
      </rPr>
      <t>mgr</t>
    </r>
    <r>
      <rPr>
        <sz val="10"/>
        <color rgb="FF212121"/>
        <rFont val="Cambria"/>
        <family val="1"/>
      </rPr>
      <t> is the migration rate (µg/10cm</t>
    </r>
    <r>
      <rPr>
        <sz val="8"/>
        <color rgb="FF212121"/>
        <rFont val="Cambria"/>
        <family val="1"/>
      </rPr>
      <t>2</t>
    </r>
    <r>
      <rPr>
        <sz val="10"/>
        <color rgb="FF212121"/>
        <rFont val="Cambria"/>
        <family val="1"/>
      </rPr>
      <t>/min), Dp is the solid phase diffusion Coefficient  (cm2/s), C0 is the initial concentration of chemical (ug/g), and KOW is the octanol water partitioning coefficient</t>
    </r>
  </si>
  <si>
    <t>where D is the diffusion coefficient (m2/s), MW is molecular weight (g/mol), T is absolute temperature (K), b and τ (K) are the material-specific coefficients below</t>
  </si>
  <si>
    <r>
      <t>log</t>
    </r>
    <r>
      <rPr>
        <sz val="8"/>
        <color theme="1"/>
        <rFont val="Calibri"/>
        <family val="2"/>
        <scheme val="minor"/>
      </rPr>
      <t>10</t>
    </r>
    <r>
      <rPr>
        <sz val="11"/>
        <color theme="1"/>
        <rFont val="Calibri"/>
        <family val="2"/>
        <scheme val="minor"/>
      </rPr>
      <t>MW</t>
    </r>
  </si>
  <si>
    <t>where Kma is the dimensionless solid material-air partition coefficient, Koa is the chemical's dimensionless octanol-air partition coefficient at 25°C, ΔHma is the enthalpy of the partitioning between material and air (J/mol) which is given by Equation (5), T is absolute temperature (K), and b is the material-specific coefficient below</t>
  </si>
  <si>
    <t>Full list of Materials</t>
  </si>
  <si>
    <t>T</t>
  </si>
  <si>
    <t>Children's Toys Legacy</t>
  </si>
  <si>
    <t>Material</t>
  </si>
  <si>
    <t>b</t>
  </si>
  <si>
    <t>τ</t>
  </si>
  <si>
    <r>
      <t>D1 (m</t>
    </r>
    <r>
      <rPr>
        <vertAlign val="superscript"/>
        <sz val="11"/>
        <color theme="1"/>
        <rFont val="Calibri"/>
        <family val="2"/>
        <scheme val="minor"/>
      </rPr>
      <t>2</t>
    </r>
    <r>
      <rPr>
        <sz val="11"/>
        <color theme="1"/>
        <rFont val="Calibri"/>
        <family val="2"/>
        <scheme val="minor"/>
      </rPr>
      <t>/s)</t>
    </r>
  </si>
  <si>
    <r>
      <t>D2 (m</t>
    </r>
    <r>
      <rPr>
        <vertAlign val="superscript"/>
        <sz val="11"/>
        <color theme="1"/>
        <rFont val="Calibri"/>
        <family val="2"/>
        <scheme val="minor"/>
      </rPr>
      <t>2</t>
    </r>
    <r>
      <rPr>
        <sz val="11"/>
        <color theme="1"/>
        <rFont val="Calibri"/>
        <family val="2"/>
        <scheme val="minor"/>
      </rPr>
      <t>/s)</t>
    </r>
  </si>
  <si>
    <t>(5)</t>
  </si>
  <si>
    <r>
      <t>Log Dp(cm</t>
    </r>
    <r>
      <rPr>
        <b/>
        <vertAlign val="superscript"/>
        <sz val="11"/>
        <color theme="1"/>
        <rFont val="Calibri"/>
        <family val="2"/>
        <scheme val="minor"/>
      </rPr>
      <t>2</t>
    </r>
    <r>
      <rPr>
        <b/>
        <sz val="11"/>
        <color theme="1"/>
        <rFont val="Calibri"/>
        <family val="2"/>
        <scheme val="minor"/>
      </rPr>
      <t>/s)</t>
    </r>
  </si>
  <si>
    <t>Term 1</t>
  </si>
  <si>
    <t>Term 2</t>
  </si>
  <si>
    <t>Term 4</t>
  </si>
  <si>
    <t>Term 3</t>
  </si>
  <si>
    <r>
      <t>log R</t>
    </r>
    <r>
      <rPr>
        <vertAlign val="subscript"/>
        <sz val="11"/>
        <color theme="1"/>
        <rFont val="Calibri"/>
        <family val="2"/>
        <scheme val="minor"/>
      </rPr>
      <t>mgr</t>
    </r>
  </si>
  <si>
    <r>
      <t>R</t>
    </r>
    <r>
      <rPr>
        <vertAlign val="subscript"/>
        <sz val="11"/>
        <color theme="1"/>
        <rFont val="Calibri"/>
        <family val="2"/>
        <scheme val="minor"/>
      </rPr>
      <t>mgr</t>
    </r>
  </si>
  <si>
    <t>Calcium silicate</t>
  </si>
  <si>
    <t>Where  ΔHv is the chemicals enthalpy of vaporization obtained from chem spider</t>
  </si>
  <si>
    <t>Cement</t>
  </si>
  <si>
    <t>https://www.chemspider.com/</t>
  </si>
  <si>
    <t>Ethylene-propylene rubbers</t>
  </si>
  <si>
    <t>ΔHv</t>
  </si>
  <si>
    <t>Δhma/2.303*R</t>
  </si>
  <si>
    <t>Flexible PVC</t>
  </si>
  <si>
    <t>General polystyrene (PS)</t>
  </si>
  <si>
    <t>Glass, Stainless steel</t>
  </si>
  <si>
    <t>Gypsum and cellulose ceiling tile</t>
  </si>
  <si>
    <t>Gypsum board</t>
  </si>
  <si>
    <t>High density polyethylene (HDPE)</t>
  </si>
  <si>
    <t>Cellulose fabric (cotton, linen)</t>
  </si>
  <si>
    <t>High-impact polystyrene (HIPS)</t>
  </si>
  <si>
    <t>Cement, Calcium silicate</t>
  </si>
  <si>
    <t>Methyl methacrylate (MMA) copolymer-medium or low density</t>
  </si>
  <si>
    <t>Concrete</t>
  </si>
  <si>
    <t>Methyl methacrylate (MMA) homopolymer</t>
  </si>
  <si>
    <t>Ethylene Vinyl Acetate (EVA)</t>
  </si>
  <si>
    <t>Natural rubber (NR)</t>
  </si>
  <si>
    <t>Glass</t>
  </si>
  <si>
    <t>Other wooden boards</t>
  </si>
  <si>
    <t>Latex and solvent-based paint</t>
  </si>
  <si>
    <t>Plywood</t>
  </si>
  <si>
    <t>Polyamide (PA)</t>
  </si>
  <si>
    <t>Poly acrylnitrile butadiene styrene (ABS), Ethylene vinyl alcohol (EVOH)</t>
  </si>
  <si>
    <t>Polyester fabric</t>
  </si>
  <si>
    <t>Polychloroprene (CR)</t>
  </si>
  <si>
    <t>Polyether ether ketone (PEEK)</t>
  </si>
  <si>
    <t>Polyethylene (PE, LDPE, LLDPE)</t>
  </si>
  <si>
    <t>Polyethylene (PE)</t>
  </si>
  <si>
    <t>Polyethylene naphthalate (PEN)</t>
  </si>
  <si>
    <t>Polypropylene (PP)</t>
  </si>
  <si>
    <t>Polyethylene terephthalate (PET)</t>
  </si>
  <si>
    <t>Polytetrafluoroethylene (PTFE)</t>
  </si>
  <si>
    <t>Polystyrene foam (XPS, EPS)</t>
  </si>
  <si>
    <t>PU-ester</t>
  </si>
  <si>
    <t>Polyurethane-based materials</t>
  </si>
  <si>
    <t>PU-ether</t>
  </si>
  <si>
    <t>PP copolymer</t>
  </si>
  <si>
    <t>PUF-undefined</t>
  </si>
  <si>
    <t>PP homopolymer</t>
  </si>
  <si>
    <t>Rayon fabric</t>
  </si>
  <si>
    <t>Rigid polymers</t>
  </si>
  <si>
    <t>Stainless steel</t>
  </si>
  <si>
    <t>Synthetic rubber</t>
  </si>
  <si>
    <t>Vinyl flooring</t>
  </si>
  <si>
    <t>Vinyl acetate-based polymers</t>
  </si>
  <si>
    <t>Wooden boards</t>
  </si>
  <si>
    <t>COU Category (Final Scope and Use Report)</t>
  </si>
  <si>
    <t xml:space="preserve">Use (Source Product Report) </t>
  </si>
  <si>
    <t xml:space="preserve">Expected Users (Source Product Report) </t>
  </si>
  <si>
    <t xml:space="preserve">Product (Source Product Report) </t>
  </si>
  <si>
    <t xml:space="preserve">Manufacturer (Source Product Report) </t>
  </si>
  <si>
    <t xml:space="preserve">Percent in Product (Source Product Report) </t>
  </si>
  <si>
    <t>Include?</t>
  </si>
  <si>
    <t>Form 
Dropdown selection
-Liquid (added to water) for small amount of product diluted with water
-Liquid (poured) for adding product to another vessel</t>
  </si>
  <si>
    <t>Density (g/cm3)</t>
  </si>
  <si>
    <t>Product Size and format</t>
  </si>
  <si>
    <t>Use Environment</t>
  </si>
  <si>
    <t xml:space="preserve">Vendor </t>
  </si>
  <si>
    <t>Detailed Use Description</t>
  </si>
  <si>
    <t>Additional Notes</t>
  </si>
  <si>
    <t>More Comments</t>
  </si>
  <si>
    <t>Product Snaphot</t>
  </si>
  <si>
    <t>Building/ construction materials not covered elsewhere</t>
  </si>
  <si>
    <t>Asphalt (modified)</t>
  </si>
  <si>
    <t>Unknown</t>
  </si>
  <si>
    <t>Modified Asphalt</t>
  </si>
  <si>
    <t>Valero Marketing &amp; Supply Company and Affiliates</t>
  </si>
  <si>
    <t>&lt;0.1%, unspecified</t>
  </si>
  <si>
    <t>No</t>
  </si>
  <si>
    <t>Solid</t>
  </si>
  <si>
    <t>1-1.2</t>
  </si>
  <si>
    <t>NR</t>
  </si>
  <si>
    <t>Outdoor</t>
  </si>
  <si>
    <t>Manufacturer</t>
  </si>
  <si>
    <t>Asphalt products are to be used as road and highway paving applications; waterproofing and sealing applications; coatings; or other engineering applications. Use in other applications may result in higher exposures and require additional engineering controls and personal protective equipment.</t>
  </si>
  <si>
    <t>Not sold commercially.</t>
  </si>
  <si>
    <t>Fabric, textile, and leather products not covered elsewhere</t>
  </si>
  <si>
    <t>Casting tape</t>
  </si>
  <si>
    <t>Commercial</t>
  </si>
  <si>
    <t>3M Scotchcast Poly Plus (Colors)</t>
  </si>
  <si>
    <t>3M</t>
  </si>
  <si>
    <t>0.1-1.0%, unspecified</t>
  </si>
  <si>
    <t>Yes</t>
  </si>
  <si>
    <t>144inx3in Roll</t>
  </si>
  <si>
    <t>Indoor/Outdoor</t>
  </si>
  <si>
    <t>Amazon</t>
  </si>
  <si>
    <t>For use in the construction of orthopedic casts. A lightweight, strong and durable casting tape that combines the benefits of a fiberglass casting tape with the handling ease of plaster. Available in 13 colors to meet patient preferences.  Consumers reviews indicate that they do purchase with the intention of self-applying casts. They also state to wear gloves when applying as the residue is sticky, and to work fast after wetting. Also, the product works well to protect horse hooves.</t>
  </si>
  <si>
    <t xml:space="preserve">Manufacturer does not sell product directly from their site. </t>
  </si>
  <si>
    <t>changed OCU From adhesive to fabric</t>
  </si>
  <si>
    <t>Dyes and pigments</t>
  </si>
  <si>
    <t>Colorant</t>
  </si>
  <si>
    <t>Universal C/P Eggshell Cream</t>
  </si>
  <si>
    <t>Tremco Canadian Sealants</t>
  </si>
  <si>
    <t>0.1-1%, by weight</t>
  </si>
  <si>
    <t>Paste (putty knife or hand application)</t>
  </si>
  <si>
    <t>Tremco Universal ColorPaks are available in 70 colors, and can be used to tint a variety of Tremco sealants and traffic coatings in the field. One Universal ColorPak will tint 1.5 gallons of material. Universal ColorPaks are compatible with these Tremco products: Spectrem® 4-TS (construction sealant, caulk), PUMA Tintable Top Coat (traffic coating), Tremco® Sealer 200 (cement sealer), Tremco® Sealer 300 (cement sealer), and Vulkem® 445SSL.</t>
  </si>
  <si>
    <t xml:space="preserve">For commercial use only. Not a stand alone product, an additive to compatible products listed in product description. </t>
  </si>
  <si>
    <t>doesn’t really seem consumer, but can buy from various online vendors https://metrosealant.com/product/tremco-universal-color-pack/</t>
  </si>
  <si>
    <t>Connector material</t>
  </si>
  <si>
    <t>Commercial, Industrial</t>
  </si>
  <si>
    <t>Duro Dyne Durolon Fabric</t>
  </si>
  <si>
    <t>Duro Dyne Corporation</t>
  </si>
  <si>
    <t>1-5%, by weight</t>
  </si>
  <si>
    <r>
      <t>Mass: 814 g/m</t>
    </r>
    <r>
      <rPr>
        <vertAlign val="superscript"/>
        <sz val="10"/>
        <rFont val="Calibri"/>
        <family val="2"/>
        <scheme val="minor"/>
      </rPr>
      <t>2</t>
    </r>
    <r>
      <rPr>
        <sz val="10"/>
        <rFont val="Calibri"/>
        <family val="2"/>
        <scheme val="minor"/>
      </rPr>
      <t xml:space="preserve"> Thickness: 0.61mm</t>
    </r>
  </si>
  <si>
    <t>DUROLON is well suited for flexible connections on outdoor air handling units and ducts, as well as in medium and high velocity ventilating, air conditioning and heating systems. Intended for use in the industrial/commercial markets, it should be used when its broad service temperature range and its resistance to sunlight, weathering, ozone and abrasion answer particular requirements. Duro Dyne does not manufacture any flexible duct connector product that is approved for use in grease duct exhaust systems.</t>
  </si>
  <si>
    <t xml:space="preserve">For commercial use only, not available in US. "Durolon Flexible Duct Connector" is name on site as the fabric is used in this product. </t>
  </si>
  <si>
    <t>SDS doesn’t have DEHP https://www.durodyne.com/msds/DFD-Durolon_SDS.pdf</t>
  </si>
  <si>
    <t>Reference material and/or laboratory reagent</t>
  </si>
  <si>
    <t>Dispersion chemical</t>
  </si>
  <si>
    <t>DOP DLD Drum</t>
  </si>
  <si>
    <t>HB Chemical</t>
  </si>
  <si>
    <t>72%, by weight</t>
  </si>
  <si>
    <t>Product Use: Dispersion. When combating various plant floor issues such as handling, safety, or even compound performance – dispersions are a way to make things easier. Whether it be a common dry-liquid-dispersion (DLD) or a unique polymeric masterbatch, let HB Chemical help you in terms of cost and efficiency.</t>
  </si>
  <si>
    <t>For commercial use only. No detailed use description provided on site or SDS. Product is an off white powder.</t>
  </si>
  <si>
    <t>Electrical and electronic products</t>
  </si>
  <si>
    <t>Electrical conduit</t>
  </si>
  <si>
    <t>Anaconda Type MTC Blk 1-1/4</t>
  </si>
  <si>
    <t>ANAMET Electrical Inc.</t>
  </si>
  <si>
    <t>0.000-7.583%, by weight</t>
  </si>
  <si>
    <t>Length: 100ft-800ft</t>
  </si>
  <si>
    <t>Flexible, liquid tight, metal conduit. Designed for Machine Tool industry where high flexibility is required. A tight bend radius makes installation easier. Uses standard liquid tight connectors for easy installation.</t>
  </si>
  <si>
    <t>For commercial use only; sold in pallets. Sold by Electri Products Group through manufacturer site.</t>
  </si>
  <si>
    <t>Electrical tape (vinyl)</t>
  </si>
  <si>
    <t>3M™ Economy Vinyl Electrical Tape 1400, 1400C</t>
  </si>
  <si>
    <t>7-10%, by weight</t>
  </si>
  <si>
    <t>Tape Roll: 3/4 in x ‎60 ft, 1.5 in core</t>
  </si>
  <si>
    <t>3M™ Economy Vinyl Electrical Tape 1400 is a black 7 mil thick, general use vinyl-insulating tape. It is designed to perform continuously in temperatures up to 80°C (176°F). This tape has a polyvinyl chloride (PVC) backing with pressure–sensitive rubber based adhesive. It inhibits corrosion of electrical conductors</t>
  </si>
  <si>
    <t>Not listed on manufacturer site. Can also be purchased at Walmart, Ebay, and City Electric Supply.</t>
  </si>
  <si>
    <t xml:space="preserve">mistakenly marked exclude? Updated to yes. COU table classifies as both adhesive/sealant and electrical </t>
  </si>
  <si>
    <t>Adhesives and sealants</t>
  </si>
  <si>
    <t>Filler/putty</t>
  </si>
  <si>
    <t>Pronto Putty</t>
  </si>
  <si>
    <t>The Valspar Corporation</t>
  </si>
  <si>
    <t>3-5%, by weight</t>
  </si>
  <si>
    <t>5 oz tube</t>
  </si>
  <si>
    <t>single component, super smooth putty works great on minor scratches, surface flaws and little pinholes. It is a ready to use formula and shows exceptional adhesion to treated metal, galvanized steel, aluminum, existing finishes and primers. Apply 1 - 3 coats, with a flash time of 15 minutes between coats at a temperature of 72ºF.</t>
  </si>
  <si>
    <t>Product not found.</t>
  </si>
  <si>
    <t>Updated to yes, SDS citatation from Use Report for "Pronto Kombi Spot Putty". Manufacturer is US Chemical. Can purchase on various sites</t>
  </si>
  <si>
    <t>Flow barrier (soldering)</t>
  </si>
  <si>
    <t>Stopyt Product: Regular</t>
  </si>
  <si>
    <t>Morgan Advanced Materials - Wesgo Metals®</t>
  </si>
  <si>
    <t>&lt;10%, by weight</t>
  </si>
  <si>
    <t>Liquid (rolled or brushed on)</t>
  </si>
  <si>
    <t>&gt;1</t>
  </si>
  <si>
    <t>For industrial use only. Wesgo® Stopyt® is a braze inhibitor suspended in an organic liquid, and when applied to a metal surface prevents the unwanted flow of molten brazing alloys.</t>
  </si>
  <si>
    <t>Arts, crafts, and hobby materials</t>
  </si>
  <si>
    <t>Fragrance</t>
  </si>
  <si>
    <t>Consumer</t>
  </si>
  <si>
    <t>Chocolate</t>
  </si>
  <si>
    <t>Wellington Fragrance</t>
  </si>
  <si>
    <t>&gt;80%, unspecified</t>
  </si>
  <si>
    <t>Liquid (poured)</t>
  </si>
  <si>
    <t>0.5oz-25lbs container/jug</t>
  </si>
  <si>
    <t>Indoor</t>
  </si>
  <si>
    <t>Fragrance Oils normally are made up of a number of synthetic imitations of essential oils creating a fragrance that will smell like a flower, herb, plant or other fragrance. Uses include: potpourri, candles, incense, light bulb rings, diffuser, candle diffuse, potpourri cooker, satchet's, steam, room sprays, body sprays, perfumes, soaps, lotions, shampoos, hair treatments, scented towels, laundry, bathes, massage oils, household cleaning agents, closet scenting, drawer scenting, smelling, facial steams, office atmosphere, atomizers, and body spritzer.</t>
  </si>
  <si>
    <t>Glazing putty (automotive)</t>
  </si>
  <si>
    <t>Red Glazing Putty 1# Tube</t>
  </si>
  <si>
    <t>Quest Automotive Products</t>
  </si>
  <si>
    <t>1 - &lt;5%, unspecified</t>
  </si>
  <si>
    <t>450 g/l tube</t>
  </si>
  <si>
    <t>Same name product - Amazon</t>
  </si>
  <si>
    <t>Red Glazing Putty is a one component, fast-drying glazing putty ideal for use under lacquer, acrylic, and synthetic finishes. The extremely fine texture of Red 
Glazing Putty fills pinholes, scratches and dimples on bare metal and hardened plastic fillers.</t>
  </si>
  <si>
    <t>No site found for QAP, but SDS found. Product with same name found under "US Chemical" on Amazon.</t>
  </si>
  <si>
    <t>appears to be same as Valspar 2017 reference in COU table for adhesives/sealants; updated COU here
https://images.myautoproducts.com/images/Product_Media/SDS/USC/USC-32035_SDS.pdf</t>
  </si>
  <si>
    <t>Laboratory chemical</t>
  </si>
  <si>
    <t>31420 / Bis(2-ethylhexyl)Phthalate Standard</t>
  </si>
  <si>
    <t>Restek Corporation</t>
  </si>
  <si>
    <t>0.1%, unspecified</t>
  </si>
  <si>
    <t>1mL/ampul</t>
  </si>
  <si>
    <t>For Laboratory use only. This chemical/product is not and cannot be distributed in commerce (as defined in TSCA section 3(5)) or processed (as defined in TSCA section 3(13)) for consumer paint or coating removal.</t>
  </si>
  <si>
    <t>31621 / 8270 Calibration Mix #4</t>
  </si>
  <si>
    <t>0.2%, unspecified</t>
  </si>
  <si>
    <t>For Laboratory use only. This chemical/product is not and cannot be distributed in commerce (as defined in TSCA section 3(5)) or processed (as defined in TSCA section 3(13)) for consumer paint or coating removal as per 40 CFR Part 751.107 of EPA Regulations.</t>
  </si>
  <si>
    <t>31845 / EPA Method 506 Phthalate and Adipate Esters</t>
  </si>
  <si>
    <t>31850 / 8270 MegaMix®</t>
  </si>
  <si>
    <t>31903 / CLP 04.1 B/N MegaMix Mix A (Revision 2)</t>
  </si>
  <si>
    <t xml:space="preserve">For Laboratory use only. </t>
  </si>
  <si>
    <t>33227 / EPA Method 8061A Phthalate Esters Mixture</t>
  </si>
  <si>
    <t>Industrial</t>
  </si>
  <si>
    <t>BN Extractables – Skinner List</t>
  </si>
  <si>
    <t>Phenova</t>
  </si>
  <si>
    <t>500 ug/mL</t>
  </si>
  <si>
    <t>For Laboratory use. For professional use only.</t>
  </si>
  <si>
    <t>Used as a calibration/extraction standard. Analyte class: BNA</t>
  </si>
  <si>
    <t>Custom 8061 Phthalates Mix</t>
  </si>
  <si>
    <t>Delta Scientific Laboratory Products</t>
  </si>
  <si>
    <t>For Laboratory use. For professional use only. Method 8061 is used to determine the identities and concentrations of various phthalate esters in aqueous and solid matrices including groundwater, leachate, soil, sludge and sediment.</t>
  </si>
  <si>
    <t>Product not found on manufacturer site, may be because it is a "custom" mix. Found on "Delta Scientific Laboratory Products" site (1000mg/L).</t>
  </si>
  <si>
    <t>Custom 8270 Cal Mix 1</t>
  </si>
  <si>
    <t>Restek</t>
  </si>
  <si>
    <t>For Laboratory use. For professional use only. Certified calibration standard.</t>
  </si>
  <si>
    <t>Product not found on manufacturer site, may be because it is a "custom" mix. Found on "Restek" site (2000 ug/mL)</t>
  </si>
  <si>
    <t>Custom 8270 Cal Standard</t>
  </si>
  <si>
    <t>For Laboratory use. For professional use only. Certified reference material.</t>
  </si>
  <si>
    <t>Product not found on manufacturer site, may be because it is a "custom" mix.</t>
  </si>
  <si>
    <t>Custom Low ICAL Mix</t>
  </si>
  <si>
    <t>For Laboratory use. For professional use only. Industrial.</t>
  </si>
  <si>
    <t>Custom SS 8270 Cal Mix 1</t>
  </si>
  <si>
    <t>Repeat.</t>
  </si>
  <si>
    <t>EPA 525.2 Semivolatile Mix</t>
  </si>
  <si>
    <t>Mercox II Resin</t>
  </si>
  <si>
    <t>Ladd Research</t>
  </si>
  <si>
    <t>5-20%, unspecified</t>
  </si>
  <si>
    <t>15 30mL bottles or 1 450mL bottle</t>
  </si>
  <si>
    <t>For Laboratory use. Corrosion casting resin for biological tissue.</t>
  </si>
  <si>
    <t>Base/Neutrals Mix 1</t>
  </si>
  <si>
    <t>SPEX CertiPrep LLC</t>
  </si>
  <si>
    <t>1.8mL vial</t>
  </si>
  <si>
    <t>For Laboratory use only. ECS Standards for GC/MS All ampulized standards are supplied with a pre-labeled transfer/storage vial. Certified reference material.</t>
  </si>
  <si>
    <t>Phthalates in Poly(vinyl chloride)</t>
  </si>
  <si>
    <t>0.3%, unspecified</t>
  </si>
  <si>
    <t>1.5g vial</t>
  </si>
  <si>
    <t>For Laboratory use. Consumer Safety Standards Phthalates in Polyvinyl Chloride (PVC) QC Standards Polyvinyl chloride, or PVC, is a very common plastic used in a wide range of common consumer products from children’s toys and care items to building and construction materials. In the US, ASTM (American Society for Testing and Materials) and CPSC (Consumer Product Safety Commission) have designed methods for testing children’s toys and childcare articles for compliance with the restriction of use for eight designated phthalates.</t>
  </si>
  <si>
    <t>Phthalates in Polyethylene Standard</t>
  </si>
  <si>
    <t>5g vial</t>
  </si>
  <si>
    <t xml:space="preserve">For Laboratory use. </t>
  </si>
  <si>
    <t>Phthalates in Polyethylene Standard w/BPA</t>
  </si>
  <si>
    <t>For Laboratory use. Certified reference material.</t>
  </si>
  <si>
    <t>Link to website no longer functions as of 4/14/25 (404 error).</t>
  </si>
  <si>
    <t>Paints and coatings</t>
  </si>
  <si>
    <t>Paint (solvent-based)</t>
  </si>
  <si>
    <t>SB WHT 150 VOC HWVW1</t>
  </si>
  <si>
    <t>Ennis-Flint</t>
  </si>
  <si>
    <t>0.1-1.0%, by weight</t>
  </si>
  <si>
    <t>Industrial use only. Solvent-Based traffic paint is formulated for use on streets and highways, local roads, parking lots, and private properties. Solvent-Based traffic paint is especially suitable for colder ambient applications where waterborne traffic paint cannot be used. Suitable for application on bituminous and concrete roadways, a 15 mil application can be applied at temperatures near freezing; and for faster dry can be heated and sprayed with airless or conventional spray equipment. Solvent-Based traffic paint can be ordered to meet federal specification A-A-2886 and TT-P-115. Solvent based traffic paint is classified as High VOC and Low VOC.</t>
  </si>
  <si>
    <t>Pipe wraps</t>
  </si>
  <si>
    <t>ROCKWOOL® Intumescent Pipe Wraps</t>
  </si>
  <si>
    <t>Rockwool Limited</t>
  </si>
  <si>
    <t>25m roll, 40mm wide, 2mm thick</t>
  </si>
  <si>
    <t>Part of the popular ROCKWOOL FirePro® range, Pipe Wrap Roll is an economical solution for safeguarding pipe systems. ROCKWOOL’s advanced Pipe Wrap Roll protects both plastic and insulated metallic pipework in both floors and walls, supplied in a 25m long roll in a box dispenser. Another versatile product, this product is 40mm wide and 2mm thick, and is able to fit around pipes up to 200mm (O.D.) Multiple layers may be required to the service line dependent on the material, dimensions and fire rating required. Assured protection – ROCKWOOL Intumescent Pipe Wrap Roll is tested to offer up to 4 hour fire resistance to prevent the passage of fire.  Versatile - suitable for a range of common pipe diameters offering easy installation in a single product. Low maintenance – the Intumescent Pipe Wrap requires no ancillaries, which makes it a cost-effective solution to fire stopping.</t>
  </si>
  <si>
    <t>Similar product: ROCKWOOL® FirePro Intumescent Pipe Wrap CE. Also found on manufacturer site and SDS added to folder. Products available for retail consumer purchases through store finder on manufactuer site.</t>
  </si>
  <si>
    <t>Plastic and rubber products not covered elsewhere</t>
  </si>
  <si>
    <t>Plasticizer</t>
  </si>
  <si>
    <t>Synplast mixed phthalate</t>
  </si>
  <si>
    <t>30-60%, by weight</t>
  </si>
  <si>
    <t>product by HB chemical not found, product by Geon found</t>
  </si>
  <si>
    <t>Primer</t>
  </si>
  <si>
    <t>Rapid Dry Multi-Surface Gray Primer</t>
  </si>
  <si>
    <t>Pacific Coast Lacquer</t>
  </si>
  <si>
    <t>&lt;1%, unspecified</t>
  </si>
  <si>
    <t>Pacific Coast Lacquer stands for value in automotive refinish coatings.  PCL products are designed to deliver reliable results through a proven system of coatings, primers, cleaner and thinners. </t>
  </si>
  <si>
    <t>Manufacturer site nor product found.</t>
  </si>
  <si>
    <t xml:space="preserve">Pacific Coast Lacquer, automotive segment of Ellis Paint Co, acquired by Axalta Coating. Product not found on Axalta site </t>
  </si>
  <si>
    <t>Printing roller</t>
  </si>
  <si>
    <t>ENDUR ® NBR Rollers</t>
  </si>
  <si>
    <t>Rogers Corporation</t>
  </si>
  <si>
    <t>&lt;5%, unspecified</t>
  </si>
  <si>
    <t>Industrial use only. Used in the printing, coping, and scanner equipment.</t>
  </si>
  <si>
    <t>Product SDS found. Product not listed on manufacturer site or from other vendors, but may be under new name on manufacturer site.</t>
  </si>
  <si>
    <t>PVC Sheet</t>
  </si>
  <si>
    <t>01 Compound Flexible PVC</t>
  </si>
  <si>
    <t>TMI International LLC</t>
  </si>
  <si>
    <t>10-30%, unspecified</t>
  </si>
  <si>
    <t>Thickness between .004 inches 0.030 inches</t>
  </si>
  <si>
    <t>Industrial use only. TMI carries a complete line of flexible PVC films designed to meet your specific needs, ranging from General Purpose Clear, to Marine Grade Clear, Welding Screen,  and Premium Grade Clear. Our flexible PVC film comes in thicknesses ranging from .004 inches to 0.030 inches thick. Flexible PVC film performs in both outdoor and indoor applications. Our clients use our materials in everything from restaurant curtains to marine windows, and custom bags to safety clothing.</t>
  </si>
  <si>
    <t>May also be available for purchase through "Grainger".</t>
  </si>
  <si>
    <t>Sealant</t>
  </si>
  <si>
    <t>BD Loop Goop</t>
  </si>
  <si>
    <t>Royal Adhesives and Sealants Canada Ltd.</t>
  </si>
  <si>
    <t>2.5-10%, unspecified</t>
  </si>
  <si>
    <t>Paste (caulk gun)</t>
  </si>
  <si>
    <t>1.46-1.49</t>
  </si>
  <si>
    <t>30 fl oz. tube</t>
  </si>
  <si>
    <t>For consumer and industrial use. BD Loops Shield is a tough, long lasting, flexible one-part moisture curing self-leveling hybrid sealant. BD-LS protects and shields inductance loop wire in concrete, asphalt, and other substrates. BD Loop Shield “BD-LS” is made using one of the most advanced, high performance polymer technologies available in sealants today. BD-LS is designed to seal inductance loops installed in saw-cut slots. BD-LS exhibits excellent adhesion to concrete, asphalt,  paver stones, brick, and a variety of other substrates.</t>
  </si>
  <si>
    <t>Company now "H.B. Fuller".  Product not found there but found under company "BD Loops" and name "BD Loop Shield BD-LS". Can be purchased from "North Shore Commercial Door", "Gate Depot", and other retailers.</t>
  </si>
  <si>
    <t>SCOFIELD® CureSeal 350</t>
  </si>
  <si>
    <t>Sika Corporation</t>
  </si>
  <si>
    <t>≥0.1 - &lt;1%, unspecified</t>
  </si>
  <si>
    <t>1 gal cans or 5 gal pails</t>
  </si>
  <si>
    <t>For industrial and professional use only. Formulated for curing and sealing uncolored concrete, integrally colored concrete, color hardened (shake-on) concrete, stamped or stenciled concrete, and cementitious overlays. SCOFIELD® CureSeal™ 350 visually enhances the concrete color, protects the surface from dirt and staining, and minimizes the effects of de-icing salts and exposure to gas or oil.</t>
  </si>
  <si>
    <t xml:space="preserve">Product data sheet found instead of product SDS. Product not found but similar product is "SCOFIELD® CureSeal-W". </t>
  </si>
  <si>
    <t>Sealer (concrete pavers)</t>
  </si>
  <si>
    <t>Eagle Paver Sealer</t>
  </si>
  <si>
    <t>Eagle I.F.P. Company</t>
  </si>
  <si>
    <t>0.1-0.2%, by weight</t>
  </si>
  <si>
    <t>For commercial use. EAGLE PAVER SEALER is a tough, high gloss acrylic sealer that will darken and richly enhance the colors of your concrete pavers. PAVER SEALER is specially formulated to protect and beautify concrete pavers by helping to prevent water penetration, snuff vegetation growth, prevent surface staining and efflorescence, along with stabilizing the paver joints. PAVER SEALER contains UV inhibitors to prevent yellowing, increase the life span of the sealer, and maintain, or restore, its original color.</t>
  </si>
  <si>
    <t>Sealer (decorative concrete)</t>
  </si>
  <si>
    <t>Cure Seal 100 Plus</t>
  </si>
  <si>
    <t>Clemons Concrete Coatings</t>
  </si>
  <si>
    <t>Liquid (sprayed on)</t>
  </si>
  <si>
    <t>1 or 5 gallon can</t>
  </si>
  <si>
    <t>Vendor</t>
  </si>
  <si>
    <t>SCOFIELD® CureSeal 100 Plus is a Low VOC, styreneacrylic copolymer solution formulated to achieve both a protective and decorative finish as well as allow the concrete to attain full mix design properties. Apply over fresh concrete for curing the concrete, or over existing concrete to seal and protect. spray with a solvent resistant sprayer, a roller may also be used if concrete is hard enough to walk on without
marring the surface</t>
  </si>
  <si>
    <t>Product not found on manufaturer site. Many other sealents listed, but unsure of which is similar to listed product.</t>
  </si>
  <si>
    <t>Updated to Yes. Appears to now be Sika brand https://usa.sika.com/dms/getdocument.get/eb71cc42-9463-43c6-8d22-898837100f84/scofield_cureseal100plus.pdf
industrial, professional use only; but can purchase</t>
  </si>
  <si>
    <t>Eagle Supreme Seal &amp; Eagle Gloss Coat</t>
  </si>
  <si>
    <t>0.15%, by weight</t>
  </si>
  <si>
    <t>EAGLE SUPREME SEAL is a tough, clear, pure acrylic, non-yellowing sealer formulated for all types of concrete. Especially decorative, stained, stamped or colored concrete and provides a high gloss, wet-looking finish. SUPREME SEAL is solvent-based for lasting beauty and durability and will help protect your concrete against weathering and erosion.</t>
  </si>
  <si>
    <t>Stamps (manufacturing)</t>
  </si>
  <si>
    <t>Black Stamp-Ever stamp, Blue Stamp-Ever stamp, Green Stamp-Ever Stamp, Red Stamp-Ever stamp</t>
  </si>
  <si>
    <t>Identity Group</t>
  </si>
  <si>
    <t>&lt;0.2%, by weight</t>
  </si>
  <si>
    <t>Stamp and stamp pad</t>
  </si>
  <si>
    <t>This product is intended for the purpose of marking / printing on porous substrates such as paper or paper board.Can purchase ink refill</t>
  </si>
  <si>
    <t>Product can also be purchased at Office Depot.</t>
  </si>
  <si>
    <t xml:space="preserve">changed COU from arts/crafts to dyes/pigments (this SDS is a reference for dye pigment COU in final scope) </t>
  </si>
  <si>
    <t>Synthetic polymer</t>
  </si>
  <si>
    <t>VINOPRENE 647</t>
  </si>
  <si>
    <t>38-44%, by weight</t>
  </si>
  <si>
    <t>1.06-1.15</t>
  </si>
  <si>
    <t>Solid slab/ rubbery sheet</t>
  </si>
  <si>
    <t>NBR/PVC is a homogeneous blend of nitrile polymers with PVC resin. This is done to increase abrasion resistance, solvent resistance of the polymer, and oxidative stability. Uses for this polymer blend include safety shoes, high performance hoses and cables, foams and flooring applications.</t>
  </si>
  <si>
    <t>Vinyl tile, planks, and accessories</t>
  </si>
  <si>
    <t>Consumer, Commercial</t>
  </si>
  <si>
    <t>Prime WPC/Prime Essentials/Prime SPC</t>
  </si>
  <si>
    <t>Carlton Hardwood Flooring</t>
  </si>
  <si>
    <t>&lt;4%</t>
  </si>
  <si>
    <t>Product not found on manufacturer site or elsewhere.</t>
  </si>
  <si>
    <t>Automotive care products</t>
  </si>
  <si>
    <t>Mar-Hyde™ One-Step Rust Converter, 3513, 1 qt, 6 per case | 3M United States</t>
  </si>
  <si>
    <t>1-5%</t>
  </si>
  <si>
    <t xml:space="preserve">permanently converts rust into a hard, black primer sealer ready for topcoats. </t>
  </si>
  <si>
    <t>Added from COU table citation for automotive care products</t>
  </si>
  <si>
    <t>DUPLI-COLOR® BED ARMOR™</t>
  </si>
  <si>
    <t>DUPLI-COLOR</t>
  </si>
  <si>
    <t>Truck bed coating</t>
  </si>
  <si>
    <t>2022 SDS &lt;0.3% DEHP https://www.grainger.com/sds/pdf/263379.pdf</t>
  </si>
  <si>
    <t>Armstrong Summit All-in-One Hardwood Adhesive</t>
  </si>
  <si>
    <t>15-30</t>
  </si>
  <si>
    <t>Added from CPID database https://www.whatsinproducts.com/types/type_detail/1/17043/standard/p%3EArmstrong%20Summit%20All-in-One%20Hardwood%20Adhesive-05/22/2015/p%3E/01-012-026</t>
  </si>
  <si>
    <t xml:space="preserve">Vinyl flooring </t>
  </si>
  <si>
    <t>HERO ID: 2919092</t>
  </si>
  <si>
    <t>Cable ties</t>
  </si>
  <si>
    <t>https://www.autobodytoolmart.com/product/atd-100-pc-8-black-uv-stabilized-nylon-cable-ties-20408/nylon-cable-ties</t>
  </si>
  <si>
    <t>Added from COU table example products, have Prop65 warning</t>
  </si>
  <si>
    <t>Safety helmets</t>
  </si>
  <si>
    <t>https://www.daystarsafety.com/duo-safety-full-brim-helmets--3</t>
  </si>
  <si>
    <t xml:space="preserve">Batteries </t>
  </si>
  <si>
    <t xml:space="preserve">Camera battery </t>
  </si>
  <si>
    <t>https://www.amazon.com/SPYPOINT-LIT-10-LIT-10-SPP/dp/B086TYQQBG</t>
  </si>
  <si>
    <t>PVC dotted gloves</t>
  </si>
  <si>
    <t>Anchor Brand Dotted Canvas Gloves (nabco2.myshopify.com)</t>
  </si>
  <si>
    <t>Added from COU table example products, have Prop65 warning; Link to webpage is broken with error messgaae: 404 Page Not Found</t>
  </si>
  <si>
    <t>Interior car care</t>
  </si>
  <si>
    <t>glass cleaner</t>
  </si>
  <si>
    <t>0.0026-0.25 mg/g</t>
  </si>
  <si>
    <t>vinyl make up</t>
  </si>
  <si>
    <t>0.032 mg/g</t>
  </si>
  <si>
    <t>fabric waterproofing</t>
  </si>
  <si>
    <t>0.17 mg/g</t>
  </si>
  <si>
    <t>HERO ID</t>
  </si>
  <si>
    <t>Source</t>
  </si>
  <si>
    <t>Location</t>
  </si>
  <si>
    <t xml:space="preserve">Article </t>
  </si>
  <si>
    <t>exp.stat_value</t>
  </si>
  <si>
    <t>exp.stat_value.units</t>
  </si>
  <si>
    <t>Weight Fraction</t>
  </si>
  <si>
    <t>Summary of Literature Values by Model Grouping and Publication</t>
  </si>
  <si>
    <t>Washington Dept of Ecology Product Testing Database</t>
  </si>
  <si>
    <t>Items Reported in CA DOJ Pop 65 litigation database</t>
  </si>
  <si>
    <t>Adult Toys</t>
  </si>
  <si>
    <t>Min</t>
  </si>
  <si>
    <t>Avg</t>
  </si>
  <si>
    <t>Max</t>
  </si>
  <si>
    <t>n items</t>
  </si>
  <si>
    <t xml:space="preserve">Country </t>
  </si>
  <si>
    <t>COU</t>
  </si>
  <si>
    <t>Reported Items</t>
  </si>
  <si>
    <t>Ballpoint pen grips</t>
  </si>
  <si>
    <t>SR</t>
  </si>
  <si>
    <t>Denmark</t>
  </si>
  <si>
    <t>Adult toy</t>
  </si>
  <si>
    <t>0.73</t>
  </si>
  <si>
    <t>mg/g</t>
  </si>
  <si>
    <t>Vinyl Bag and Basket Components</t>
  </si>
  <si>
    <t>Bar stool</t>
  </si>
  <si>
    <t>610</t>
  </si>
  <si>
    <t>Holiday Items</t>
  </si>
  <si>
    <t>363</t>
  </si>
  <si>
    <t>Shower Curtains</t>
  </si>
  <si>
    <t>Arts and Crafts Supplies (Pencils and Pencil Pouches)</t>
  </si>
  <si>
    <t>Book or journal cover</t>
  </si>
  <si>
    <t>702</t>
  </si>
  <si>
    <t>Miscellaneous (toilet stickers, vinyl covers for journals and planners, paint roller)</t>
  </si>
  <si>
    <t>Business card holders</t>
  </si>
  <si>
    <t>265</t>
  </si>
  <si>
    <t>Bags and Wallets (Children's)</t>
  </si>
  <si>
    <t>Checkbook covers</t>
  </si>
  <si>
    <t>3.5</t>
  </si>
  <si>
    <t>Car Mat</t>
  </si>
  <si>
    <t>Footwear Interior Components (Children's)</t>
  </si>
  <si>
    <t>Dry erase markers</t>
  </si>
  <si>
    <t>176</t>
  </si>
  <si>
    <t>Children's Jacket (Exterior Fabric)</t>
  </si>
  <si>
    <t>Ear Muffs with Vinyl/PVC Components, Ear Muffs</t>
  </si>
  <si>
    <t>200</t>
  </si>
  <si>
    <t>Insulated Cords</t>
  </si>
  <si>
    <t>Light up Jewelry (Children's)</t>
  </si>
  <si>
    <t>Earphone Cords</t>
  </si>
  <si>
    <t>Packaging</t>
  </si>
  <si>
    <t>Earphones w/vinyl cords</t>
  </si>
  <si>
    <r>
      <t xml:space="preserve">DOI: </t>
    </r>
    <r>
      <rPr>
        <sz val="12"/>
        <color rgb="FF3B3030"/>
        <rFont val="Times New Roman"/>
        <family val="1"/>
      </rPr>
      <t>10.1097/01.ede.0000339890.48632.e1</t>
    </r>
  </si>
  <si>
    <t>TLS</t>
  </si>
  <si>
    <t>US</t>
  </si>
  <si>
    <t>Shower Curtain</t>
  </si>
  <si>
    <t>Erasers</t>
  </si>
  <si>
    <t>Teether</t>
  </si>
  <si>
    <t>Bib</t>
  </si>
  <si>
    <t>Eyelash Curler Grips</t>
  </si>
  <si>
    <t>Mobile Phone Cover</t>
  </si>
  <si>
    <t>Toys, playground, and sporting equipment</t>
  </si>
  <si>
    <t>Children's Toys</t>
  </si>
  <si>
    <t>Guest check holders</t>
  </si>
  <si>
    <t>Mobile Phone Covers</t>
  </si>
  <si>
    <t>Air Mattresses and Sleeping Mats</t>
  </si>
  <si>
    <t>Handbag</t>
  </si>
  <si>
    <t>10622421</t>
  </si>
  <si>
    <t xml:space="preserve">shower curtain </t>
  </si>
  <si>
    <t>Sleeping Mats</t>
  </si>
  <si>
    <t>Hands-free headset</t>
  </si>
  <si>
    <t>Air Bed</t>
  </si>
  <si>
    <t>Headphones</t>
  </si>
  <si>
    <t>Clothing/Footwear (Adult)</t>
  </si>
  <si>
    <t>Headset cords</t>
  </si>
  <si>
    <t>Rainwear, Footwear, and Mittens</t>
  </si>
  <si>
    <t>Kitchen Tools</t>
  </si>
  <si>
    <t>Flooring</t>
  </si>
  <si>
    <t>Zipper Pulls</t>
  </si>
  <si>
    <t>Cables and cords</t>
  </si>
  <si>
    <t>Pen Cases and pouches</t>
  </si>
  <si>
    <t>Wallpaper</t>
  </si>
  <si>
    <t>Pet waste Bag Holder</t>
  </si>
  <si>
    <t>Miscellaneous Small Items/Outdoor Use Only</t>
  </si>
  <si>
    <t>Tool Grips</t>
  </si>
  <si>
    <t>phone charger</t>
  </si>
  <si>
    <t>Coated Textiles</t>
  </si>
  <si>
    <t>Vinyl Bags</t>
  </si>
  <si>
    <t>https://www.ecocenter.org/sites/default/files/2022-04/DS_SPSSoutput_byretailer.pdf</t>
  </si>
  <si>
    <t>wireless earbuds</t>
  </si>
  <si>
    <t>Electronic Device Cases</t>
  </si>
  <si>
    <t>diving goggles</t>
  </si>
  <si>
    <t>Coated Padlocks</t>
  </si>
  <si>
    <t>bags</t>
  </si>
  <si>
    <t>Sports Equipment</t>
  </si>
  <si>
    <t>Electrical Tape</t>
  </si>
  <si>
    <t>Exercise Balls</t>
  </si>
  <si>
    <t>pet chew toy</t>
  </si>
  <si>
    <t>Eyeglass cases</t>
  </si>
  <si>
    <t>keyrings</t>
  </si>
  <si>
    <t>feeding mat</t>
  </si>
  <si>
    <t>desk organizers</t>
  </si>
  <si>
    <t>Arts, Crafts, and Hobby Materials</t>
  </si>
  <si>
    <t>wall sticker</t>
  </si>
  <si>
    <t>cover for garden furniture</t>
  </si>
  <si>
    <t>garden hose</t>
  </si>
  <si>
    <t>https://www.ecocenter.org/sites/default/files/2022-11/Garden%20Hose%20Report%20June%2020%202016.pdf</t>
  </si>
  <si>
    <t>hoses and tubing</t>
  </si>
  <si>
    <t>napkin rings</t>
  </si>
  <si>
    <t>Soap packaging</t>
  </si>
  <si>
    <t>poster carriers</t>
  </si>
  <si>
    <t>bath mats</t>
  </si>
  <si>
    <t>Handbags</t>
  </si>
  <si>
    <t>synthetic leather handbag</t>
  </si>
  <si>
    <t>Japan</t>
  </si>
  <si>
    <t>lampshade</t>
  </si>
  <si>
    <t>Household Bags</t>
  </si>
  <si>
    <t>Outdoor Furniture Cover</t>
  </si>
  <si>
    <t>Dinner mat</t>
  </si>
  <si>
    <t>Osaka</t>
  </si>
  <si>
    <t>PVC gloves</t>
  </si>
  <si>
    <t>22.1</t>
  </si>
  <si>
    <t>%</t>
  </si>
  <si>
    <t>41</t>
  </si>
  <si>
    <t>30.1</t>
  </si>
  <si>
    <t>7.5</t>
  </si>
  <si>
    <t>Lampshade</t>
  </si>
  <si>
    <t>work gloves</t>
  </si>
  <si>
    <t>tub mat</t>
  </si>
  <si>
    <t>Car Steering Wheel Cover</t>
  </si>
  <si>
    <t>Bath Tub Appliques</t>
  </si>
  <si>
    <t>Silly Straws</t>
  </si>
  <si>
    <t>vinyl floor runner</t>
  </si>
  <si>
    <t>custom grip steering wheel cover</t>
  </si>
  <si>
    <t>Interior car care products</t>
  </si>
  <si>
    <t>6302451 </t>
  </si>
  <si>
    <t>glass cleaner, vinyl make up, fabric waterproofing</t>
  </si>
  <si>
    <t>car mat</t>
  </si>
  <si>
    <t>Extension Cord</t>
  </si>
  <si>
    <t>eraser</t>
  </si>
  <si>
    <t>cell phone cover</t>
  </si>
  <si>
    <t>sleeping mat</t>
  </si>
  <si>
    <t>air bed</t>
  </si>
  <si>
    <t>Clothing/Footwear</t>
  </si>
  <si>
    <t>flip flops</t>
  </si>
  <si>
    <t>rainwear</t>
  </si>
  <si>
    <t>mittens</t>
  </si>
  <si>
    <t>rubber clogs</t>
  </si>
  <si>
    <t xml:space="preserve">vinyl flooring </t>
  </si>
  <si>
    <t>vinyl tile</t>
  </si>
  <si>
    <t>self adhesive vinyl floor tiles</t>
  </si>
  <si>
    <t>wallpaper</t>
  </si>
  <si>
    <t>Textiles</t>
  </si>
  <si>
    <t>PU leather furniture</t>
  </si>
  <si>
    <t>oilcloth</t>
  </si>
  <si>
    <t>balance ball</t>
  </si>
  <si>
    <t>mini ball</t>
  </si>
  <si>
    <t>training ball</t>
  </si>
  <si>
    <t>redondo ball</t>
  </si>
  <si>
    <t>jump rope</t>
  </si>
  <si>
    <t>yoga mat</t>
  </si>
  <si>
    <t>football</t>
  </si>
  <si>
    <t>hobby cutting board</t>
  </si>
  <si>
    <t>Pencil Pouch</t>
  </si>
  <si>
    <t>Children's Toy</t>
  </si>
  <si>
    <t>Antwerp</t>
  </si>
  <si>
    <t>15</t>
  </si>
  <si>
    <t>ug/g</t>
  </si>
  <si>
    <t>17300</t>
  </si>
  <si>
    <t>432000</t>
  </si>
  <si>
    <t>150</t>
  </si>
  <si>
    <t>686000</t>
  </si>
  <si>
    <t>50</t>
  </si>
  <si>
    <t>70</t>
  </si>
  <si>
    <t>180</t>
  </si>
  <si>
    <t>840</t>
  </si>
  <si>
    <t>Germany</t>
  </si>
  <si>
    <t>1.9</t>
  </si>
  <si>
    <t>20</t>
  </si>
  <si>
    <t>24.7</t>
  </si>
  <si>
    <t>25.9</t>
  </si>
  <si>
    <t>28</t>
  </si>
  <si>
    <t>31</t>
  </si>
  <si>
    <t>Added in products we found in elsewhere.</t>
  </si>
  <si>
    <t xml:space="preserve">Removed ACC identified products that products identified through other sources and had WF (SDS available for similar products). </t>
  </si>
  <si>
    <t>Sub Category COU</t>
  </si>
  <si>
    <t>Use Scenario Name for Modeling</t>
  </si>
  <si>
    <t>Product Name</t>
  </si>
  <si>
    <t xml:space="preserve">Manufacturer </t>
  </si>
  <si>
    <t>Percent in Product (weight, volume, or unspecified)</t>
  </si>
  <si>
    <t>WF for Calcuations</t>
  </si>
  <si>
    <t>Reference HERO ID (if applicable)</t>
  </si>
  <si>
    <t xml:space="preserve">General Use Description 
</t>
  </si>
  <si>
    <t>Physical State (Product Form)</t>
  </si>
  <si>
    <t>Density</t>
  </si>
  <si>
    <t>Application Info for Products</t>
  </si>
  <si>
    <t>General Use Environment</t>
  </si>
  <si>
    <t>Reported WF correct?</t>
  </si>
  <si>
    <t>min</t>
  </si>
  <si>
    <t>max</t>
  </si>
  <si>
    <t>avg</t>
  </si>
  <si>
    <t>Value</t>
  </si>
  <si>
    <t>Packaging (include weight or volume if avialable)</t>
  </si>
  <si>
    <t>Application Method, Tools and Rate</t>
  </si>
  <si>
    <t>Automotive, fuel, agriculture, outdoor use products</t>
  </si>
  <si>
    <t>Automotive Care Products</t>
  </si>
  <si>
    <t>Automotive Adhesives</t>
  </si>
  <si>
    <t>EPA Use Report</t>
  </si>
  <si>
    <t xml:space="preserve">BETASEAL™ Xpress 30 BP Urethane Adhesive </t>
  </si>
  <si>
    <t xml:space="preserve">The Dow Chemical Company </t>
  </si>
  <si>
    <t xml:space="preserve">&gt; 15.0 – &lt; 25.0 % </t>
  </si>
  <si>
    <t xml:space="preserve"> Used to bond stationary glass in vehicles</t>
  </si>
  <si>
    <t>Paste</t>
  </si>
  <si>
    <t>Sausages</t>
  </si>
  <si>
    <t>Requires a 26 to 1 Thrust Ratio Professional Sausage Type Caulk Gun to Dispense or Better</t>
  </si>
  <si>
    <t>Garage</t>
  </si>
  <si>
    <t xml:space="preserve">FUSOR 800DTM </t>
  </si>
  <si>
    <t xml:space="preserve">LORD Corporation </t>
  </si>
  <si>
    <t xml:space="preserve">25 – 30%, unspecified </t>
  </si>
  <si>
    <t>Repairing standing seams and cosmetic seams in automotive and industrial repair. Typical application unclude truck bed seams, sidewalls, floor pan seams, brush seams, areas where non sag cosmetic dealer is needed.</t>
  </si>
  <si>
    <t>Liquid/Paste</t>
  </si>
  <si>
    <t>g/cm3</t>
  </si>
  <si>
    <t>10 oz tube</t>
  </si>
  <si>
    <t>Prepare – Clean the area to be sealed with Fusor 703 adhesion prep/cleaner. Surfaces should be free of grease, dirt and other contaminants.
Apply – Using Fusor 313 manual seam sealer gun, apply sealer to substrate and mate the parts within the work time of the material. Do not allow the material to skin over before mating parts.
If desired, tool or acid brush the sealer to the desired texture. 
If tooling, use the reducer from your paint system. Avoid using other solvents or water as this may inhibit the curing characteristics or performance of the product.
Finish – Cure will vary depending on temperature and humidity. Product cures 1/8 inch every 24 hours at 77°F (25°C). Product thickness will determine full cure time.
Prime and paint per manufacturer’s recommendations immediately or within 30 days on dirt- and dust-free surface..</t>
  </si>
  <si>
    <t>Targeted Product Search</t>
  </si>
  <si>
    <t>3M™ All-Around Autobody Sealant, PN 08500, 08510</t>
  </si>
  <si>
    <t xml:space="preserve">3M </t>
  </si>
  <si>
    <t>3-7%</t>
  </si>
  <si>
    <t>Amazon reviews indicate that people use this for a lot of miscellaneous repairs (seam seals under roof racks, truck bed, patch adhesive)</t>
  </si>
  <si>
    <t>gap filler/seam sealer. Can be painted in 30-45 min. Applied with caulk gun</t>
  </si>
  <si>
    <t xml:space="preserve">U-Pol Tiger Seal - Grey </t>
  </si>
  <si>
    <t xml:space="preserve">U-Pol Australia Pty Limited </t>
  </si>
  <si>
    <t xml:space="preserve">5 – 23%, unspecified </t>
  </si>
  <si>
    <t xml:space="preserve">Amazon reviews indicate that people use this for a lot of miscellaneous repairs (seam seals under roof racks, truck bed, patch adhesive). One reviewer specifically said the best method to smooth is "a wet finger". </t>
  </si>
  <si>
    <t>310 ml Tube</t>
  </si>
  <si>
    <t>Can be used to seal around windows
Permanently seals and bonds body panels and trim. Applied with caulk gun</t>
  </si>
  <si>
    <t>Construction, paint, electrical, and metal products</t>
  </si>
  <si>
    <t xml:space="preserve">Caulking Compounds </t>
  </si>
  <si>
    <t>SIDE Winder Advanced Polymer Sealant - All Colors</t>
  </si>
  <si>
    <t xml:space="preserve">DAP Products Inc. </t>
  </si>
  <si>
    <t xml:space="preserve">1 – 2.5%, by weight </t>
  </si>
  <si>
    <t>N</t>
  </si>
  <si>
    <t xml:space="preserve">Provides a durable, waterproof and weatherproof seal on vinyl, aluminum, fiber cement and wood windows, siding and trim. Amazon reviews indicate that it is used for both indoor and outdoor applications </t>
  </si>
  <si>
    <t>10.1 floz tube</t>
  </si>
  <si>
    <t>Caulk gun</t>
  </si>
  <si>
    <t>Bathroom</t>
  </si>
  <si>
    <t xml:space="preserve">3.0 Window, Door, Trim &amp; Siding Sealant Crystal Clear </t>
  </si>
  <si>
    <t>3M™ Polyurethane Sealant 540 (Various Colors)</t>
  </si>
  <si>
    <t xml:space="preserve">&lt;5%, by weight </t>
  </si>
  <si>
    <t>MULTI-PURPOSE BONDING: Forms long lasting seals dissimilar materials such as plastics, fiberglass reinforced plastic (FRP), sheet molding compound (SMC), aluminum, steel, coated metal and wood for increased design flexibility</t>
  </si>
  <si>
    <t xml:space="preserve">DuoSil® Ultra </t>
  </si>
  <si>
    <t>Siroflex Incorporated</t>
  </si>
  <si>
    <t xml:space="preserve">10 – 15%, by weight </t>
  </si>
  <si>
    <t>Can be used to fill butt joints in vinyl, aluminum and concrete siding, windows, doors, column joints, gutters,
, roofs, brick molding, counter tops, showers and most areas where a sealant is needed</t>
  </si>
  <si>
    <t>3M™ Weatherban™ Acrylic Sealant 606-NF, White</t>
  </si>
  <si>
    <t>3-10%</t>
  </si>
  <si>
    <t>Roofing Adhesives</t>
  </si>
  <si>
    <t xml:space="preserve">EPDM Solvent-Free Bonding Adhesive </t>
  </si>
  <si>
    <t xml:space="preserve">Firestone Building Products Company </t>
  </si>
  <si>
    <t xml:space="preserve">30 – 31%, unspecified </t>
  </si>
  <si>
    <t>Outdoors</t>
  </si>
  <si>
    <t>GenFlex</t>
  </si>
  <si>
    <t>30-31%</t>
  </si>
  <si>
    <t>Adhesive Foam</t>
  </si>
  <si>
    <t xml:space="preserve">PU1000 Multipurpose Adhesive </t>
  </si>
  <si>
    <t>Chemtron International Inc</t>
  </si>
  <si>
    <t xml:space="preserve">0.1 – &lt;1%, unspecified </t>
  </si>
  <si>
    <t>TREMPRO PU1000 has been developed for use in commercial construction including subfloor assembly, interior drywall installation, SIPS panels, metal substrates, EIFS systems, landscaping bricks/blocks and natural stone</t>
  </si>
  <si>
    <r>
      <t> </t>
    </r>
    <r>
      <rPr>
        <b/>
        <sz val="10"/>
        <color rgb="FF5F6368"/>
        <rFont val="Arial"/>
        <family val="2"/>
      </rPr>
      <t>0.726</t>
    </r>
  </si>
  <si>
    <t>24 oz can</t>
  </si>
  <si>
    <t>Spray Foam Adhesive. In can</t>
  </si>
  <si>
    <t>Indoor/Outdoor/Miscellaneous</t>
  </si>
  <si>
    <t>Polyurethane Injection Resin</t>
  </si>
  <si>
    <t xml:space="preserve">Polyfoam SLV </t>
  </si>
  <si>
    <t xml:space="preserve">Polygem </t>
  </si>
  <si>
    <t xml:space="preserve">≤15%, by weight </t>
  </si>
  <si>
    <t xml:space="preserve">POLYFOAM-SLV is an extremely low viscosity polyurethane injection resin designed to permanently seal leaks in concrete and masonry structures.  Immediately upon contact with water, POLYFOAM-SLV rapidly expands and forms a tough, flexible, closed-cell foam that can not be penetrated by water or other liquids. 
</t>
  </si>
  <si>
    <t>1 Gallon Kit with 4 oz of Activator
5 Gallon Kits with 1 Pint (16 oz)  of Activator</t>
  </si>
  <si>
    <t>1. Drill injection port holes 6” to 24” apart at a 45°angle to intersect the crack at 1/2 the crack depth.
2. Clean holes and install injection ports leaving injection tips off of ports.
3.Install injection tip on 1st port and Inject POLYFOAM-SLV until resin appears at next higher port.
4.  Repeat step 3 on next higher port until entire crack has been fully injected with POLYFOAM-SLV (Consult Polygems Technical department for further detailed repair procedures)</t>
  </si>
  <si>
    <t>Adhesives for Small Repairs</t>
  </si>
  <si>
    <t xml:space="preserve">Gardner Flex ‘n Fill Premium Patching Paste </t>
  </si>
  <si>
    <t xml:space="preserve">Gardner-Gibson </t>
  </si>
  <si>
    <t xml:space="preserve">2% by weight </t>
  </si>
  <si>
    <t>Y</t>
  </si>
  <si>
    <t>Used for Painting Supplies Patch, Fill &amp; Repair</t>
  </si>
  <si>
    <t>lbs/gal</t>
  </si>
  <si>
    <t>8 oz container</t>
  </si>
  <si>
    <t>Spackle knife</t>
  </si>
  <si>
    <t>Indoor Home</t>
  </si>
  <si>
    <t xml:space="preserve">Brush On Electrical Tape Black 4 Fl.Oz </t>
  </si>
  <si>
    <t>Technical Chemical Company</t>
  </si>
  <si>
    <t xml:space="preserve">1 – 10% </t>
  </si>
  <si>
    <t>Use anywhere a dependable weatherproof connection is required 
Great for hard to tape places
Quick drying formula</t>
  </si>
  <si>
    <t>RD</t>
  </si>
  <si>
    <t>4 fl. oz.</t>
  </si>
  <si>
    <t>Brush-on</t>
  </si>
  <si>
    <t>Paints and Coatings</t>
  </si>
  <si>
    <t>Paint/Laquer (Large Project)</t>
  </si>
  <si>
    <t>CPID</t>
  </si>
  <si>
    <t>Water White Rubbed Effect Clear Lacquer (Professional)</t>
  </si>
  <si>
    <t>Gemini Coatings, Inc.</t>
  </si>
  <si>
    <t>Not available</t>
  </si>
  <si>
    <t>Aerosol/spray</t>
  </si>
  <si>
    <t>Paint/Lacquer (Small Project)</t>
  </si>
  <si>
    <t>WATCO®
Lacquer Clear Wood Finish Spray</t>
  </si>
  <si>
    <t>Rust-Oleum</t>
  </si>
  <si>
    <t>1.0-2.5% by weight</t>
  </si>
  <si>
    <t>WATCO® Lacquer Clear Wood Finish Spray is the finest lacquer available. Apply to furniture, doors, cabinets and paneling for a crystal-clear, durable wood finish and seal. Dries in 30 minutes and does not require sanding between coats. Please read product labels for additional directions and precautions before using</t>
  </si>
  <si>
    <t>`</t>
  </si>
  <si>
    <t>11.5 oz. spray can</t>
  </si>
  <si>
    <t>40 sq.ft./can, 2-3 coats required</t>
  </si>
  <si>
    <t xml:space="preserve">Castle® Cast Iron Gray Paint™ </t>
  </si>
  <si>
    <t xml:space="preserve">Castle Products, Inc. </t>
  </si>
  <si>
    <t xml:space="preserve">1-5%, unspecified </t>
  </si>
  <si>
    <t>Castle® Cast Iron Gray Paint is created especially for engine re-builders. It is fast drying, leaving a hard tough film that makes the rebuilt part look factory fresh. The tough finish resists heat, gasoline, grease, oil, and moisture. It will not harm cylinder walls.  
Designed for engine re-builders but can be used wherever desired for painting a surface.</t>
  </si>
  <si>
    <t>Vapor density</t>
  </si>
  <si>
    <t>16 oz spray can</t>
  </si>
  <si>
    <t xml:space="preserve">Shake well (mixing ball should move freely for one minute). Hold can 6-8 inches from surface.Use overlapping strokes. Two thin coats are better than one heavy coat
</t>
  </si>
  <si>
    <t>Building construction materials (wire and cable jacketing, wall coverings, roofing, pool applications, etc.)</t>
  </si>
  <si>
    <t>Specialty Wall Coverings</t>
  </si>
  <si>
    <t>American Chemistry Council</t>
  </si>
  <si>
    <t>Laminate Material</t>
  </si>
  <si>
    <t>Unknown. Specific product not reported</t>
  </si>
  <si>
    <t>4-5%</t>
  </si>
  <si>
    <t>ACC, 2023</t>
  </si>
  <si>
    <t>n/a</t>
  </si>
  <si>
    <t>Kitchen</t>
  </si>
  <si>
    <t xml:space="preserve">LG Premium PVC High Glossy Deco Sheet (G200) </t>
  </si>
  <si>
    <t xml:space="preserve">LG Chemical Ltd. </t>
  </si>
  <si>
    <t xml:space="preserve">0 – 2%, by weight </t>
  </si>
  <si>
    <t>Covering outisde of furniture or cabnitry</t>
  </si>
  <si>
    <t>Alpha Style 3478-VS-2 Coated Fiberglass Fabric</t>
  </si>
  <si>
    <t xml:space="preserve">Alpha Engineered Composites LLC </t>
  </si>
  <si>
    <t xml:space="preserve">9.4-10.2%, unspecified </t>
  </si>
  <si>
    <t>This product is designed for use as a core material for flexible duct applications and can also be used as a facing material for sound attenuating blankets and many other applications.</t>
  </si>
  <si>
    <t>Danish EPA, 2001 (For DIDP and DINP)
Danish EPA, 2010a</t>
  </si>
  <si>
    <t>PVC Wallpaper</t>
  </si>
  <si>
    <t>Not Specified</t>
  </si>
  <si>
    <t>23-26%</t>
  </si>
  <si>
    <t>Whole House</t>
  </si>
  <si>
    <t>Roofing Membrane</t>
  </si>
  <si>
    <t>California OEHHA - manufacturer reported value</t>
  </si>
  <si>
    <t>single-ply (SP) PVC 
roofing membrane products</t>
  </si>
  <si>
    <t>maximum 15% wt</t>
  </si>
  <si>
    <t xml:space="preserve"> </t>
  </si>
  <si>
    <t>Use on flat or low pitch roofs (instead of shingles)</t>
  </si>
  <si>
    <t>Wire Insulation</t>
  </si>
  <si>
    <t>ECHA</t>
  </si>
  <si>
    <t xml:space="preserve">Miscellaneous </t>
  </si>
  <si>
    <t>Miscellaneous</t>
  </si>
  <si>
    <t>Electrical cord/wire insulation</t>
  </si>
  <si>
    <t>Solvents</t>
  </si>
  <si>
    <t>Solvents (for cleaning or degreasing)</t>
  </si>
  <si>
    <t>Pump Flush</t>
  </si>
  <si>
    <t>Mountain Grout Pump Flush</t>
  </si>
  <si>
    <t xml:space="preserve">Green Mountain International LLC </t>
  </si>
  <si>
    <t xml:space="preserve">95 – 100%, by weight </t>
  </si>
  <si>
    <t>Liquid</t>
  </si>
  <si>
    <t>Furnishing, cleaning, treatment/care products</t>
  </si>
  <si>
    <t>Floor coverings/Plasticizer in construction and building materials covering large surface areas including stone, plaster, cement, glass and ceramic articles; fabrics, textiles and apparel (vinyl tiles, resilient flooring, PVC-backed carpeting)</t>
  </si>
  <si>
    <t>Carpet Backing</t>
  </si>
  <si>
    <t>GlasBac®RE modular carpet tiles</t>
  </si>
  <si>
    <t>Interface Asia Pacific</t>
  </si>
  <si>
    <t xml:space="preserve"> GlasBac® modular carpet tiles</t>
  </si>
  <si>
    <t>Tandus Centiva ER3® modular vinyl carpet tiles</t>
  </si>
  <si>
    <t>Tandus Centiva</t>
  </si>
  <si>
    <t>Vinyl tiles</t>
  </si>
  <si>
    <t>Heterogeneous Vinyl Flooring (in sheets):</t>
  </si>
  <si>
    <t>3.5% – 22.0% by weight of the product, with an average DINP content of 21.2%</t>
  </si>
  <si>
    <t>Homogeneous Vinyl Flooring (in sheets)</t>
  </si>
  <si>
    <t>14% - 19% by weight of the product, with an average plasticizer content of 15.6%</t>
  </si>
  <si>
    <t>Vinyl Tile</t>
  </si>
  <si>
    <t>6% - 21% by weight of the product, with an average plasticizer content of 7.3%.</t>
  </si>
  <si>
    <t>Vinyl Composition Tile</t>
  </si>
  <si>
    <t>s 0.07% DINP. RFCI reports the average plasticizer content as 3.5%</t>
  </si>
  <si>
    <t>Furniture and furnishings (furniture and furnishings including plastic articles (soft); leather articles)</t>
  </si>
  <si>
    <t>Coated textiles (Outdoor Furniture)</t>
  </si>
  <si>
    <t xml:space="preserve">Phifertex® fabric </t>
  </si>
  <si>
    <t>Phifer</t>
  </si>
  <si>
    <t>The DINP content of the PVC coating ranges from 20% to 25%, depending on the particular mesh of the fabric.</t>
  </si>
  <si>
    <t>Fabric, textile, and leather products (apparel and footwear care products)</t>
  </si>
  <si>
    <t>Coated textiles (Truck Awning)</t>
  </si>
  <si>
    <t>Roofs for sports arenas, truck awnings</t>
  </si>
  <si>
    <t>30-40% wt</t>
  </si>
  <si>
    <t>Foam seating and bedding products</t>
  </si>
  <si>
    <t>Foam Cushions</t>
  </si>
  <si>
    <t>Experimental Measurements</t>
  </si>
  <si>
    <t>foam mattresses</t>
  </si>
  <si>
    <t>miscellaneous</t>
  </si>
  <si>
    <t>min was 0.6 mg/g, mean value observed was 22.3 mg/g, and the max value observed was 63.6 mg/g</t>
  </si>
  <si>
    <t>Living Room</t>
  </si>
  <si>
    <r>
      <rPr>
        <b/>
        <sz val="8"/>
        <color rgb="FF000000"/>
        <rFont val="Calibri"/>
        <family val="2"/>
        <scheme val="minor"/>
      </rPr>
      <t xml:space="preserve">(1) </t>
    </r>
    <r>
      <rPr>
        <sz val="8"/>
        <color rgb="FF000000"/>
        <rFont val="Calibri"/>
        <family val="2"/>
        <scheme val="minor"/>
      </rPr>
      <t xml:space="preserve">Furniture and furnishings (furniture and furnishings including plastic articles (soft); leather articles)  and Fabric, textile, and leather products (apparel and footwear care products) </t>
    </r>
    <r>
      <rPr>
        <b/>
        <sz val="8"/>
        <color rgb="FF000000"/>
        <rFont val="Calibri"/>
        <family val="2"/>
        <scheme val="minor"/>
      </rPr>
      <t>(2)</t>
    </r>
    <r>
      <rPr>
        <sz val="8"/>
        <color rgb="FF000000"/>
        <rFont val="Calibri"/>
        <family val="2"/>
        <scheme val="minor"/>
      </rPr>
      <t xml:space="preserve"> Fabric, textile, and leather products (apparel and footwear care products)</t>
    </r>
  </si>
  <si>
    <r>
      <rPr>
        <b/>
        <sz val="11"/>
        <color rgb="FF000000"/>
        <rFont val="Calibri"/>
        <family val="2"/>
        <scheme val="minor"/>
      </rPr>
      <t>(1)</t>
    </r>
    <r>
      <rPr>
        <sz val="11"/>
        <color rgb="FF000000"/>
        <rFont val="Calibri"/>
        <family val="2"/>
        <scheme val="minor"/>
      </rPr>
      <t xml:space="preserve"> Indoor Furniture, </t>
    </r>
    <r>
      <rPr>
        <b/>
        <sz val="11"/>
        <color rgb="FF000000"/>
        <rFont val="Calibri"/>
        <family val="2"/>
        <scheme val="minor"/>
      </rPr>
      <t>(2)</t>
    </r>
    <r>
      <rPr>
        <sz val="11"/>
        <color rgb="FF000000"/>
        <rFont val="Calibri"/>
        <family val="2"/>
        <scheme val="minor"/>
      </rPr>
      <t xml:space="preserve"> Clothing</t>
    </r>
  </si>
  <si>
    <t>Synthetic Leather</t>
  </si>
  <si>
    <t>25-35% wt</t>
  </si>
  <si>
    <t>Lam-A-Lite™ vinyl coated polyester</t>
  </si>
  <si>
    <t xml:space="preserve">BondCote Corporation </t>
  </si>
  <si>
    <t xml:space="preserve">16%, by weight </t>
  </si>
  <si>
    <t>Suggested applications for Lam-A-Lite include cushions, curtains, wall pads, and equipment covers.</t>
  </si>
  <si>
    <t>Air Care Products</t>
  </si>
  <si>
    <t>Scented Oil</t>
  </si>
  <si>
    <t>Packaging, paper, plastic, hobby products</t>
  </si>
  <si>
    <t xml:space="preserve">Arts, crafts, and hobby materials </t>
  </si>
  <si>
    <t>Crafting Resin</t>
  </si>
  <si>
    <t xml:space="preserve">TC-889 PART B </t>
  </si>
  <si>
    <t xml:space="preserve">BJB Enterprises, Inc. </t>
  </si>
  <si>
    <t xml:space="preserve">15-40%, by weight </t>
  </si>
  <si>
    <t>Model making, crafting projects, art projects</t>
  </si>
  <si>
    <t>jug</t>
  </si>
  <si>
    <t>Can be used to cast models. 2.5 minute
work time after mixing</t>
  </si>
  <si>
    <t>Utility Room</t>
  </si>
  <si>
    <t xml:space="preserve">TC-890 PART A </t>
  </si>
  <si>
    <t xml:space="preserve">BJB Enterprises Inc. </t>
  </si>
  <si>
    <t xml:space="preserve">10 – 30%, by weight </t>
  </si>
  <si>
    <t>Can be used to create molds for resins and concrete. 5 min work time after mixing</t>
  </si>
  <si>
    <t>Reoflex 30</t>
  </si>
  <si>
    <t>BJB Enterprises</t>
  </si>
  <si>
    <t>&lt;25% by weight</t>
  </si>
  <si>
    <t>Can be used to create molds for resins and concrete After dispensing equal amounts of Parts A and B into mixing container, mix thoroughly for at least 3 minutes. Cure time 16 hours</t>
  </si>
  <si>
    <t xml:space="preserve">Urethane 2718 Part A </t>
  </si>
  <si>
    <t xml:space="preserve">Smooth-On, Inc. </t>
  </si>
  <si>
    <t xml:space="preserve">&lt;10%, unspecified </t>
  </si>
  <si>
    <t xml:space="preserve">Can be used to cast models. </t>
  </si>
  <si>
    <t>Rubber Eraser</t>
  </si>
  <si>
    <t>Not Provided</t>
  </si>
  <si>
    <t>Multiple/not provided</t>
  </si>
  <si>
    <t xml:space="preserve">Unknown </t>
  </si>
  <si>
    <t>Standard eraser</t>
  </si>
  <si>
    <t>Washington State Consumer Product Monitoring Data</t>
  </si>
  <si>
    <t>Multiple</t>
  </si>
  <si>
    <t>22 ppm - 90 ppm</t>
  </si>
  <si>
    <t>https://apps.ecology.wa.gov/ptdbreporting/</t>
  </si>
  <si>
    <t>Other articles with routine direct contact during normal use including rubber articles; plastic articles (hard); vinyl tape; flexible tubes; profiles; hoses</t>
  </si>
  <si>
    <t>Car Mats</t>
  </si>
  <si>
    <t>Automobile</t>
  </si>
  <si>
    <t xml:space="preserve">The minimum value observed was 0.1%, mean value observed was 15.9%, and maximum value observed value was 39%; </t>
  </si>
  <si>
    <t>Sports mats</t>
  </si>
  <si>
    <t>Mainly non-phthalate plasticizers used, typical plasticizer content 30 wt% (including fabric)</t>
  </si>
  <si>
    <t>Gym</t>
  </si>
  <si>
    <t>Children toys-Legacy/Non-Compliant</t>
  </si>
  <si>
    <t>Bedroom</t>
  </si>
  <si>
    <t>Children toys-new</t>
  </si>
  <si>
    <t>CPSC rule</t>
  </si>
  <si>
    <t>NA</t>
  </si>
  <si>
    <t>Other</t>
  </si>
  <si>
    <t>Novelty Products</t>
  </si>
  <si>
    <t>Adult Toy</t>
  </si>
  <si>
    <t>Building construction materials (wire and cable jacketing, wall coverings, roofing, pool applications, etc.)d</t>
  </si>
  <si>
    <t>Small articles with the potetial for semi-routine contact</t>
  </si>
  <si>
    <t xml:space="preserve">3M™ Economy Vinyl Electrical Tape 1400, 1400C </t>
  </si>
  <si>
    <t xml:space="preserve">M™ Economy Vinyl Electrical Tape 1400 is a black 7 mil thick, general use vinyl-insulating tape. It is designed to perform continuously in temperatures up to 80°C (176°F). This tape has a polyvinyl chloride (PVC) backing with pressure–sensitive rubber based adhesive. It inhibits corrosion of electrical conductors. </t>
  </si>
  <si>
    <t xml:space="preserve">Serrated PVC Spline </t>
  </si>
  <si>
    <t xml:space="preserve">Prime Line </t>
  </si>
  <si>
    <t xml:space="preserve">14%, by weight </t>
  </si>
  <si>
    <t>Scotch® Fire Retardant Electric Arc Proofing Tape 77, Black</t>
  </si>
  <si>
    <t>Minor repairs to electrical wires</t>
  </si>
  <si>
    <t>Scotch® Vinyl Electrical Coding Tape 35 (Blue, Brown, Gray, Green, Orange, Pink, Red, Violet, White, Yellow)</t>
  </si>
  <si>
    <t xml:space="preserve">&lt;3%, by weight </t>
  </si>
  <si>
    <t>Foam seating and bedding products /  Furniture and furnishings (furniture and furnishings including plastic articles (soft); leather articles)</t>
  </si>
  <si>
    <t>Integrated cushions in chairs or banquettes, (artificial leather with foam layer) to wrap the cushion</t>
  </si>
  <si>
    <t>30-35% wt</t>
  </si>
  <si>
    <t>Ink, toner, and colorant products</t>
  </si>
  <si>
    <t>Not provided</t>
  </si>
  <si>
    <t>limit of DINP in textiles to &lt;0.1 wt% (Oeko-Tex standard)</t>
  </si>
  <si>
    <t>Work Gloves</t>
  </si>
  <si>
    <t>30%, 0.9%</t>
  </si>
  <si>
    <t>Home maintenance Tasks (gardening, dishes)</t>
  </si>
  <si>
    <t>PVC disposable PVC gloves</t>
  </si>
  <si>
    <t>0.4%, 0.4%, 0.13, 7.48%</t>
  </si>
  <si>
    <t>Miscellaneous home tasks including food prep</t>
  </si>
  <si>
    <t>Pet Chew Toy</t>
  </si>
  <si>
    <t>Garden Hose</t>
  </si>
  <si>
    <t xml:space="preserve">gardening/yard maintenance
</t>
  </si>
  <si>
    <t>Cell Phone Cover</t>
  </si>
  <si>
    <t>protective cover for mobile phone</t>
  </si>
  <si>
    <t>Taurpaulin</t>
  </si>
  <si>
    <t>Miscellaneous outdoors</t>
  </si>
  <si>
    <t>Miscellaneous Bags (storage, packaging, tote bags)</t>
  </si>
  <si>
    <t>29.4%, 30.6%</t>
  </si>
  <si>
    <t>storage, packaging</t>
  </si>
  <si>
    <t>Hobby Cutting Board</t>
  </si>
  <si>
    <t>1.4%, 1.6%</t>
  </si>
  <si>
    <t>arts and crafts projects</t>
  </si>
  <si>
    <t>Packaging, paper, plastic, hobby products (packaging (excluding food packaging), including rubber articles; plastic articles (hard); plastic articles (soft))</t>
  </si>
  <si>
    <t>PVC Soap Packaging</t>
  </si>
  <si>
    <t>10%, 8.75%</t>
  </si>
  <si>
    <t>Showering, handwashing</t>
  </si>
  <si>
    <t>Floor mats</t>
  </si>
  <si>
    <t>3M (TM) Nomad (Tm) Scraper Matting 9100, Gypsy Red</t>
  </si>
  <si>
    <t xml:space="preserve">0.5 – 3%, by weight </t>
  </si>
  <si>
    <t xml:space="preserve">Vinyl scraper entrance mat designed for heavy-traffic applications
</t>
  </si>
  <si>
    <t>Exposures Modeled</t>
  </si>
  <si>
    <t>CEM ENV</t>
  </si>
  <si>
    <t>Weight Fractions</t>
  </si>
  <si>
    <t>Form</t>
  </si>
  <si>
    <t>Use Description</t>
  </si>
  <si>
    <t>Article Weight Fractions for Modeling</t>
  </si>
  <si>
    <t>Average/Mid</t>
  </si>
  <si>
    <t>Air Beds</t>
  </si>
  <si>
    <t>Children's Toys (Legacy)</t>
  </si>
  <si>
    <t>Children's Toys (New)</t>
  </si>
  <si>
    <t>Clothing</t>
  </si>
  <si>
    <t>Furniture Components (Textile)</t>
  </si>
  <si>
    <t>Adhesive/sealant for home DIY, large indoors</t>
  </si>
  <si>
    <t>inhalation, dermal</t>
  </si>
  <si>
    <t>SDS</t>
  </si>
  <si>
    <t>bucket</t>
  </si>
  <si>
    <t>Adhesive/sealant for home DIY, large outdoors</t>
  </si>
  <si>
    <t>dermal</t>
  </si>
  <si>
    <t>Outside</t>
  </si>
  <si>
    <t>Adhesive/sealant for home DIY, small outdoors</t>
  </si>
  <si>
    <t>Automotive filler/putty</t>
  </si>
  <si>
    <t>single component, super smooth putty works great on minor scratches, surface flaws and little pinholes. It is a ready to use formula and shows exceptional adhesion to treated metal, galvanized steel, aluminum, existing finishes and primers. Amazon consumer reviews indicate that it is most often used for small vehicle repairs</t>
  </si>
  <si>
    <t>Glazing Putty fills pinholes, scratches and dimples on bare metal and hardened plastic fillers.</t>
  </si>
  <si>
    <t>Product Weight Fractions for Modeling</t>
  </si>
  <si>
    <t>mouthing</t>
  </si>
  <si>
    <t>Auto Care Products</t>
  </si>
  <si>
    <t>Auto Coatings</t>
  </si>
  <si>
    <t>Auto Repair Putty</t>
  </si>
  <si>
    <t>Concrete Sealant</t>
  </si>
  <si>
    <t>Flooring Adhesive</t>
  </si>
  <si>
    <t>Fragrance Oil</t>
  </si>
  <si>
    <t>Inductance Loop Sealant</t>
  </si>
  <si>
    <t>Sealant Colorant</t>
  </si>
  <si>
    <t>Stamp Ink</t>
  </si>
  <si>
    <t>Fragrance oil</t>
  </si>
  <si>
    <t>Automotive and interior car care products</t>
  </si>
  <si>
    <t>Automotive coating</t>
  </si>
  <si>
    <t>Applied to treat rust</t>
  </si>
  <si>
    <t xml:space="preserve">Product is sold in small format spray can and large format can which can be brushed, rolled, or sprayed on. </t>
  </si>
  <si>
    <t>Interior car care products***</t>
  </si>
  <si>
    <t xml:space="preserve">removed </t>
  </si>
  <si>
    <t>vinyl make-up</t>
  </si>
  <si>
    <t>Building/construction materials not covered elsewhere</t>
  </si>
  <si>
    <t>inhalation, dermal, dust ingestion</t>
  </si>
  <si>
    <t>Dyes, pigments, and fixing agents</t>
  </si>
  <si>
    <t>Sealant colorant</t>
  </si>
  <si>
    <t>Can be added to tint concrete and surface coatings</t>
  </si>
  <si>
    <t>Stamp ink</t>
  </si>
  <si>
    <t>inhalation, dermal, dust ingestion, Mouthing</t>
  </si>
  <si>
    <t>Dermal</t>
  </si>
  <si>
    <t>For use in the construction of orthopedic casts. Consumers reviews indicate that they do purchase with the intention of self-applying casts. They also state to wear gloves when applying as the residue is sticky, and to work fast after wetting. Also, the product works well to protect horse hooves.</t>
  </si>
  <si>
    <t>Synthetic Leather Clothing</t>
  </si>
  <si>
    <t>Furniture and furnishings not covered elsewhere</t>
  </si>
  <si>
    <t>Synthetic Leather Furniture</t>
  </si>
  <si>
    <t>Mouthing, Dermal</t>
  </si>
  <si>
    <t>Car Mat***</t>
  </si>
  <si>
    <t>Inhalation, dust Ingestion, Dermal</t>
  </si>
  <si>
    <t>Auto</t>
  </si>
  <si>
    <t>Inhalation, dust Ingestion</t>
  </si>
  <si>
    <t>DOI: 10.1097/01.ede.0000339890.48632.e1</t>
  </si>
  <si>
    <t>Children's Toys (legacy and non-compliant)</t>
  </si>
  <si>
    <t>WA State</t>
  </si>
  <si>
    <t>Children's Toys (legacy)</t>
  </si>
  <si>
    <t>Various</t>
  </si>
  <si>
    <t>Children's Toys (new/compliant)</t>
  </si>
  <si>
    <t>Regulation</t>
  </si>
  <si>
    <t>Children's Toys (new)</t>
  </si>
  <si>
    <t>Lawn and garden care products</t>
  </si>
  <si>
    <t>Vinyl Bags and Baskets (Household Use)</t>
  </si>
  <si>
    <t>Fitness Balls</t>
  </si>
  <si>
    <t>Jum Rope</t>
  </si>
  <si>
    <t>Yoga Mat</t>
  </si>
  <si>
    <t>Football</t>
  </si>
  <si>
    <t>Calculations for non-CEM defaults, including:</t>
  </si>
  <si>
    <t>CEM Input: Mouthing Duration</t>
  </si>
  <si>
    <t>CEM Input: Area of Article Mouthed</t>
  </si>
  <si>
    <t>CEM Input: Chemical Migration Rate</t>
  </si>
  <si>
    <t>CEM Input: Density of Product</t>
  </si>
  <si>
    <t>CEM Input: Surface Area of Articles</t>
  </si>
  <si>
    <r>
      <t xml:space="preserve">CEM Input: </t>
    </r>
    <r>
      <rPr>
        <sz val="14"/>
        <color theme="1"/>
        <rFont val="Calibri"/>
        <family val="2"/>
        <scheme val="minor"/>
      </rPr>
      <t>Mouthing Duration</t>
    </r>
  </si>
  <si>
    <t>Article</t>
  </si>
  <si>
    <t>Exposure Scenario</t>
  </si>
  <si>
    <t>Mouthing Duration (min/day)</t>
  </si>
  <si>
    <t>Mouthing Duration (min/hr)</t>
  </si>
  <si>
    <t>&lt;1 yr</t>
  </si>
  <si>
    <t>1-2 yr</t>
  </si>
  <si>
    <t>3-5 yr</t>
  </si>
  <si>
    <t>16+ yr</t>
  </si>
  <si>
    <t>--</t>
  </si>
  <si>
    <t>Professional Judgement</t>
  </si>
  <si>
    <t>Childrens Toy (new)</t>
  </si>
  <si>
    <t>Exposure Factors Handbook Chapter 4 Table 4-23 (Toy). See calculations below. Maximum, average, and minimum values used for High, Med, and Low Scenarios, respectively.</t>
  </si>
  <si>
    <t>Childrens Toy (legacy)</t>
  </si>
  <si>
    <t>Exposure Factors Handbook Chapter 4 Table 4-23  (Other Object). See calculations below. Maximum, average, and minimum values used for High, Med, and Low Scenarios, respectively.</t>
  </si>
  <si>
    <t>Estimated Mean Daily Mouthing Duration Values from Table 4-23 in Exposure Factors Handbook (Source: Smith and Norris (2003))</t>
  </si>
  <si>
    <t>Calculation of Daily Mouthing Durations for Age Groups Applicable to CEM</t>
  </si>
  <si>
    <t>Item Mouthed</t>
  </si>
  <si>
    <t>Duration Mouthed Units</t>
  </si>
  <si>
    <t>Reported Age Group</t>
  </si>
  <si>
    <t>CEM Age Group: Infants &lt;1 year</t>
  </si>
  <si>
    <t>1 to 3 mo</t>
  </si>
  <si>
    <t>3 to 6 mo</t>
  </si>
  <si>
    <t>6 to 9 mo</t>
  </si>
  <si>
    <t>9 to 12 mo</t>
  </si>
  <si>
    <t>Maximum</t>
  </si>
  <si>
    <t>Average</t>
  </si>
  <si>
    <t>Minimum</t>
  </si>
  <si>
    <t>Toy</t>
  </si>
  <si>
    <t>min/day</t>
  </si>
  <si>
    <t>Other Object</t>
  </si>
  <si>
    <t>CEM Age Group: Infants 1-2 years</t>
  </si>
  <si>
    <t>12-15 mo</t>
  </si>
  <si>
    <t>15-18 mo</t>
  </si>
  <si>
    <t>18-21 mo</t>
  </si>
  <si>
    <t>21-24 mo</t>
  </si>
  <si>
    <t>CEM Age Group: Small Child 3-5 years</t>
  </si>
  <si>
    <t>2 yr</t>
  </si>
  <si>
    <t>3 yr</t>
  </si>
  <si>
    <t>4 yr</t>
  </si>
  <si>
    <t>5 yr</t>
  </si>
  <si>
    <r>
      <t>Mouthing area (cm</t>
    </r>
    <r>
      <rPr>
        <b/>
        <vertAlign val="superscript"/>
        <sz val="10"/>
        <color theme="1"/>
        <rFont val="Calibri"/>
        <family val="2"/>
        <scheme val="minor"/>
      </rPr>
      <t>2</t>
    </r>
    <r>
      <rPr>
        <b/>
        <sz val="10"/>
        <color theme="1"/>
        <rFont val="Calibri"/>
        <family val="2"/>
        <scheme val="minor"/>
      </rPr>
      <t>)</t>
    </r>
  </si>
  <si>
    <t>High CEM Default</t>
  </si>
  <si>
    <t>Med CEM Default. Commonly accepted surface area for mouthing activities.</t>
  </si>
  <si>
    <r>
      <t xml:space="preserve">CEM Input: </t>
    </r>
    <r>
      <rPr>
        <sz val="14"/>
        <color theme="1"/>
        <rFont val="Calibri"/>
        <family val="2"/>
        <scheme val="minor"/>
      </rPr>
      <t>Chemical Migration Rate</t>
    </r>
  </si>
  <si>
    <t>Exposure Level</t>
  </si>
  <si>
    <t>Summary of DINP Chemical Migration Rates Obtained from Literature as Reported in Tables 17, 18, and 19 of Danish Environmental Protection Agency (2016) report "Determination of Migration Rates for Certain Phthalates"</t>
  </si>
  <si>
    <t>Analytical Method</t>
  </si>
  <si>
    <r>
      <t>Migration Rate (</t>
    </r>
    <r>
      <rPr>
        <b/>
        <sz val="10"/>
        <color theme="1"/>
        <rFont val="Calibri"/>
        <family val="2"/>
        <scheme val="minor"/>
      </rPr>
      <t>µg/cm</t>
    </r>
    <r>
      <rPr>
        <b/>
        <vertAlign val="superscript"/>
        <sz val="10"/>
        <color theme="1"/>
        <rFont val="Calibri"/>
        <family val="2"/>
        <scheme val="minor"/>
      </rPr>
      <t>2</t>
    </r>
    <r>
      <rPr>
        <b/>
        <sz val="10"/>
        <color theme="1"/>
        <rFont val="Calibri"/>
        <family val="2"/>
        <scheme val="minor"/>
      </rPr>
      <t>/hr</t>
    </r>
    <r>
      <rPr>
        <b/>
        <sz val="10"/>
        <color rgb="FF000000"/>
        <rFont val="Calibri"/>
        <family val="2"/>
        <scheme val="minor"/>
      </rPr>
      <t>)</t>
    </r>
  </si>
  <si>
    <t>Mean (selected)</t>
  </si>
  <si>
    <t>Standard Deviation</t>
  </si>
  <si>
    <t>Harsh</t>
  </si>
  <si>
    <t>Medium</t>
  </si>
  <si>
    <t>Mild</t>
  </si>
  <si>
    <r>
      <t xml:space="preserve">CEM Input: </t>
    </r>
    <r>
      <rPr>
        <sz val="14"/>
        <color theme="1"/>
        <rFont val="Calibri"/>
        <family val="2"/>
        <scheme val="minor"/>
      </rPr>
      <t>Density of Product</t>
    </r>
  </si>
  <si>
    <t>Product Density Calculations for Plastic Articles</t>
  </si>
  <si>
    <t>Reference</t>
  </si>
  <si>
    <t>Link</t>
  </si>
  <si>
    <t>Min Density</t>
  </si>
  <si>
    <t>Max Density</t>
  </si>
  <si>
    <t>Average Density</t>
  </si>
  <si>
    <t>Ansys (2021)</t>
  </si>
  <si>
    <t>material-property-data-for-eng-materials-BOKENGEN21.pdf (ansys.com)</t>
  </si>
  <si>
    <t>Polyvinylchloride (tpPVC)</t>
  </si>
  <si>
    <t>Aurisano (2020)</t>
  </si>
  <si>
    <t>Estimating mouthing exposure to chemicals in children’s products | Journal of Exposure Science &amp; Environmental Epidemiology (nature.com)</t>
  </si>
  <si>
    <t>PVC toy with phthalates</t>
  </si>
  <si>
    <t>iPolymer.com</t>
  </si>
  <si>
    <t>PVC.pdf (ipolymer.com)</t>
  </si>
  <si>
    <t>Li, et. al (2018)</t>
  </si>
  <si>
    <t>Insulated Cable Temperature Calculation and Numerical Simulation (matec-conferences.org)</t>
  </si>
  <si>
    <t>PVC insulation layer of non-sheathed copper 
Polyvinyl chloride cable</t>
  </si>
  <si>
    <t>Overall</t>
  </si>
  <si>
    <t>Foam</t>
  </si>
  <si>
    <t>https://plastics-rubber.basf.com/global/en/performance_polymers/locations/great-britain/insulation.html</t>
  </si>
  <si>
    <r>
      <t xml:space="preserve">CEM Input: </t>
    </r>
    <r>
      <rPr>
        <sz val="14"/>
        <color theme="1"/>
        <rFont val="Calibri"/>
        <family val="2"/>
        <scheme val="minor"/>
      </rPr>
      <t>Surface Area of Articles</t>
    </r>
  </si>
  <si>
    <t>Estimating Surface Area of Toys in a Room</t>
  </si>
  <si>
    <r>
      <t>S</t>
    </r>
    <r>
      <rPr>
        <i/>
        <sz val="12"/>
        <color theme="1"/>
        <rFont val="Calibri"/>
        <family val="2"/>
        <scheme val="minor"/>
      </rPr>
      <t>A</t>
    </r>
    <r>
      <rPr>
        <sz val="12"/>
        <color rgb="FF374151"/>
        <rFont val="Calibri"/>
        <family val="2"/>
        <scheme val="minor"/>
      </rPr>
      <t>one toy​</t>
    </r>
    <r>
      <rPr>
        <sz val="12"/>
        <color theme="1"/>
        <rFont val="Calibri"/>
        <family val="2"/>
        <scheme val="minor"/>
      </rPr>
      <t>=2</t>
    </r>
    <r>
      <rPr>
        <sz val="12"/>
        <color rgb="FF374151"/>
        <rFont val="Calibri"/>
        <family val="2"/>
        <scheme val="minor"/>
      </rPr>
      <t>×</t>
    </r>
    <r>
      <rPr>
        <sz val="12"/>
        <color theme="1"/>
        <rFont val="Calibri"/>
        <family val="2"/>
        <scheme val="minor"/>
      </rPr>
      <t>(</t>
    </r>
    <r>
      <rPr>
        <sz val="12"/>
        <color rgb="FF374151"/>
        <rFont val="Calibri"/>
        <family val="2"/>
        <scheme val="minor"/>
      </rPr>
      <t>Length×</t>
    </r>
    <r>
      <rPr>
        <sz val="12"/>
        <color theme="1"/>
        <rFont val="Calibri"/>
        <family val="2"/>
        <scheme val="minor"/>
      </rPr>
      <t>Width</t>
    </r>
    <r>
      <rPr>
        <sz val="12"/>
        <color rgb="FF374151"/>
        <rFont val="Calibri"/>
        <family val="2"/>
        <scheme val="minor"/>
      </rPr>
      <t>+</t>
    </r>
    <r>
      <rPr>
        <sz val="12"/>
        <color theme="1"/>
        <rFont val="Calibri"/>
        <family val="2"/>
        <scheme val="minor"/>
      </rPr>
      <t>Width</t>
    </r>
    <r>
      <rPr>
        <sz val="12"/>
        <color rgb="FF374151"/>
        <rFont val="Calibri"/>
        <family val="2"/>
        <scheme val="minor"/>
      </rPr>
      <t>×</t>
    </r>
    <r>
      <rPr>
        <sz val="12"/>
        <color theme="1"/>
        <rFont val="Calibri"/>
        <family val="2"/>
        <scheme val="minor"/>
      </rPr>
      <t>Height</t>
    </r>
    <r>
      <rPr>
        <sz val="12"/>
        <color rgb="FF374151"/>
        <rFont val="Calibri"/>
        <family val="2"/>
        <scheme val="minor"/>
      </rPr>
      <t>+</t>
    </r>
    <r>
      <rPr>
        <sz val="12"/>
        <color theme="1"/>
        <rFont val="Calibri"/>
        <family val="2"/>
        <scheme val="minor"/>
      </rPr>
      <t>Height</t>
    </r>
    <r>
      <rPr>
        <sz val="12"/>
        <color rgb="FF374151"/>
        <rFont val="Calibri"/>
        <family val="2"/>
        <scheme val="minor"/>
      </rPr>
      <t>×</t>
    </r>
    <r>
      <rPr>
        <sz val="12"/>
        <color theme="1"/>
        <rFont val="Calibri"/>
        <family val="2"/>
        <scheme val="minor"/>
      </rPr>
      <t>Length</t>
    </r>
    <r>
      <rPr>
        <sz val="12"/>
        <color rgb="FF374151"/>
        <rFont val="Calibri"/>
        <family val="2"/>
        <scheme val="minor"/>
      </rPr>
      <t>)</t>
    </r>
  </si>
  <si>
    <t>Exposure Level and Description</t>
  </si>
  <si>
    <t>Toys Per Room</t>
  </si>
  <si>
    <t>Lenth (m)</t>
  </si>
  <si>
    <t>Width (m)</t>
  </si>
  <si>
    <t>Height (m)</t>
  </si>
  <si>
    <t>Total Surface Area of Toys (m2)</t>
  </si>
  <si>
    <t>High Estimate: 30 toys per room, average size 30x25x15 cm</t>
  </si>
  <si>
    <t>Medium Estimate: 20 toys per room, average size 20x15x8 cm.</t>
  </si>
  <si>
    <t>Low Estimate: 5 toys per room, average size 15x10x5 cm.</t>
  </si>
  <si>
    <t>Estimating Surface Area of Shower Curtain</t>
  </si>
  <si>
    <t>Number of Sides</t>
  </si>
  <si>
    <r>
      <rPr>
        <u/>
        <sz val="11"/>
        <color theme="1"/>
        <rFont val="Calibri"/>
        <family val="2"/>
        <scheme val="minor"/>
      </rPr>
      <t>High, Medium, and Low</t>
    </r>
    <r>
      <rPr>
        <sz val="11"/>
        <color theme="1"/>
        <rFont val="Calibri"/>
        <family val="2"/>
        <scheme val="minor"/>
      </rPr>
      <t xml:space="preserve">
Standard bathtub shower curtain, measuring 70 inches horizontel and 72 inches vertical.</t>
    </r>
  </si>
  <si>
    <t>Manufacturer Specs for a typical shower curtain</t>
  </si>
  <si>
    <t>https://www.bobrick.com/wp-content/uploads/204-2-3_td.pdf</t>
  </si>
  <si>
    <t>Estimating Surface Area of Solid Flooring</t>
  </si>
  <si>
    <t>Volume (m3)</t>
  </si>
  <si>
    <t>8 ft Ceiling Height (m)</t>
  </si>
  <si>
    <t>Surface Area of Floor (m2)</t>
  </si>
  <si>
    <r>
      <rPr>
        <u/>
        <sz val="11"/>
        <color theme="1"/>
        <rFont val="Calibri"/>
        <family val="2"/>
        <scheme val="minor"/>
      </rPr>
      <t>High, Medium, and Low</t>
    </r>
    <r>
      <rPr>
        <sz val="11"/>
        <color theme="1"/>
        <rFont val="Calibri"/>
        <family val="2"/>
        <scheme val="minor"/>
      </rPr>
      <t xml:space="preserve">
Based on floor area associated with a  492 m3 volume house with 8 ft ceilings.</t>
    </r>
  </si>
  <si>
    <t>CEM default of house volume</t>
  </si>
  <si>
    <t>Estimating Surface Area of Leather Furniture</t>
  </si>
  <si>
    <r>
      <t>SA</t>
    </r>
    <r>
      <rPr>
        <sz val="10"/>
        <color rgb="FF374151"/>
        <rFont val="Times New Roman"/>
        <family val="1"/>
      </rPr>
      <t>=2×(</t>
    </r>
    <r>
      <rPr>
        <i/>
        <sz val="10"/>
        <color rgb="FF374151"/>
        <rFont val="KaTeX_Math"/>
      </rPr>
      <t>L</t>
    </r>
    <r>
      <rPr>
        <sz val="7.7"/>
        <color rgb="FF374151"/>
        <rFont val="Times New Roman"/>
        <family val="1"/>
      </rPr>
      <t>couch</t>
    </r>
    <r>
      <rPr>
        <sz val="1"/>
        <color rgb="FF374151"/>
        <rFont val="Times New Roman"/>
        <family val="1"/>
      </rPr>
      <t>​</t>
    </r>
    <r>
      <rPr>
        <sz val="10"/>
        <color rgb="FF374151"/>
        <rFont val="Times New Roman"/>
        <family val="1"/>
      </rPr>
      <t>×</t>
    </r>
    <r>
      <rPr>
        <i/>
        <sz val="10"/>
        <color rgb="FF374151"/>
        <rFont val="KaTeX_Math"/>
      </rPr>
      <t>D</t>
    </r>
    <r>
      <rPr>
        <sz val="7.7"/>
        <color rgb="FF374151"/>
        <rFont val="Times New Roman"/>
        <family val="1"/>
      </rPr>
      <t>couch</t>
    </r>
    <r>
      <rPr>
        <sz val="1"/>
        <color rgb="FF374151"/>
        <rFont val="Times New Roman"/>
        <family val="1"/>
      </rPr>
      <t>​</t>
    </r>
    <r>
      <rPr>
        <sz val="10"/>
        <color rgb="FF374151"/>
        <rFont val="Times New Roman"/>
        <family val="1"/>
      </rPr>
      <t>+</t>
    </r>
    <r>
      <rPr>
        <i/>
        <sz val="10"/>
        <color rgb="FF374151"/>
        <rFont val="KaTeX_Math"/>
      </rPr>
      <t>L</t>
    </r>
    <r>
      <rPr>
        <sz val="7.7"/>
        <color rgb="FF374151"/>
        <rFont val="Times New Roman"/>
        <family val="1"/>
      </rPr>
      <t>couch</t>
    </r>
    <r>
      <rPr>
        <sz val="1"/>
        <color rgb="FF374151"/>
        <rFont val="Times New Roman"/>
        <family val="1"/>
      </rPr>
      <t>​</t>
    </r>
    <r>
      <rPr>
        <sz val="10"/>
        <color rgb="FF374151"/>
        <rFont val="Times New Roman"/>
        <family val="1"/>
      </rPr>
      <t>×</t>
    </r>
    <r>
      <rPr>
        <i/>
        <sz val="10"/>
        <color rgb="FF374151"/>
        <rFont val="KaTeX_Math"/>
      </rPr>
      <t>H</t>
    </r>
    <r>
      <rPr>
        <sz val="7.7"/>
        <color rgb="FF374151"/>
        <rFont val="Times New Roman"/>
        <family val="1"/>
      </rPr>
      <t>couch</t>
    </r>
    <r>
      <rPr>
        <sz val="1"/>
        <color rgb="FF374151"/>
        <rFont val="Times New Roman"/>
        <family val="1"/>
      </rPr>
      <t>​</t>
    </r>
    <r>
      <rPr>
        <sz val="10"/>
        <color rgb="FF374151"/>
        <rFont val="Times New Roman"/>
        <family val="1"/>
      </rPr>
      <t>+</t>
    </r>
    <r>
      <rPr>
        <i/>
        <sz val="10"/>
        <color rgb="FF374151"/>
        <rFont val="KaTeX_Math"/>
      </rPr>
      <t>D</t>
    </r>
    <r>
      <rPr>
        <sz val="7.7"/>
        <color rgb="FF374151"/>
        <rFont val="Times New Roman"/>
        <family val="1"/>
      </rPr>
      <t>couch</t>
    </r>
    <r>
      <rPr>
        <sz val="1"/>
        <color rgb="FF374151"/>
        <rFont val="Times New Roman"/>
        <family val="1"/>
      </rPr>
      <t>​</t>
    </r>
    <r>
      <rPr>
        <sz val="10"/>
        <color rgb="FF374151"/>
        <rFont val="Times New Roman"/>
        <family val="1"/>
      </rPr>
      <t>×</t>
    </r>
    <r>
      <rPr>
        <i/>
        <sz val="10"/>
        <color rgb="FF374151"/>
        <rFont val="KaTeX_Math"/>
      </rPr>
      <t>H</t>
    </r>
    <r>
      <rPr>
        <sz val="7.7"/>
        <color rgb="FF374151"/>
        <rFont val="Times New Roman"/>
        <family val="1"/>
      </rPr>
      <t>couch</t>
    </r>
    <r>
      <rPr>
        <sz val="1"/>
        <color rgb="FF374151"/>
        <rFont val="Times New Roman"/>
        <family val="1"/>
      </rPr>
      <t>​</t>
    </r>
    <r>
      <rPr>
        <sz val="10"/>
        <color rgb="FF374151"/>
        <rFont val="Times New Roman"/>
        <family val="1"/>
      </rPr>
      <t>)+2×(</t>
    </r>
    <r>
      <rPr>
        <i/>
        <sz val="10"/>
        <color rgb="FF374151"/>
        <rFont val="KaTeX_Math"/>
      </rPr>
      <t>L</t>
    </r>
    <r>
      <rPr>
        <sz val="7.7"/>
        <color rgb="FF374151"/>
        <rFont val="Times New Roman"/>
        <family val="1"/>
      </rPr>
      <t>loveseat</t>
    </r>
    <r>
      <rPr>
        <sz val="1"/>
        <color rgb="FF374151"/>
        <rFont val="Times New Roman"/>
        <family val="1"/>
      </rPr>
      <t>​</t>
    </r>
    <r>
      <rPr>
        <sz val="10"/>
        <color rgb="FF374151"/>
        <rFont val="Times New Roman"/>
        <family val="1"/>
      </rPr>
      <t>×</t>
    </r>
    <r>
      <rPr>
        <i/>
        <sz val="10"/>
        <color rgb="FF374151"/>
        <rFont val="KaTeX_Math"/>
      </rPr>
      <t>D</t>
    </r>
    <r>
      <rPr>
        <sz val="7.7"/>
        <color rgb="FF374151"/>
        <rFont val="Times New Roman"/>
        <family val="1"/>
      </rPr>
      <t>loveseat</t>
    </r>
    <r>
      <rPr>
        <sz val="1"/>
        <color rgb="FF374151"/>
        <rFont val="Times New Roman"/>
        <family val="1"/>
      </rPr>
      <t>​</t>
    </r>
    <r>
      <rPr>
        <sz val="10"/>
        <color rgb="FF374151"/>
        <rFont val="Times New Roman"/>
        <family val="1"/>
      </rPr>
      <t>+</t>
    </r>
    <r>
      <rPr>
        <i/>
        <sz val="10"/>
        <color rgb="FF374151"/>
        <rFont val="KaTeX_Math"/>
      </rPr>
      <t>L</t>
    </r>
    <r>
      <rPr>
        <sz val="7.7"/>
        <color rgb="FF374151"/>
        <rFont val="Times New Roman"/>
        <family val="1"/>
      </rPr>
      <t>loveseat</t>
    </r>
    <r>
      <rPr>
        <sz val="1"/>
        <color rgb="FF374151"/>
        <rFont val="Times New Roman"/>
        <family val="1"/>
      </rPr>
      <t>​</t>
    </r>
    <r>
      <rPr>
        <sz val="10"/>
        <color rgb="FF374151"/>
        <rFont val="Times New Roman"/>
        <family val="1"/>
      </rPr>
      <t>×</t>
    </r>
    <r>
      <rPr>
        <i/>
        <sz val="10"/>
        <color rgb="FF374151"/>
        <rFont val="KaTeX_Math"/>
      </rPr>
      <t>H</t>
    </r>
    <r>
      <rPr>
        <sz val="7.7"/>
        <color rgb="FF374151"/>
        <rFont val="Times New Roman"/>
        <family val="1"/>
      </rPr>
      <t>loveseat</t>
    </r>
    <r>
      <rPr>
        <sz val="1"/>
        <color rgb="FF374151"/>
        <rFont val="Times New Roman"/>
        <family val="1"/>
      </rPr>
      <t>​</t>
    </r>
    <r>
      <rPr>
        <sz val="10"/>
        <color rgb="FF374151"/>
        <rFont val="Times New Roman"/>
        <family val="1"/>
      </rPr>
      <t>+</t>
    </r>
    <r>
      <rPr>
        <i/>
        <sz val="10"/>
        <color rgb="FF374151"/>
        <rFont val="KaTeX_Math"/>
      </rPr>
      <t>D</t>
    </r>
    <r>
      <rPr>
        <sz val="7.7"/>
        <color rgb="FF374151"/>
        <rFont val="Times New Roman"/>
        <family val="1"/>
      </rPr>
      <t>loveseat</t>
    </r>
    <r>
      <rPr>
        <sz val="1"/>
        <color rgb="FF374151"/>
        <rFont val="Times New Roman"/>
        <family val="1"/>
      </rPr>
      <t>​</t>
    </r>
    <r>
      <rPr>
        <sz val="10"/>
        <color rgb="FF374151"/>
        <rFont val="Times New Roman"/>
        <family val="1"/>
      </rPr>
      <t>×</t>
    </r>
    <r>
      <rPr>
        <i/>
        <sz val="10"/>
        <color rgb="FF374151"/>
        <rFont val="KaTeX_Math"/>
      </rPr>
      <t>H</t>
    </r>
    <r>
      <rPr>
        <sz val="7.7"/>
        <color rgb="FF374151"/>
        <rFont val="Times New Roman"/>
        <family val="1"/>
      </rPr>
      <t>loveseat</t>
    </r>
    <r>
      <rPr>
        <sz val="1"/>
        <color rgb="FF374151"/>
        <rFont val="Times New Roman"/>
        <family val="1"/>
      </rPr>
      <t>​</t>
    </r>
    <r>
      <rPr>
        <sz val="10"/>
        <color rgb="FF374151"/>
        <rFont val="Times New Roman"/>
        <family val="1"/>
      </rPr>
      <t>)</t>
    </r>
  </si>
  <si>
    <t>Item</t>
  </si>
  <si>
    <t>Lenth (in)</t>
  </si>
  <si>
    <t>Depth (in)</t>
  </si>
  <si>
    <t>Height (in)</t>
  </si>
  <si>
    <t>Surface Area (in2)</t>
  </si>
  <si>
    <t>Total Surface Area (m2)</t>
  </si>
  <si>
    <r>
      <t xml:space="preserve">High
</t>
    </r>
    <r>
      <rPr>
        <sz val="11"/>
        <color theme="1"/>
        <rFont val="Calibri"/>
        <family val="2"/>
        <scheme val="minor"/>
      </rPr>
      <t>A large couch measuring 100”x 42”x 35” and a large loveseat measuring 72"x 42" x 35"</t>
    </r>
  </si>
  <si>
    <t>Couch</t>
  </si>
  <si>
    <t>Loveseat</t>
  </si>
  <si>
    <r>
      <t xml:space="preserve">Medium
</t>
    </r>
    <r>
      <rPr>
        <sz val="11"/>
        <color theme="1"/>
        <rFont val="Calibri"/>
        <family val="2"/>
        <scheme val="minor"/>
      </rPr>
      <t>A medium couch measuring 80”x 36”x 30” and a medium loveseat measuring 60"x 36" x 30"</t>
    </r>
  </si>
  <si>
    <r>
      <t xml:space="preserve">Low
</t>
    </r>
    <r>
      <rPr>
        <sz val="11"/>
        <color theme="1"/>
        <rFont val="Calibri"/>
        <family val="2"/>
        <scheme val="minor"/>
      </rPr>
      <t>A small couch measuring 60”x 30”x 25” and a small loveseat measuring 48"x 30" x 25"</t>
    </r>
  </si>
  <si>
    <t>Estimating Surface Area of Wire Insulation</t>
  </si>
  <si>
    <t># of residents</t>
  </si>
  <si>
    <t xml:space="preserve">Home Appliance Cords </t>
  </si>
  <si>
    <t>Television, Lamps, and  Other Electrical Devices per home</t>
  </si>
  <si>
    <t>Internet Cords per home</t>
  </si>
  <si>
    <t>Charging Cables/person</t>
  </si>
  <si>
    <t>Misc. Cords/person</t>
  </si>
  <si>
    <t>Total Cord Number in Home</t>
  </si>
  <si>
    <t>Cord Length (m)</t>
  </si>
  <si>
    <t>Cord Diameter (mm)</t>
  </si>
  <si>
    <t>Cord Circumference (m)</t>
  </si>
  <si>
    <t>Length of Cord in Home (m)</t>
  </si>
  <si>
    <t>Surface area of Cord in Home (m)</t>
  </si>
  <si>
    <t>Number of cords based on professional judgement for number of appliance, television, internet, and charging cords.</t>
  </si>
  <si>
    <t>A Survey on Ownership of Home Appliances and Electric Energy Consumption Status According to the Number of Household Member | Scientific.Net</t>
  </si>
  <si>
    <t>Product</t>
  </si>
  <si>
    <t>Exposure Assessed</t>
  </si>
  <si>
    <t>Inhalation, Dermal</t>
  </si>
  <si>
    <t>Dermal Spreadsheet Inputs</t>
  </si>
  <si>
    <t>Units</t>
  </si>
  <si>
    <t xml:space="preserve">Users </t>
  </si>
  <si>
    <t>Adult/Youth</t>
  </si>
  <si>
    <t>Adult/Youth/Child</t>
  </si>
  <si>
    <t>Frequency of Product Contact</t>
  </si>
  <si>
    <t>events/day</t>
  </si>
  <si>
    <t>events/year</t>
  </si>
  <si>
    <t>Duration of Product Contact</t>
  </si>
  <si>
    <t>min/event</t>
  </si>
  <si>
    <t>CEM Model Selection</t>
  </si>
  <si>
    <t>CEM Models (inhalation and/or ingestion pathways):</t>
  </si>
  <si>
    <t>Generic P3 E3</t>
  </si>
  <si>
    <t>Not Applicable. Article only modeled for dermal exposure outside of CEM.</t>
  </si>
  <si>
    <t>Glue and adhesives (large scale)</t>
  </si>
  <si>
    <t>Generic P2 E2</t>
  </si>
  <si>
    <t>CEM Saved Analysis:</t>
  </si>
  <si>
    <t>E3, P_INH2 (Near-field, users), P_INH1 (bystanders)</t>
  </si>
  <si>
    <t>E1, P_INH2 (Near-field, users), P_INH1 (bystanders)</t>
  </si>
  <si>
    <t>E2, P_INH2 (Near-field, users), P_INH1 (bystanders)</t>
  </si>
  <si>
    <t>Input Parameter</t>
  </si>
  <si>
    <t>Scenario Screen Parameters</t>
  </si>
  <si>
    <t xml:space="preserve">Weight Fraction </t>
  </si>
  <si>
    <t>(-)</t>
  </si>
  <si>
    <t>Initial Concentration of SVOC in Article</t>
  </si>
  <si>
    <t>mg/cm3</t>
  </si>
  <si>
    <t>Background Air Concentration</t>
  </si>
  <si>
    <t>mg/m3</t>
  </si>
  <si>
    <t>Background Dust Concentration</t>
  </si>
  <si>
    <t>ug/mg</t>
  </si>
  <si>
    <t>Product/Article Use Environment</t>
  </si>
  <si>
    <t>Residence - Garage</t>
  </si>
  <si>
    <t>Residence - Kitchen</t>
  </si>
  <si>
    <t>Pathways</t>
  </si>
  <si>
    <t>Inhalation</t>
  </si>
  <si>
    <t>Product Users</t>
  </si>
  <si>
    <t>Adult, Youth, Child</t>
  </si>
  <si>
    <t>Activity Pattern</t>
  </si>
  <si>
    <t>Stay-At-Home</t>
  </si>
  <si>
    <t>Stay-at-home</t>
  </si>
  <si>
    <t>User-defined Emission Rates</t>
  </si>
  <si>
    <t>Let CEM Estimate Emission Rate</t>
  </si>
  <si>
    <t>Use Near-field Zone? (E1, E2, E3 only)</t>
  </si>
  <si>
    <t>Use Near-field area in zone 1 (P_INH2)</t>
  </si>
  <si>
    <t>Dermal Absorption or Permeability?</t>
  </si>
  <si>
    <t>Emission Factor Method (E1 only)</t>
  </si>
  <si>
    <t>Evaporation Time</t>
  </si>
  <si>
    <t>Product/Article Properties Screen Parameters</t>
  </si>
  <si>
    <t>Product/Article and Use Inputs</t>
  </si>
  <si>
    <t>User Defined Emission Rate</t>
  </si>
  <si>
    <t>mg/hr</t>
  </si>
  <si>
    <t>Density of Product/Article</t>
  </si>
  <si>
    <t xml:space="preserve">Surface Area of Article </t>
  </si>
  <si>
    <t>m2</t>
  </si>
  <si>
    <t>Thickness of Article Surface Layer</t>
  </si>
  <si>
    <t>cm</t>
  </si>
  <si>
    <t>Duration of Article Contact</t>
  </si>
  <si>
    <t xml:space="preserve">Area of Article mouthed </t>
  </si>
  <si>
    <t>cm2</t>
  </si>
  <si>
    <t>Chronic and Acute Assessments</t>
  </si>
  <si>
    <t>Duration of Use (acute)</t>
  </si>
  <si>
    <t>Mass of Product Used Per Event (acute)</t>
  </si>
  <si>
    <t>oz/event</t>
  </si>
  <si>
    <t xml:space="preserve">Mass of Product Used Per Event </t>
  </si>
  <si>
    <t>g/event</t>
  </si>
  <si>
    <t>Frequency of Use (Chronic)</t>
  </si>
  <si>
    <t>events/yr</t>
  </si>
  <si>
    <t>Frequency of Use (acute)</t>
  </si>
  <si>
    <t>All Assessments</t>
  </si>
  <si>
    <t xml:space="preserve">Aerosol fraction </t>
  </si>
  <si>
    <t>unitless</t>
  </si>
  <si>
    <t xml:space="preserve">FractionProduct Ingested </t>
  </si>
  <si>
    <t>Inputs for Dermal and Ingestion Exposure</t>
  </si>
  <si>
    <t>Film Thickness on Skin</t>
  </si>
  <si>
    <t>Amount Retained on Skin</t>
  </si>
  <si>
    <t>g/cm2</t>
  </si>
  <si>
    <t xml:space="preserve">Skin Permeability Coefficient </t>
  </si>
  <si>
    <t>cm/hr</t>
  </si>
  <si>
    <t>Chemical Migration Rate</t>
  </si>
  <si>
    <t>Thickness of Contact Layer</t>
  </si>
  <si>
    <t>Surface Loading</t>
  </si>
  <si>
    <t>mg/cm2</t>
  </si>
  <si>
    <t>Mouthing Transfer Efficiency</t>
  </si>
  <si>
    <t>(per event)</t>
  </si>
  <si>
    <t>Fraction of Chemical that is Dislodgeable</t>
  </si>
  <si>
    <t>Product Dilution Factor</t>
  </si>
  <si>
    <t>Transdermal Permeability Coefficient</t>
  </si>
  <si>
    <t>m/hr</t>
  </si>
  <si>
    <t>Absorption Fraction-Acute</t>
  </si>
  <si>
    <t>Absorption Fraction-Chronic</t>
  </si>
  <si>
    <t>Ingestion Fraction-RP</t>
  </si>
  <si>
    <t>Ingestion Fraction-Dust</t>
  </si>
  <si>
    <t>Ingestion Fraction-Abraded particle</t>
  </si>
  <si>
    <t>Chemical Half-life in Soil</t>
  </si>
  <si>
    <t>days</t>
  </si>
  <si>
    <t>Avg Molecule Difffusion per Contact</t>
  </si>
  <si>
    <t>cm/day</t>
  </si>
  <si>
    <t>Frequency of Article Contact</t>
  </si>
  <si>
    <t>Adherence Factor</t>
  </si>
  <si>
    <t>mg/cm2*event)</t>
  </si>
  <si>
    <t>Environment Inputs</t>
  </si>
  <si>
    <t>Environment Property/Attribute</t>
  </si>
  <si>
    <t>Building Volume (Residence)</t>
  </si>
  <si>
    <t>m3</t>
  </si>
  <si>
    <t>Use Environment Volume</t>
  </si>
  <si>
    <t>Yard Area</t>
  </si>
  <si>
    <t>Air Exchange Rate, Zone 1 (Residence)</t>
  </si>
  <si>
    <t>hr-1</t>
  </si>
  <si>
    <t>Air Exchange Rate, Zone 2 (Residence)</t>
  </si>
  <si>
    <t>Interzone Ventilation Rate</t>
  </si>
  <si>
    <t>m3/hr</t>
  </si>
  <si>
    <t>Area of Interior Surface</t>
  </si>
  <si>
    <t>Thickness of Interior Surface</t>
  </si>
  <si>
    <t>m</t>
  </si>
  <si>
    <t>Near Field Environmetnal Inputs</t>
  </si>
  <si>
    <t>Near Field Volume</t>
  </si>
  <si>
    <t>Far-Field Volume</t>
  </si>
  <si>
    <t xml:space="preserve">Air Exchange Rate at Near-field Boundary </t>
  </si>
  <si>
    <t>per hour</t>
  </si>
  <si>
    <t>Soil Properties</t>
  </si>
  <si>
    <t xml:space="preserve">Soil Mixing Depth </t>
  </si>
  <si>
    <t xml:space="preserve">Soil Density </t>
  </si>
  <si>
    <t>kg/m3</t>
  </si>
  <si>
    <t>Soil Porosity</t>
  </si>
  <si>
    <t>Chronic Concentration in Soil/Powders</t>
  </si>
  <si>
    <t>mg/kg</t>
  </si>
  <si>
    <t>Acute Concentration in Soil/Powders</t>
  </si>
  <si>
    <t>Dust Parameter Inputs</t>
  </si>
  <si>
    <t>RP</t>
  </si>
  <si>
    <t xml:space="preserve">Deposition rate </t>
  </si>
  <si>
    <t xml:space="preserve">Resuspension rate </t>
  </si>
  <si>
    <t>Mass Generation Rate, Suspended</t>
  </si>
  <si>
    <t>Mass Generation Rate, Floor</t>
  </si>
  <si>
    <t>Radius of Particle</t>
  </si>
  <si>
    <t>Density of Particle</t>
  </si>
  <si>
    <t xml:space="preserve">Dust </t>
  </si>
  <si>
    <t>Abraded Particle</t>
  </si>
  <si>
    <t>Ambient RP Concentration</t>
  </si>
  <si>
    <t xml:space="preserve">Cleaning Frequency </t>
  </si>
  <si>
    <t>Cleaning Efficiency</t>
  </si>
  <si>
    <t xml:space="preserve">HVAC Filter Penetration </t>
  </si>
  <si>
    <t>Receptor Exposure Factors</t>
  </si>
  <si>
    <t xml:space="preserve">Exposure Duration - chronic </t>
  </si>
  <si>
    <t>years</t>
  </si>
  <si>
    <t>Exposure Duration - acute</t>
  </si>
  <si>
    <t>Mouthing Duration (Adult &gt;= 21 yrs)</t>
  </si>
  <si>
    <t>min/hour</t>
  </si>
  <si>
    <t>Mouthing Duration (Youth 16-20 yrs)</t>
  </si>
  <si>
    <t>Mouthing Duration (Youth 11-15 yrs)</t>
  </si>
  <si>
    <t>Mouthing Duration (Child 6-10 yrs)</t>
  </si>
  <si>
    <t>Mouthing Duration (Child 3-5 yrs)</t>
  </si>
  <si>
    <t>Mouthing Duration (Small Child 1-2 yrs)</t>
  </si>
  <si>
    <t>Mouthing Duration (Small Child &lt;1 yr)</t>
  </si>
  <si>
    <t>Environment</t>
  </si>
  <si>
    <t>Vol_Building</t>
  </si>
  <si>
    <t>Vol_Zone1</t>
  </si>
  <si>
    <t>AER_Zone2</t>
  </si>
  <si>
    <t>AER_Zone1</t>
  </si>
  <si>
    <t>Office/School</t>
  </si>
  <si>
    <t>Residence - Bathroom</t>
  </si>
  <si>
    <t>Residence - Bedroom</t>
  </si>
  <si>
    <t>Residence - Laundry room</t>
  </si>
  <si>
    <t>Residence - Living room</t>
  </si>
  <si>
    <t>Residence - Utility room</t>
  </si>
  <si>
    <t>Residence - Whole house</t>
  </si>
  <si>
    <t>School</t>
  </si>
  <si>
    <t xml:space="preserve">Compiled CEM Inputs for Article Scenarios </t>
  </si>
  <si>
    <t>Key for CEM Models</t>
  </si>
  <si>
    <t>Refer to Individual Scenario Tabs for Sources and Notes.</t>
  </si>
  <si>
    <t xml:space="preserve">A_ING1 = Ingestion after Inhalation </t>
  </si>
  <si>
    <t xml:space="preserve">A_INH1 = Inhalation from Article Placed in Environment </t>
  </si>
  <si>
    <t>A_ING2 = Ingestion of Article Mouthed</t>
  </si>
  <si>
    <t>E6 = Emission from Article Placed in Environment</t>
  </si>
  <si>
    <t>A_ING3 = Inidental Dust Ingestion</t>
  </si>
  <si>
    <t>Small Articles with Potential for semi-routine contact</t>
  </si>
  <si>
    <t>Wallpaper (In Place)</t>
  </si>
  <si>
    <t>Wallpaper (Installation)</t>
  </si>
  <si>
    <t>Inhalation, Dermal, Dust Ingestion</t>
  </si>
  <si>
    <t>Inhalation, Dermal, Dust Ingestion, Mouthing</t>
  </si>
  <si>
    <t>Adult, Youth</t>
  </si>
  <si>
    <t>Youth, Child</t>
  </si>
  <si>
    <t>A_ING2</t>
  </si>
  <si>
    <t>E6, A_INH1, A_ING1, A_ING3</t>
  </si>
  <si>
    <t>E6, A_INH1, A_ING1, A_ING2, A_ING3</t>
  </si>
  <si>
    <t>Rubber articles: with potential for routine contact (baby bottle nipples, pacifiers, toys)</t>
  </si>
  <si>
    <t>Plastic articles: vinyl flooring</t>
  </si>
  <si>
    <t>Leather Furniture</t>
  </si>
  <si>
    <t>Plastic articles: other objects with potential for routine contact (toys, foam blocks, tents)</t>
  </si>
  <si>
    <t>Fabrics: curtains, rugs, wall coverings</t>
  </si>
  <si>
    <t>CEM Input Parameter</t>
  </si>
  <si>
    <t>Scenario</t>
  </si>
  <si>
    <t>Weight Fraction (%)</t>
  </si>
  <si>
    <r>
      <t>Initial Conc. (mg/cm</t>
    </r>
    <r>
      <rPr>
        <b/>
        <vertAlign val="superscript"/>
        <sz val="10"/>
        <color rgb="FF000000"/>
        <rFont val="Times New Roman"/>
        <family val="1"/>
      </rPr>
      <t>3</t>
    </r>
    <r>
      <rPr>
        <b/>
        <sz val="10"/>
        <color rgb="FF000000"/>
        <rFont val="Times New Roman"/>
        <family val="1"/>
      </rPr>
      <t>)</t>
    </r>
  </si>
  <si>
    <r>
      <t>Density (g/cm</t>
    </r>
    <r>
      <rPr>
        <b/>
        <vertAlign val="superscript"/>
        <sz val="10"/>
        <color rgb="FF000000"/>
        <rFont val="Times New Roman"/>
        <family val="1"/>
      </rPr>
      <t>3</t>
    </r>
    <r>
      <rPr>
        <b/>
        <sz val="10"/>
        <color rgb="FF000000"/>
        <rFont val="Times New Roman"/>
        <family val="1"/>
      </rPr>
      <t>)</t>
    </r>
  </si>
  <si>
    <r>
      <t>Surface Area (m</t>
    </r>
    <r>
      <rPr>
        <b/>
        <vertAlign val="superscript"/>
        <sz val="10"/>
        <color rgb="FF000000"/>
        <rFont val="Times New Roman"/>
        <family val="1"/>
      </rPr>
      <t>2</t>
    </r>
    <r>
      <rPr>
        <b/>
        <sz val="10"/>
        <color rgb="FF000000"/>
        <rFont val="Times New Roman"/>
        <family val="1"/>
      </rPr>
      <t>)</t>
    </r>
  </si>
  <si>
    <t>Surface Layer Thickness (m)</t>
  </si>
  <si>
    <r>
      <t>Use Environment Volume (m</t>
    </r>
    <r>
      <rPr>
        <b/>
        <vertAlign val="superscript"/>
        <sz val="10"/>
        <color rgb="FF000000"/>
        <rFont val="Times New Roman"/>
        <family val="1"/>
      </rPr>
      <t>3</t>
    </r>
    <r>
      <rPr>
        <b/>
        <sz val="10"/>
        <color rgb="FF000000"/>
        <rFont val="Times New Roman"/>
        <family val="1"/>
      </rPr>
      <t>)</t>
    </r>
  </si>
  <si>
    <r>
      <t>Interzone Ventilation Rate (m</t>
    </r>
    <r>
      <rPr>
        <b/>
        <vertAlign val="superscript"/>
        <sz val="10"/>
        <color rgb="FF000000"/>
        <rFont val="Times New Roman"/>
        <family val="1"/>
      </rPr>
      <t>3</t>
    </r>
    <r>
      <rPr>
        <b/>
        <sz val="10"/>
        <color rgb="FF000000"/>
        <rFont val="Times New Roman"/>
        <family val="1"/>
      </rPr>
      <t>/h)</t>
    </r>
  </si>
  <si>
    <t>Inhalation/Ingestion</t>
  </si>
  <si>
    <t>Ingestion</t>
  </si>
  <si>
    <r>
      <t xml:space="preserve">Product Users </t>
    </r>
    <r>
      <rPr>
        <b/>
        <sz val="11"/>
        <rFont val="Calibri"/>
        <family val="2"/>
        <scheme val="minor"/>
      </rPr>
      <t>(Non-users are automatically modeled as bystanders)</t>
    </r>
  </si>
  <si>
    <t>Youth/Child</t>
  </si>
  <si>
    <t>Child</t>
  </si>
  <si>
    <t>Stay at Home</t>
  </si>
  <si>
    <r>
      <t>m</t>
    </r>
    <r>
      <rPr>
        <vertAlign val="superscript"/>
        <sz val="11"/>
        <color theme="1"/>
        <rFont val="Calibri"/>
        <family val="2"/>
        <scheme val="minor"/>
      </rPr>
      <t>2</t>
    </r>
  </si>
  <si>
    <t>Dermal Calculations for Consumer Scenarios</t>
  </si>
  <si>
    <t>Refining Dermal - Sensitivity Experiments</t>
  </si>
  <si>
    <t>Product/Article Name</t>
  </si>
  <si>
    <t>Figure Label</t>
  </si>
  <si>
    <t>User(s)
[A  zero indicates that the population was not assessed for dermal exposure]</t>
  </si>
  <si>
    <t xml:space="preserve">Input Parameters </t>
  </si>
  <si>
    <t xml:space="preserve"> Dose per event mg/kg bw</t>
  </si>
  <si>
    <t>Chronic  Dose  mg/kg bw year</t>
  </si>
  <si>
    <t xml:space="preserve"> Acute Dose mg/kg bw day</t>
  </si>
  <si>
    <t>Chronic  Dose  ug/kg bw day - By Individual Age Group</t>
  </si>
  <si>
    <t xml:space="preserve"> Acute Dose ug/kg bw day - By Individual Age Group</t>
  </si>
  <si>
    <t>Chronic  Dose  ug/kg bw day - By Grouping</t>
  </si>
  <si>
    <t xml:space="preserve"> Acute Dose ug/kg bw day - By Grouping</t>
  </si>
  <si>
    <t>Chronic  MOE Check</t>
  </si>
  <si>
    <t xml:space="preserve"> Acute MOE Check</t>
  </si>
  <si>
    <t>Adult</t>
  </si>
  <si>
    <t>Youth</t>
  </si>
  <si>
    <t>Event time (Min)</t>
  </si>
  <si>
    <t>Frequency (chronic)</t>
  </si>
  <si>
    <t>Frequency (acute)</t>
  </si>
  <si>
    <r>
      <t>Flux (mg/cm</t>
    </r>
    <r>
      <rPr>
        <b/>
        <vertAlign val="superscript"/>
        <sz val="11"/>
        <color theme="1"/>
        <rFont val="Calibri"/>
        <family val="2"/>
        <scheme val="minor"/>
      </rPr>
      <t>2</t>
    </r>
    <r>
      <rPr>
        <b/>
        <sz val="11"/>
        <color theme="1"/>
        <rFont val="Calibri"/>
        <family val="2"/>
        <scheme val="minor"/>
      </rPr>
      <t>/hour)</t>
    </r>
  </si>
  <si>
    <r>
      <t>DA (mg/cm</t>
    </r>
    <r>
      <rPr>
        <b/>
        <vertAlign val="superscript"/>
        <sz val="11"/>
        <color theme="1"/>
        <rFont val="Calibri"/>
        <family val="2"/>
        <scheme val="minor"/>
      </rPr>
      <t>2</t>
    </r>
    <r>
      <rPr>
        <b/>
        <sz val="11"/>
        <color theme="1"/>
        <rFont val="Calibri"/>
        <family val="2"/>
        <scheme val="minor"/>
      </rPr>
      <t>)</t>
    </r>
  </si>
  <si>
    <t>Contact Area</t>
  </si>
  <si>
    <t xml:space="preserve">ADULTS &gt;21
</t>
  </si>
  <si>
    <t xml:space="preserve">YOUTHS (16-20)
</t>
  </si>
  <si>
    <t xml:space="preserve">YOUTHS (11 to &lt;15)
</t>
  </si>
  <si>
    <t xml:space="preserve">CHILDREN (6-&lt;10)
</t>
  </si>
  <si>
    <t xml:space="preserve">SMALL CHILDREN (3-&lt;6)
</t>
  </si>
  <si>
    <t xml:space="preserve">INFANTS (1-&lt;3)
</t>
  </si>
  <si>
    <t xml:space="preserve">INFANTS (&lt; 1)
</t>
  </si>
  <si>
    <t>ADULTS &gt;21</t>
  </si>
  <si>
    <t>YOUTHS (11-20)</t>
  </si>
  <si>
    <t>CHILDREN (1-10)</t>
  </si>
  <si>
    <t>YOUTHS (16-20)</t>
  </si>
  <si>
    <t>YOUTHS (11 to &lt;15)</t>
  </si>
  <si>
    <t>CHILDREN (6-&lt;10)</t>
  </si>
  <si>
    <t>SMALL CHILDREN (3-&lt;6)</t>
  </si>
  <si>
    <t>INFANTS (1-&lt;3)</t>
  </si>
  <si>
    <t>INFANTS (&lt; 1)</t>
  </si>
  <si>
    <t>Inside of two hands (palms, fingers)</t>
  </si>
  <si>
    <t>Air Beds with weight fraction and Bedsheet</t>
  </si>
  <si>
    <t>25% of Face, Hands, and Arms</t>
  </si>
  <si>
    <t>Air Beds flux-limited and direct contact</t>
  </si>
  <si>
    <t>10% of Hands (some fingers)</t>
  </si>
  <si>
    <t>Children's toys (legacy)</t>
  </si>
  <si>
    <t>Children's toys (new)</t>
  </si>
  <si>
    <t>50% of Entire Body Surface Area</t>
  </si>
  <si>
    <t>Both Hands (entire surface area)</t>
  </si>
  <si>
    <t>Inside of one hand (palms, fingers)</t>
  </si>
  <si>
    <t>LOOKUP TABLES AND SUPPLEMENTARY CALCULATIONS</t>
  </si>
  <si>
    <t>Surface Area/BW ratios</t>
  </si>
  <si>
    <t>Population</t>
  </si>
  <si>
    <t>Entire Body</t>
  </si>
  <si>
    <t>Flux from liquid products</t>
  </si>
  <si>
    <t>Flux from solid articles products</t>
  </si>
  <si>
    <t>Flux Value</t>
  </si>
  <si>
    <t>Key Parameters Used in Dermal Models</t>
  </si>
  <si>
    <t>Flux Rate Air Beds</t>
  </si>
  <si>
    <t>Duration of Contact (min)</t>
  </si>
  <si>
    <t>Frequency of Contact (year-1)</t>
  </si>
  <si>
    <t>Frequency of Contact (day-1)</t>
  </si>
  <si>
    <t>Dermal Absorption or Flux (mg/cm2/hour)</t>
  </si>
  <si>
    <r>
      <t>ug/m</t>
    </r>
    <r>
      <rPr>
        <vertAlign val="superscript"/>
        <sz val="11"/>
        <color theme="1"/>
        <rFont val="Calibri"/>
        <family val="2"/>
        <scheme val="minor"/>
      </rPr>
      <t>2</t>
    </r>
    <r>
      <rPr>
        <sz val="11"/>
        <color theme="1"/>
        <rFont val="Calibri"/>
        <family val="2"/>
        <scheme val="minor"/>
      </rPr>
      <t>-day</t>
    </r>
  </si>
  <si>
    <t>Low intensity</t>
  </si>
  <si>
    <t>mg/cm2-hour</t>
  </si>
  <si>
    <t>medium intensity</t>
  </si>
  <si>
    <t>high intensity</t>
  </si>
  <si>
    <t>Draft Consumer Exposure Analysis for Diethylhexyl Phthalate (DEHP)</t>
  </si>
  <si>
    <t>Physical and Chemical Properties for DEHP Used in Consumer Modeling</t>
  </si>
  <si>
    <t>Inhalation Rates</t>
  </si>
  <si>
    <t>High Intensity Ventilation Rates from EFH</t>
  </si>
  <si>
    <t>CEM Age groups Relevant to sporting event</t>
  </si>
  <si>
    <t>Small child (3-5)</t>
  </si>
  <si>
    <t>Child (6-10)</t>
  </si>
  <si>
    <t>Youth (11-15)</t>
  </si>
  <si>
    <t>Youth (16-20)</t>
  </si>
  <si>
    <t xml:space="preserve">Adult </t>
  </si>
  <si>
    <r>
      <t>mean rate (m</t>
    </r>
    <r>
      <rPr>
        <vertAlign val="superscript"/>
        <sz val="11"/>
        <color theme="1"/>
        <rFont val="Calibri"/>
        <family val="2"/>
        <scheme val="minor"/>
      </rPr>
      <t>3</t>
    </r>
    <r>
      <rPr>
        <sz val="11"/>
        <color theme="1"/>
        <rFont val="Calibri"/>
        <family val="2"/>
        <scheme val="minor"/>
      </rPr>
      <t>/min)</t>
    </r>
  </si>
  <si>
    <r>
      <t>mean rate (m</t>
    </r>
    <r>
      <rPr>
        <vertAlign val="superscript"/>
        <sz val="11"/>
        <color theme="1"/>
        <rFont val="Calibri"/>
        <family val="2"/>
        <scheme val="minor"/>
      </rPr>
      <t>3</t>
    </r>
    <r>
      <rPr>
        <sz val="11"/>
        <color theme="1"/>
        <rFont val="Calibri"/>
        <family val="2"/>
        <scheme val="minor"/>
      </rPr>
      <t>/hour)</t>
    </r>
  </si>
  <si>
    <t>Inputs for Duration and Frequency of Exposure</t>
  </si>
  <si>
    <t>EPA Tire Crumb Exposure Characterization Table 5-7. Exposure Parameters for Extant Data</t>
  </si>
  <si>
    <t>Exposure Time(hrs/event)</t>
  </si>
  <si>
    <r>
      <t>Exposure Frequency (year</t>
    </r>
    <r>
      <rPr>
        <vertAlign val="superscript"/>
        <sz val="11"/>
        <color theme="1"/>
        <rFont val="Calibri"/>
        <family val="2"/>
        <scheme val="minor"/>
      </rPr>
      <t>-1</t>
    </r>
    <r>
      <rPr>
        <sz val="11"/>
        <color theme="1"/>
        <rFont val="Calibri"/>
        <family val="2"/>
        <scheme val="minor"/>
      </rPr>
      <t>)</t>
    </r>
  </si>
  <si>
    <r>
      <t>Exposure Frequency (day</t>
    </r>
    <r>
      <rPr>
        <vertAlign val="superscript"/>
        <sz val="11"/>
        <color theme="1"/>
        <rFont val="Calibri"/>
        <family val="2"/>
        <scheme val="minor"/>
      </rPr>
      <t>-1</t>
    </r>
    <r>
      <rPr>
        <sz val="11"/>
        <color theme="1"/>
        <rFont val="Calibri"/>
        <family val="2"/>
        <scheme val="minor"/>
      </rPr>
      <t>)</t>
    </r>
  </si>
  <si>
    <t>Absorption Fraction</t>
  </si>
  <si>
    <t>Route</t>
  </si>
  <si>
    <t>Body Weight Lookup Table (From EFH Table 8-1)</t>
  </si>
  <si>
    <t>Mean Body Weight (Kg)</t>
  </si>
  <si>
    <t>Infant1</t>
  </si>
  <si>
    <t>Infant2</t>
  </si>
  <si>
    <t>Child1</t>
  </si>
  <si>
    <t>Child2</t>
  </si>
  <si>
    <t>Youth1</t>
  </si>
  <si>
    <t>Youth2</t>
  </si>
  <si>
    <t>Soil and Dust Ingestion Rates (From EFH Table 5-1)</t>
  </si>
  <si>
    <t>mg/day</t>
  </si>
  <si>
    <t>g/day</t>
  </si>
  <si>
    <t>Solids Adherance on Skin</t>
  </si>
  <si>
    <t>Field Measurement of Dermal Soil Loading Attributable to Various Activities: Implications for Exposure Assessment</t>
  </si>
  <si>
    <t>Adult female soccer players were monitored on two occasions involving 90-min games. All players wore shorts, shin guards, high socks, and short-sleeves. Three of 16 knees were covered by braces or guards. The games were conducted on all-weather fields composed in part of sand and ground tires.</t>
  </si>
  <si>
    <t>Kissel et al 1996</t>
  </si>
  <si>
    <t>Values Reported for soccer games played on tire fields</t>
  </si>
  <si>
    <t xml:space="preserve"> Dermal Solids Loading (mg/cm2)</t>
  </si>
  <si>
    <t>Hands</t>
  </si>
  <si>
    <t>Arms</t>
  </si>
  <si>
    <t>Legs</t>
  </si>
  <si>
    <t>Faces</t>
  </si>
  <si>
    <t>95% CI upper</t>
  </si>
  <si>
    <t>Soccer 2</t>
  </si>
  <si>
    <t>Geo Mean</t>
  </si>
  <si>
    <t>95% CI lower</t>
  </si>
  <si>
    <t>Soccer 3</t>
  </si>
  <si>
    <t>Surface Area Normalized Adherence Factors</t>
  </si>
  <si>
    <t>Selected Values</t>
  </si>
  <si>
    <t>SurfaceArea of Exposure</t>
  </si>
  <si>
    <t>Body part percentages were assumed to be 100% of the face, 72.5% of the arms, 40% of the legs (to account for socks and short pants), and 100% of the hands.</t>
  </si>
  <si>
    <r>
      <t>Surface area of body parts by age (m</t>
    </r>
    <r>
      <rPr>
        <vertAlign val="superscript"/>
        <sz val="11"/>
        <color theme="1"/>
        <rFont val="Calibri"/>
        <family val="2"/>
        <scheme val="minor"/>
      </rPr>
      <t>2</t>
    </r>
    <r>
      <rPr>
        <sz val="11"/>
        <color theme="1"/>
        <rFont val="Calibri"/>
        <family val="2"/>
        <scheme val="minor"/>
      </rPr>
      <t>)</t>
    </r>
  </si>
  <si>
    <t>face</t>
  </si>
  <si>
    <t>Exposed area of body parts (m2)</t>
  </si>
  <si>
    <t xml:space="preserve">Total </t>
  </si>
  <si>
    <r>
      <t>Total (cm</t>
    </r>
    <r>
      <rPr>
        <vertAlign val="superscript"/>
        <sz val="11"/>
        <color theme="1"/>
        <rFont val="Calibri"/>
        <family val="2"/>
        <scheme val="minor"/>
      </rPr>
      <t>2</t>
    </r>
    <r>
      <rPr>
        <sz val="11"/>
        <color theme="1"/>
        <rFont val="Calibri"/>
        <family val="2"/>
        <scheme val="minor"/>
      </rPr>
      <t>)</t>
    </r>
  </si>
  <si>
    <t>Field Air Samples for SVOCs - SVOCs include many chemical analytes, with large ranges of vapor pressures and physical and chemical properties. Some SVOCs with higher vapor pressures are found primarily in the vapor phase in air, while SVOCs with lower vapor pressures are typically found on airborne particles. In this study, air samples were collected for SVOC analysis without a size-selective particle inlet to allow both vapor- and particle-phase SVOCs to be collected simultaneously</t>
  </si>
  <si>
    <t>Table 4-33. Exposure Pilot Study Field Air Sampling SVOC Measurements</t>
  </si>
  <si>
    <t>Semivolatile Organic Compound (SVOC)</t>
  </si>
  <si>
    <t>&gt; Minimum Quantifiable Limit (%)</t>
  </si>
  <si>
    <t>Background Air Sample Median (ng/m3 )</t>
  </si>
  <si>
    <t>Field Air Sample Location 1 Median (ng/m3 )</t>
  </si>
  <si>
    <t>Field Air Sample Location 2 Median (ng/m3 )</t>
  </si>
  <si>
    <t>Field Air Sample Max (ng/m3 )</t>
  </si>
  <si>
    <t>Bis(2-ethylhexyl) Phthalate</t>
  </si>
  <si>
    <t>Dimethyl Phthalate</t>
  </si>
  <si>
    <t>Diethyl Phthalate</t>
  </si>
  <si>
    <t>Benzylbutyl Phthalate</t>
  </si>
  <si>
    <t>Di-n-octyl Phthalate</t>
  </si>
  <si>
    <t>Pthalate Concentration Concentration (mg/kg)</t>
  </si>
  <si>
    <t>10th</t>
  </si>
  <si>
    <t>50th</t>
  </si>
  <si>
    <t>90th</t>
  </si>
  <si>
    <t>DEHP</t>
  </si>
  <si>
    <t>DMP</t>
  </si>
  <si>
    <t>DEP</t>
  </si>
  <si>
    <t>DIBP</t>
  </si>
  <si>
    <t>BBP</t>
  </si>
  <si>
    <t>DNOP</t>
  </si>
  <si>
    <t xml:space="preserve">DEHP was measured in tire crumb samples retrieved from recycling plants, indoor fields, and outdoor fields. A total of 49 samples were measured and reported DEHP contents ranged were </t>
  </si>
  <si>
    <t>Dose Calculations</t>
  </si>
  <si>
    <t>Dose per Exposure Event mg/kg bw-event</t>
  </si>
  <si>
    <t>ADR (mg/kg bw-day)</t>
  </si>
  <si>
    <t>CADD (mg/kg bw-day)</t>
  </si>
  <si>
    <t>PUBLIC RELEASE DRAFT</t>
  </si>
  <si>
    <t>Version – May 2025</t>
  </si>
  <si>
    <t>Only includes Use Reports products used in the assessment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</si>
</sst>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
    <numFmt numFmtId="166" formatCode="0E+00"/>
    <numFmt numFmtId="167" formatCode="0.0E+00"/>
    <numFmt numFmtId="168" formatCode="0.00000"/>
    <numFmt numFmtId="169" formatCode="0.000000"/>
    <numFmt numFmtId="170" formatCode="0.0000"/>
  </numFmts>
  <fonts count="90">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6"/>
      <color theme="1"/>
      <name val="Calibri"/>
      <family val="2"/>
      <scheme val="minor"/>
    </font>
    <font>
      <sz val="11"/>
      <name val="Calibri"/>
      <family val="2"/>
      <scheme val="minor"/>
    </font>
    <font>
      <sz val="16"/>
      <color theme="1"/>
      <name val="Calibri"/>
      <family val="2"/>
      <scheme val="minor"/>
    </font>
    <font>
      <b/>
      <sz val="11"/>
      <color rgb="FF111111"/>
      <name val="Calibri"/>
      <family val="2"/>
      <scheme val="minor"/>
    </font>
    <font>
      <sz val="11"/>
      <color rgb="FF111111"/>
      <name val="Calibri"/>
      <family val="2"/>
      <scheme val="minor"/>
    </font>
    <font>
      <sz val="11"/>
      <color rgb="FF000000"/>
      <name val="Calibri"/>
      <family val="2"/>
      <scheme val="minor"/>
    </font>
    <font>
      <vertAlign val="subscript"/>
      <sz val="11"/>
      <color rgb="FF111111"/>
      <name val="Calibri"/>
      <family val="2"/>
      <scheme val="minor"/>
    </font>
    <font>
      <u/>
      <sz val="11"/>
      <color theme="10"/>
      <name val="Calibri"/>
      <family val="2"/>
      <scheme val="minor"/>
    </font>
    <font>
      <b/>
      <sz val="16"/>
      <name val="Calibri"/>
      <family val="2"/>
      <scheme val="minor"/>
    </font>
    <font>
      <sz val="12"/>
      <color theme="1"/>
      <name val="Times New Roman"/>
      <family val="1"/>
    </font>
    <font>
      <b/>
      <sz val="14"/>
      <color theme="1"/>
      <name val="Calibri"/>
      <family val="2"/>
      <scheme val="minor"/>
    </font>
    <font>
      <b/>
      <sz val="16"/>
      <color theme="0"/>
      <name val="Calibri"/>
      <family val="2"/>
      <scheme val="minor"/>
    </font>
    <font>
      <b/>
      <sz val="11"/>
      <name val="Calibri"/>
      <family val="2"/>
      <scheme val="minor"/>
    </font>
    <font>
      <sz val="11"/>
      <color theme="1"/>
      <name val="Times New Roman"/>
      <family val="1"/>
    </font>
    <font>
      <b/>
      <sz val="12"/>
      <color theme="1"/>
      <name val="Calibri"/>
      <family val="2"/>
      <scheme val="minor"/>
    </font>
    <font>
      <sz val="12"/>
      <color theme="1"/>
      <name val="Calibri"/>
      <family val="2"/>
      <scheme val="minor"/>
    </font>
    <font>
      <sz val="14"/>
      <color theme="1"/>
      <name val="Calibri"/>
      <family val="2"/>
      <scheme val="minor"/>
    </font>
    <font>
      <b/>
      <sz val="11"/>
      <color theme="1"/>
      <name val="Times New Roman"/>
      <family val="1"/>
    </font>
    <font>
      <b/>
      <sz val="10"/>
      <color theme="1"/>
      <name val="Calibri"/>
      <family val="2"/>
      <scheme val="minor"/>
    </font>
    <font>
      <sz val="10"/>
      <color theme="1"/>
      <name val="Calibri"/>
      <family val="2"/>
      <scheme val="minor"/>
    </font>
    <font>
      <sz val="10"/>
      <name val="Calibri"/>
      <family val="2"/>
      <scheme val="minor"/>
    </font>
    <font>
      <sz val="11"/>
      <color theme="1"/>
      <name val="Calibri"/>
      <family val="2"/>
    </font>
    <font>
      <b/>
      <sz val="10"/>
      <color rgb="FF000000"/>
      <name val="Calibri"/>
      <family val="2"/>
      <scheme val="minor"/>
    </font>
    <font>
      <b/>
      <vertAlign val="superscript"/>
      <sz val="10"/>
      <color theme="1"/>
      <name val="Calibri"/>
      <family val="2"/>
      <scheme val="minor"/>
    </font>
    <font>
      <sz val="10"/>
      <color rgb="FF000000"/>
      <name val="Calibri"/>
      <family val="2"/>
      <scheme val="minor"/>
    </font>
    <font>
      <i/>
      <sz val="12"/>
      <color rgb="FF374151"/>
      <name val="Times New Roman"/>
      <family val="1"/>
    </font>
    <font>
      <i/>
      <sz val="12"/>
      <color theme="1"/>
      <name val="Calibri"/>
      <family val="2"/>
      <scheme val="minor"/>
    </font>
    <font>
      <sz val="12"/>
      <color rgb="FF374151"/>
      <name val="Calibri"/>
      <family val="2"/>
      <scheme val="minor"/>
    </font>
    <font>
      <b/>
      <sz val="12"/>
      <name val="Calibri"/>
      <family val="2"/>
      <scheme val="minor"/>
    </font>
    <font>
      <sz val="12"/>
      <name val="Calibri"/>
      <family val="2"/>
      <scheme val="minor"/>
    </font>
    <font>
      <i/>
      <sz val="10"/>
      <color rgb="FF374151"/>
      <name val="KaTeX_Math"/>
    </font>
    <font>
      <sz val="10"/>
      <color rgb="FF374151"/>
      <name val="Times New Roman"/>
      <family val="1"/>
    </font>
    <font>
      <sz val="7.7"/>
      <color rgb="FF374151"/>
      <name val="Times New Roman"/>
      <family val="1"/>
    </font>
    <font>
      <sz val="1"/>
      <color rgb="FF374151"/>
      <name val="Times New Roman"/>
      <family val="1"/>
    </font>
    <font>
      <b/>
      <vertAlign val="superscript"/>
      <sz val="11"/>
      <color theme="1"/>
      <name val="Calibri"/>
      <family val="2"/>
      <scheme val="minor"/>
    </font>
    <font>
      <sz val="16"/>
      <name val="Calibri"/>
      <family val="2"/>
      <scheme val="minor"/>
    </font>
    <font>
      <u/>
      <sz val="11"/>
      <color theme="1"/>
      <name val="Calibri"/>
      <family val="2"/>
      <scheme val="minor"/>
    </font>
    <font>
      <b/>
      <sz val="10"/>
      <color rgb="FF000000"/>
      <name val="Times New Roman"/>
      <family val="1"/>
    </font>
    <font>
      <b/>
      <vertAlign val="superscript"/>
      <sz val="10"/>
      <color rgb="FF000000"/>
      <name val="Times New Roman"/>
      <family val="1"/>
    </font>
    <font>
      <sz val="10"/>
      <color theme="1"/>
      <name val="Times New Roman"/>
      <family val="1"/>
    </font>
    <font>
      <b/>
      <sz val="8"/>
      <color theme="1"/>
      <name val="Calibri"/>
      <family val="2"/>
      <scheme val="minor"/>
    </font>
    <font>
      <sz val="8"/>
      <color theme="1"/>
      <name val="Calibri"/>
      <family val="2"/>
      <scheme val="minor"/>
    </font>
    <font>
      <b/>
      <sz val="11"/>
      <color rgb="FFFF0000"/>
      <name val="Calibri"/>
      <family val="2"/>
      <scheme val="minor"/>
    </font>
    <font>
      <b/>
      <sz val="8"/>
      <color rgb="FF000000"/>
      <name val="Calibri"/>
      <family val="2"/>
      <scheme val="minor"/>
    </font>
    <font>
      <b/>
      <sz val="11"/>
      <color rgb="FF000000"/>
      <name val="Calibri"/>
      <family val="2"/>
      <scheme val="minor"/>
    </font>
    <font>
      <sz val="8"/>
      <color rgb="FF000000"/>
      <name val="Calibri"/>
      <family val="2"/>
      <scheme val="minor"/>
    </font>
    <font>
      <sz val="12"/>
      <name val="Times New Roman"/>
      <family val="1"/>
    </font>
    <font>
      <sz val="11"/>
      <color rgb="FF262626"/>
      <name val="Calibri"/>
      <family val="2"/>
      <scheme val="minor"/>
    </font>
    <font>
      <sz val="11"/>
      <color rgb="FF000000"/>
      <name val="Calibri"/>
      <family val="2"/>
    </font>
    <font>
      <sz val="11"/>
      <color rgb="FF222222"/>
      <name val="Arial"/>
      <family val="2"/>
    </font>
    <font>
      <sz val="12"/>
      <color rgb="FF000000"/>
      <name val="Calibri"/>
      <family val="2"/>
    </font>
    <font>
      <sz val="10"/>
      <color rgb="FF000000"/>
      <name val="Calibri"/>
      <family val="2"/>
    </font>
    <font>
      <sz val="11"/>
      <color theme="1"/>
      <name val="Calibri "/>
    </font>
    <font>
      <sz val="11"/>
      <color rgb="FF212121"/>
      <name val="Calibri"/>
      <family val="2"/>
      <scheme val="minor"/>
    </font>
    <font>
      <sz val="11"/>
      <name val="Calibri "/>
    </font>
    <font>
      <sz val="12"/>
      <color rgb="FF212121"/>
      <name val="Times New Roman"/>
      <family val="1"/>
    </font>
    <font>
      <sz val="11"/>
      <color rgb="FF242424"/>
      <name val="Arial"/>
      <family val="2"/>
    </font>
    <font>
      <sz val="11"/>
      <color rgb="FF333333"/>
      <name val="Arial"/>
      <family val="2"/>
    </font>
    <font>
      <sz val="12"/>
      <color rgb="FF000000"/>
      <name val="Calibri"/>
      <family val="2"/>
      <scheme val="minor"/>
    </font>
    <font>
      <sz val="12"/>
      <color rgb="FF3B3030"/>
      <name val="Times New Roman"/>
      <family val="1"/>
    </font>
    <font>
      <sz val="10"/>
      <color rgb="FF4D5156"/>
      <name val="Arial"/>
      <family val="2"/>
    </font>
    <font>
      <b/>
      <sz val="10"/>
      <color rgb="FF5F6368"/>
      <name val="Arial"/>
      <family val="2"/>
    </font>
    <font>
      <sz val="10"/>
      <color theme="1"/>
      <name val="Arial"/>
      <family val="2"/>
    </font>
    <font>
      <b/>
      <sz val="10"/>
      <color theme="1"/>
      <name val="Arial"/>
      <family val="2"/>
    </font>
    <font>
      <b/>
      <sz val="10"/>
      <color theme="1"/>
      <name val="Calibri"/>
      <family val="2"/>
    </font>
    <font>
      <vertAlign val="superscript"/>
      <sz val="11"/>
      <color theme="1"/>
      <name val="Calibri"/>
      <family val="2"/>
      <scheme val="minor"/>
    </font>
    <font>
      <sz val="10"/>
      <color rgb="FF212121"/>
      <name val="Cambria"/>
      <family val="1"/>
    </font>
    <font>
      <i/>
      <sz val="10"/>
      <color rgb="FF212121"/>
      <name val="Cambria"/>
      <family val="1"/>
    </font>
    <font>
      <sz val="8"/>
      <color rgb="FF212121"/>
      <name val="Cambria"/>
      <family val="1"/>
    </font>
    <font>
      <vertAlign val="subscript"/>
      <sz val="11"/>
      <color theme="1"/>
      <name val="Calibri"/>
      <family val="2"/>
      <scheme val="minor"/>
    </font>
    <font>
      <b/>
      <sz val="16"/>
      <color theme="1"/>
      <name val="Times New Roman"/>
      <family val="1"/>
    </font>
    <font>
      <b/>
      <i/>
      <sz val="14"/>
      <color theme="1"/>
      <name val="Times New Roman"/>
      <family val="1"/>
    </font>
    <font>
      <b/>
      <sz val="10"/>
      <name val="Calibri"/>
      <family val="2"/>
      <scheme val="minor"/>
    </font>
    <font>
      <sz val="10"/>
      <color rgb="FFFF0000"/>
      <name val="Calibri"/>
      <family val="2"/>
      <scheme val="minor"/>
    </font>
    <font>
      <sz val="11"/>
      <name val="Calibri"/>
      <family val="2"/>
    </font>
    <font>
      <sz val="9"/>
      <color rgb="FF212121"/>
      <name val="Verdana"/>
      <family val="2"/>
    </font>
    <font>
      <sz val="11"/>
      <color rgb="FF0D0D0D"/>
      <name val="Calibri "/>
    </font>
    <font>
      <sz val="11"/>
      <color rgb="FF000000"/>
      <name val="Aptos Narrow"/>
      <family val="2"/>
    </font>
    <font>
      <u/>
      <sz val="10"/>
      <color theme="10"/>
      <name val="Calibri"/>
      <family val="2"/>
      <scheme val="minor"/>
    </font>
    <font>
      <vertAlign val="superscript"/>
      <sz val="10"/>
      <name val="Calibri"/>
      <family val="2"/>
      <scheme val="minor"/>
    </font>
    <font>
      <u/>
      <sz val="10"/>
      <name val="Calibri"/>
      <family val="2"/>
      <scheme val="minor"/>
    </font>
    <font>
      <b/>
      <sz val="11"/>
      <name val="Calibri"/>
      <family val="2"/>
    </font>
    <font>
      <b/>
      <sz val="9"/>
      <color rgb="FF212121"/>
      <name val="Verdana"/>
      <family val="2"/>
    </font>
    <font>
      <i/>
      <sz val="12"/>
      <color rgb="FF3B3030"/>
      <name val="Times New Roman"/>
      <family val="1"/>
    </font>
    <font>
      <sz val="12"/>
      <color rgb="FFFF0000"/>
      <name val="Times New Roman"/>
      <family val="1"/>
    </font>
    <font>
      <b/>
      <sz val="18"/>
      <color theme="1"/>
      <name val="Times New Roman"/>
      <family val="1"/>
    </font>
  </fonts>
  <fills count="25">
    <fill>
      <patternFill patternType="none"/>
    </fill>
    <fill>
      <patternFill patternType="gray125"/>
    </fill>
    <fill>
      <patternFill patternType="solid">
        <fgColor rgb="FF002060"/>
        <bgColor indexed="64"/>
      </patternFill>
    </fill>
    <fill>
      <patternFill patternType="solid">
        <fgColor them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D9D9D9"/>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1"/>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7"/>
        <bgColor indexed="64"/>
      </patternFill>
    </fill>
    <fill>
      <patternFill patternType="solid">
        <fgColor theme="3" tint="0.89999084444715716"/>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thin">
        <color indexed="64"/>
      </bottom>
      <diagonal/>
    </border>
    <border>
      <left/>
      <right style="medium">
        <color indexed="64"/>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s>
  <cellStyleXfs count="3">
    <xf numFmtId="0" fontId="0" fillId="0" borderId="0"/>
    <xf numFmtId="0" fontId="11" fillId="0" borderId="0" applyNumberFormat="0" applyFill="0" applyBorder="0" applyAlignment="0" applyProtection="0"/>
    <xf numFmtId="0" fontId="54" fillId="0" borderId="0"/>
  </cellStyleXfs>
  <cellXfs count="926">
    <xf numFmtId="0" fontId="0" fillId="0" borderId="0" xfId="0"/>
    <xf numFmtId="0" fontId="4" fillId="0" borderId="0" xfId="0" applyFont="1" applyAlignment="1" applyProtection="1">
      <alignment horizontal="left" vertical="top"/>
    </xf>
    <xf numFmtId="0" fontId="2" fillId="0" borderId="0" xfId="0" applyFont="1" applyAlignment="1" applyProtection="1">
      <alignment horizontal="left"/>
    </xf>
    <xf numFmtId="0" fontId="0" fillId="0" borderId="0" xfId="0" applyAlignment="1" applyProtection="1">
      <alignment horizontal="left"/>
    </xf>
    <xf numFmtId="0" fontId="1" fillId="2" borderId="1" xfId="0" applyFont="1" applyFill="1" applyBorder="1" applyAlignment="1" applyProtection="1">
      <alignment horizontal="left" vertical="top"/>
    </xf>
    <xf numFmtId="0" fontId="0" fillId="3" borderId="1" xfId="0" applyFill="1" applyBorder="1" applyAlignment="1" applyProtection="1">
      <alignment vertical="top"/>
    </xf>
    <xf numFmtId="0" fontId="0" fillId="0" borderId="1" xfId="0" applyBorder="1" applyAlignment="1" applyProtection="1">
      <alignment vertical="top" wrapText="1"/>
    </xf>
    <xf numFmtId="0" fontId="0" fillId="0" borderId="0" xfId="0" applyAlignment="1" applyProtection="1">
      <alignment vertical="top"/>
    </xf>
    <xf numFmtId="0" fontId="0" fillId="3" borderId="4" xfId="0" applyFill="1" applyBorder="1" applyAlignment="1" applyProtection="1">
      <alignment vertical="top"/>
    </xf>
    <xf numFmtId="0" fontId="5" fillId="0" borderId="2" xfId="0" applyFont="1" applyBorder="1" applyAlignment="1" applyProtection="1">
      <alignment vertical="top" wrapText="1"/>
    </xf>
    <xf numFmtId="49" fontId="0" fillId="0" borderId="0" xfId="0" applyNumberFormat="1" applyProtection="1"/>
    <xf numFmtId="0" fontId="5" fillId="3" borderId="4" xfId="0" applyFont="1" applyFill="1" applyBorder="1" applyAlignment="1" applyProtection="1">
      <alignment vertical="top"/>
    </xf>
    <xf numFmtId="0" fontId="0" fillId="0" borderId="0" xfId="0" applyAlignment="1" applyProtection="1">
      <alignment horizontal="left" vertical="top"/>
    </xf>
    <xf numFmtId="0" fontId="6" fillId="0" borderId="0" xfId="0" applyFont="1" applyAlignment="1" applyProtection="1">
      <alignment horizontal="left" vertical="top"/>
    </xf>
    <xf numFmtId="0" fontId="18" fillId="0" borderId="1" xfId="0" applyFont="1" applyBorder="1" applyAlignment="1" applyProtection="1">
      <alignment horizontal="center" vertical="center"/>
    </xf>
    <xf numFmtId="0" fontId="18" fillId="0" borderId="12" xfId="0" applyFont="1" applyBorder="1" applyAlignment="1" applyProtection="1">
      <alignment horizontal="center" vertical="top"/>
    </xf>
    <xf numFmtId="0" fontId="3" fillId="0" borderId="12" xfId="0" applyFont="1" applyBorder="1" applyAlignment="1" applyProtection="1">
      <alignment horizontal="left" vertical="top"/>
    </xf>
    <xf numFmtId="0" fontId="3" fillId="0" borderId="0" xfId="0" applyFont="1" applyAlignment="1" applyProtection="1">
      <alignment horizontal="left" vertical="top"/>
    </xf>
    <xf numFmtId="0" fontId="0" fillId="0" borderId="5" xfId="0" applyBorder="1" applyAlignment="1" applyProtection="1">
      <alignment horizontal="left" vertical="top"/>
    </xf>
    <xf numFmtId="11" fontId="0" fillId="0" borderId="5" xfId="0" applyNumberFormat="1" applyBorder="1" applyAlignment="1" applyProtection="1">
      <alignment horizontal="center" vertical="top"/>
    </xf>
    <xf numFmtId="11" fontId="0" fillId="0" borderId="0" xfId="0" applyNumberFormat="1" applyAlignment="1" applyProtection="1">
      <alignment horizontal="left" vertical="top"/>
    </xf>
    <xf numFmtId="0" fontId="7" fillId="6" borderId="1" xfId="0" applyFont="1" applyFill="1" applyBorder="1" applyAlignment="1" applyProtection="1">
      <alignment horizontal="left" vertical="top" wrapText="1"/>
    </xf>
    <xf numFmtId="0" fontId="8" fillId="0" borderId="1" xfId="0" applyFont="1" applyBorder="1" applyAlignment="1" applyProtection="1">
      <alignment horizontal="left" vertical="top" wrapText="1"/>
    </xf>
    <xf numFmtId="0" fontId="8" fillId="0" borderId="1" xfId="0" applyFont="1" applyBorder="1" applyAlignment="1" applyProtection="1">
      <alignment horizontal="center" vertical="top" wrapText="1"/>
    </xf>
    <xf numFmtId="0" fontId="8" fillId="7" borderId="1" xfId="0" applyFont="1" applyFill="1" applyBorder="1" applyAlignment="1" applyProtection="1">
      <alignment horizontal="center" vertical="top" wrapText="1"/>
    </xf>
    <xf numFmtId="0" fontId="0" fillId="16" borderId="5" xfId="0" applyFill="1" applyBorder="1" applyAlignment="1" applyProtection="1">
      <alignment horizontal="left" vertical="top"/>
    </xf>
    <xf numFmtId="11" fontId="0" fillId="16" borderId="5" xfId="0" applyNumberFormat="1" applyFill="1" applyBorder="1" applyAlignment="1" applyProtection="1">
      <alignment horizontal="center" vertical="top"/>
    </xf>
    <xf numFmtId="11" fontId="0" fillId="16" borderId="0" xfId="0" applyNumberFormat="1" applyFill="1" applyAlignment="1" applyProtection="1">
      <alignment horizontal="left" vertical="top"/>
    </xf>
    <xf numFmtId="11" fontId="8" fillId="0" borderId="1" xfId="0" applyNumberFormat="1" applyFont="1" applyBorder="1" applyAlignment="1" applyProtection="1">
      <alignment horizontal="center" vertical="top" wrapText="1"/>
    </xf>
    <xf numFmtId="11" fontId="0" fillId="7" borderId="1" xfId="0" applyNumberFormat="1" applyFill="1" applyBorder="1" applyAlignment="1" applyProtection="1">
      <alignment horizontal="center"/>
    </xf>
    <xf numFmtId="0" fontId="8" fillId="7" borderId="0" xfId="0" applyFont="1" applyFill="1" applyAlignment="1" applyProtection="1">
      <alignment horizontal="center"/>
    </xf>
    <xf numFmtId="11" fontId="9" fillId="7" borderId="1" xfId="0" applyNumberFormat="1" applyFont="1" applyFill="1" applyBorder="1" applyAlignment="1" applyProtection="1">
      <alignment horizontal="center"/>
    </xf>
    <xf numFmtId="0" fontId="9" fillId="7" borderId="1" xfId="0" applyFont="1" applyFill="1" applyBorder="1" applyAlignment="1" applyProtection="1">
      <alignment horizontal="center"/>
    </xf>
    <xf numFmtId="0" fontId="0" fillId="0" borderId="0" xfId="0" applyAlignment="1" applyProtection="1">
      <alignment horizontal="right"/>
    </xf>
    <xf numFmtId="0" fontId="3" fillId="0" borderId="0" xfId="0" applyFont="1" applyAlignment="1" applyProtection="1">
      <alignment horizontal="right" vertical="top"/>
    </xf>
    <xf numFmtId="0" fontId="8" fillId="0" borderId="0" xfId="0" applyFont="1" applyAlignment="1" applyProtection="1">
      <alignment horizontal="left" vertical="top"/>
    </xf>
    <xf numFmtId="0" fontId="0" fillId="0" borderId="0" xfId="0" applyAlignment="1" applyProtection="1">
      <alignment horizontal="right" vertical="top"/>
    </xf>
    <xf numFmtId="0" fontId="0" fillId="0" borderId="0" xfId="0" applyAlignment="1" applyProtection="1">
      <alignment horizontal="center" vertical="top"/>
    </xf>
    <xf numFmtId="164" fontId="0" fillId="0" borderId="31" xfId="0" applyNumberFormat="1" applyBorder="1" applyAlignment="1" applyProtection="1">
      <alignment horizontal="center" vertical="top"/>
    </xf>
    <xf numFmtId="164" fontId="0" fillId="0" borderId="30" xfId="0" applyNumberFormat="1" applyBorder="1" applyAlignment="1" applyProtection="1">
      <alignment horizontal="center" vertical="top"/>
    </xf>
    <xf numFmtId="0" fontId="0" fillId="4" borderId="5" xfId="0" applyFill="1" applyBorder="1" applyAlignment="1" applyProtection="1">
      <alignment horizontal="left" vertical="top"/>
    </xf>
    <xf numFmtId="11" fontId="0" fillId="4" borderId="5" xfId="0" applyNumberFormat="1" applyFill="1" applyBorder="1" applyAlignment="1" applyProtection="1">
      <alignment horizontal="center" vertical="top"/>
    </xf>
    <xf numFmtId="11" fontId="0" fillId="4" borderId="0" xfId="0" applyNumberFormat="1" applyFill="1" applyAlignment="1" applyProtection="1">
      <alignment horizontal="left" vertical="top"/>
    </xf>
    <xf numFmtId="0" fontId="0" fillId="4" borderId="0" xfId="0" applyFill="1" applyAlignment="1" applyProtection="1">
      <alignment horizontal="center" vertical="top"/>
    </xf>
    <xf numFmtId="0" fontId="0" fillId="0" borderId="20" xfId="0" applyBorder="1" applyProtection="1"/>
    <xf numFmtId="0" fontId="0" fillId="0" borderId="25" xfId="0" applyBorder="1" applyProtection="1"/>
    <xf numFmtId="0" fontId="0" fillId="0" borderId="21" xfId="0" applyBorder="1" applyProtection="1"/>
    <xf numFmtId="0" fontId="11" fillId="0" borderId="15" xfId="1" applyBorder="1" applyProtection="1"/>
    <xf numFmtId="0" fontId="0" fillId="0" borderId="16" xfId="0" applyBorder="1" applyProtection="1"/>
    <xf numFmtId="0" fontId="0" fillId="0" borderId="15" xfId="0" applyBorder="1" applyProtection="1"/>
    <xf numFmtId="0" fontId="0" fillId="0" borderId="15" xfId="0" applyBorder="1" applyAlignment="1" applyProtection="1">
      <alignment horizontal="left" vertical="top"/>
    </xf>
    <xf numFmtId="0" fontId="0" fillId="0" borderId="16" xfId="0" applyBorder="1" applyAlignment="1" applyProtection="1">
      <alignment vertical="top"/>
    </xf>
    <xf numFmtId="0" fontId="0" fillId="0" borderId="16" xfId="0" applyBorder="1" applyAlignment="1" applyProtection="1">
      <alignment horizontal="left" vertical="top"/>
    </xf>
    <xf numFmtId="0" fontId="0" fillId="0" borderId="16" xfId="0" applyBorder="1" applyAlignment="1" applyProtection="1">
      <alignment horizontal="center" wrapText="1"/>
    </xf>
    <xf numFmtId="0" fontId="3" fillId="0" borderId="15" xfId="0" applyFont="1" applyBorder="1" applyProtection="1"/>
    <xf numFmtId="0" fontId="0" fillId="0" borderId="0" xfId="0" applyAlignment="1" applyProtection="1">
      <alignment horizontal="center" wrapText="1"/>
    </xf>
    <xf numFmtId="0" fontId="3" fillId="0" borderId="12" xfId="0" applyFont="1" applyBorder="1" applyAlignment="1" applyProtection="1">
      <alignment horizontal="center" wrapText="1"/>
    </xf>
    <xf numFmtId="0" fontId="3" fillId="0" borderId="26" xfId="0" applyFont="1" applyBorder="1" applyAlignment="1" applyProtection="1">
      <alignment horizontal="center" wrapText="1"/>
    </xf>
    <xf numFmtId="0" fontId="67" fillId="0" borderId="38" xfId="0" applyFont="1" applyBorder="1" applyAlignment="1" applyProtection="1">
      <alignment horizontal="center"/>
    </xf>
    <xf numFmtId="164" fontId="67" fillId="0" borderId="3" xfId="0" applyNumberFormat="1" applyFont="1" applyBorder="1" applyAlignment="1" applyProtection="1">
      <alignment horizontal="center"/>
    </xf>
    <xf numFmtId="164" fontId="68" fillId="0" borderId="3" xfId="0" applyNumberFormat="1" applyFont="1" applyBorder="1" applyAlignment="1" applyProtection="1">
      <alignment horizontal="center"/>
    </xf>
    <xf numFmtId="0" fontId="0" fillId="0" borderId="0" xfId="0" applyAlignment="1" applyProtection="1">
      <alignment horizontal="center"/>
    </xf>
    <xf numFmtId="0" fontId="0" fillId="0" borderId="16" xfId="0" applyBorder="1" applyAlignment="1" applyProtection="1">
      <alignment horizontal="center"/>
    </xf>
    <xf numFmtId="49" fontId="19" fillId="0" borderId="0" xfId="0" applyNumberFormat="1" applyFont="1" applyAlignment="1" applyProtection="1">
      <alignment horizontal="right" vertical="top"/>
    </xf>
    <xf numFmtId="0" fontId="3" fillId="0" borderId="0" xfId="0" applyFont="1" applyAlignment="1" applyProtection="1">
      <alignment horizontal="center" vertical="top"/>
    </xf>
    <xf numFmtId="0" fontId="3" fillId="0" borderId="16" xfId="0" applyFont="1" applyBorder="1" applyAlignment="1" applyProtection="1">
      <alignment horizontal="center"/>
    </xf>
    <xf numFmtId="0" fontId="3" fillId="0" borderId="0" xfId="0" applyFont="1" applyFill="1" applyBorder="1" applyAlignment="1" applyProtection="1">
      <alignment horizontal="center" vertical="top"/>
    </xf>
    <xf numFmtId="0" fontId="66" fillId="5" borderId="39" xfId="0" applyFont="1" applyFill="1" applyBorder="1" applyProtection="1"/>
    <xf numFmtId="164" fontId="66" fillId="5" borderId="5" xfId="0" applyNumberFormat="1" applyFont="1" applyFill="1" applyBorder="1" applyProtection="1"/>
    <xf numFmtId="1" fontId="66" fillId="0" borderId="5" xfId="0" applyNumberFormat="1" applyFont="1" applyBorder="1" applyProtection="1"/>
    <xf numFmtId="11" fontId="0" fillId="0" borderId="0" xfId="0" applyNumberFormat="1" applyAlignment="1" applyProtection="1">
      <alignment horizontal="center"/>
    </xf>
    <xf numFmtId="11" fontId="0" fillId="0" borderId="16" xfId="0" applyNumberFormat="1" applyBorder="1" applyAlignment="1" applyProtection="1">
      <alignment horizontal="center"/>
    </xf>
    <xf numFmtId="11" fontId="0" fillId="5" borderId="0" xfId="0" applyNumberFormat="1" applyFill="1" applyAlignment="1" applyProtection="1">
      <alignment horizontal="center" vertical="top"/>
    </xf>
    <xf numFmtId="2" fontId="0" fillId="0" borderId="0" xfId="0" applyNumberFormat="1" applyAlignment="1" applyProtection="1">
      <alignment horizontal="center" vertical="top"/>
    </xf>
    <xf numFmtId="2" fontId="0" fillId="0" borderId="0" xfId="0" applyNumberFormat="1" applyAlignment="1" applyProtection="1">
      <alignment horizontal="center"/>
    </xf>
    <xf numFmtId="2" fontId="0" fillId="0" borderId="16" xfId="0" applyNumberFormat="1" applyBorder="1" applyAlignment="1" applyProtection="1">
      <alignment horizontal="center"/>
    </xf>
    <xf numFmtId="11" fontId="0" fillId="0" borderId="0" xfId="0" applyNumberFormat="1" applyProtection="1"/>
    <xf numFmtId="0" fontId="0" fillId="0" borderId="15" xfId="0" applyBorder="1" applyAlignment="1" applyProtection="1">
      <alignment vertical="top"/>
    </xf>
    <xf numFmtId="0" fontId="52" fillId="7" borderId="0" xfId="0" applyFont="1" applyFill="1" applyProtection="1"/>
    <xf numFmtId="0" fontId="66" fillId="16" borderId="39" xfId="0" applyFont="1" applyFill="1" applyBorder="1" applyProtection="1"/>
    <xf numFmtId="11" fontId="0" fillId="16" borderId="0" xfId="0" applyNumberFormat="1" applyFill="1" applyAlignment="1" applyProtection="1">
      <alignment horizontal="center" vertical="top"/>
    </xf>
    <xf numFmtId="2" fontId="0" fillId="16" borderId="0" xfId="0" applyNumberFormat="1" applyFill="1" applyAlignment="1" applyProtection="1">
      <alignment horizontal="center" vertical="top"/>
    </xf>
    <xf numFmtId="2" fontId="0" fillId="16" borderId="0" xfId="0" applyNumberFormat="1" applyFill="1" applyAlignment="1" applyProtection="1">
      <alignment horizontal="center"/>
    </xf>
    <xf numFmtId="2" fontId="0" fillId="16" borderId="16" xfId="0" applyNumberFormat="1" applyFill="1" applyBorder="1" applyAlignment="1" applyProtection="1">
      <alignment horizontal="center"/>
    </xf>
    <xf numFmtId="0" fontId="3" fillId="0" borderId="0" xfId="0" applyFont="1" applyAlignment="1" applyProtection="1">
      <alignment horizontal="center" wrapText="1"/>
    </xf>
    <xf numFmtId="0" fontId="3" fillId="0" borderId="11" xfId="0" applyFont="1" applyBorder="1" applyAlignment="1" applyProtection="1">
      <alignment horizontal="center" vertical="top"/>
    </xf>
    <xf numFmtId="1" fontId="66" fillId="5" borderId="5" xfId="0" applyNumberFormat="1" applyFont="1" applyFill="1" applyBorder="1" applyProtection="1"/>
    <xf numFmtId="0" fontId="66" fillId="5" borderId="40" xfId="0" applyFont="1" applyFill="1" applyBorder="1" applyProtection="1"/>
    <xf numFmtId="164" fontId="66" fillId="5" borderId="41" xfId="0" applyNumberFormat="1" applyFont="1" applyFill="1" applyBorder="1" applyProtection="1"/>
    <xf numFmtId="11" fontId="0" fillId="0" borderId="18" xfId="0" applyNumberFormat="1" applyBorder="1" applyAlignment="1" applyProtection="1">
      <alignment horizontal="left" vertical="top"/>
    </xf>
    <xf numFmtId="0" fontId="0" fillId="0" borderId="18" xfId="0" applyBorder="1" applyProtection="1"/>
    <xf numFmtId="0" fontId="0" fillId="0" borderId="19" xfId="0" applyBorder="1" applyProtection="1"/>
    <xf numFmtId="0" fontId="16" fillId="8" borderId="1" xfId="0" applyFont="1" applyFill="1" applyBorder="1" applyAlignment="1" applyProtection="1">
      <alignment horizontal="center" vertical="center" wrapText="1"/>
    </xf>
    <xf numFmtId="0" fontId="76" fillId="8" borderId="1" xfId="0" applyFont="1" applyFill="1" applyBorder="1" applyAlignment="1" applyProtection="1">
      <alignment horizontal="center" vertical="center" wrapText="1"/>
    </xf>
    <xf numFmtId="0" fontId="22" fillId="8" borderId="1" xfId="0" applyFont="1" applyFill="1" applyBorder="1" applyAlignment="1" applyProtection="1">
      <alignment horizontal="center" vertical="center" wrapText="1"/>
    </xf>
    <xf numFmtId="0" fontId="23" fillId="0" borderId="0" xfId="0" applyFont="1" applyAlignment="1" applyProtection="1">
      <alignment horizontal="center" wrapText="1"/>
    </xf>
    <xf numFmtId="0" fontId="24" fillId="0" borderId="0" xfId="0" applyFont="1" applyAlignment="1" applyProtection="1">
      <alignment horizontal="left" vertical="center" wrapText="1"/>
    </xf>
    <xf numFmtId="0" fontId="77" fillId="0" borderId="0" xfId="0" applyFont="1" applyAlignment="1" applyProtection="1">
      <alignment horizontal="left" vertical="center" wrapText="1"/>
    </xf>
    <xf numFmtId="0" fontId="23" fillId="0" borderId="0" xfId="0" applyFont="1" applyAlignment="1" applyProtection="1">
      <alignment horizontal="left" vertical="center" wrapText="1"/>
    </xf>
    <xf numFmtId="0" fontId="82" fillId="0" borderId="0" xfId="1" applyFont="1" applyBorder="1" applyAlignment="1" applyProtection="1">
      <alignment horizontal="left" vertical="center" wrapText="1"/>
    </xf>
    <xf numFmtId="0" fontId="23" fillId="0" borderId="0" xfId="0" applyFont="1" applyAlignment="1" applyProtection="1">
      <alignment horizontal="left"/>
    </xf>
    <xf numFmtId="0" fontId="28" fillId="0" borderId="0" xfId="0" applyFont="1" applyAlignment="1" applyProtection="1">
      <alignment horizontal="left" vertical="center" wrapText="1"/>
    </xf>
    <xf numFmtId="0" fontId="23" fillId="0" borderId="0" xfId="0" applyFont="1" applyAlignment="1" applyProtection="1">
      <alignment horizontal="left" wrapText="1"/>
    </xf>
    <xf numFmtId="0" fontId="82" fillId="0" borderId="0" xfId="1" applyFont="1" applyBorder="1" applyAlignment="1" applyProtection="1">
      <alignment horizontal="left"/>
    </xf>
    <xf numFmtId="0" fontId="24" fillId="0" borderId="0" xfId="0" applyFont="1" applyAlignment="1" applyProtection="1">
      <alignment horizontal="left" vertical="center"/>
    </xf>
    <xf numFmtId="0" fontId="82" fillId="0" borderId="0" xfId="1" applyFont="1" applyAlignment="1" applyProtection="1">
      <alignment horizontal="left"/>
    </xf>
    <xf numFmtId="0" fontId="24" fillId="0" borderId="0" xfId="0" applyFont="1" applyAlignment="1" applyProtection="1">
      <alignment horizontal="left" wrapText="1"/>
    </xf>
    <xf numFmtId="0" fontId="24" fillId="0" borderId="0" xfId="0" applyFont="1" applyAlignment="1" applyProtection="1">
      <alignment horizontal="left"/>
    </xf>
    <xf numFmtId="0" fontId="77" fillId="0" borderId="0" xfId="0" applyFont="1" applyAlignment="1" applyProtection="1">
      <alignment horizontal="left" vertical="center"/>
    </xf>
    <xf numFmtId="0" fontId="11" fillId="0" borderId="0" xfId="1" applyAlignment="1" applyProtection="1">
      <alignment horizontal="left" wrapText="1"/>
    </xf>
    <xf numFmtId="0" fontId="11" fillId="0" borderId="0" xfId="1" applyAlignment="1" applyProtection="1">
      <alignment wrapText="1"/>
    </xf>
    <xf numFmtId="0" fontId="84" fillId="0" borderId="0" xfId="1" applyFont="1" applyAlignment="1" applyProtection="1">
      <alignment horizontal="left"/>
    </xf>
    <xf numFmtId="0" fontId="84" fillId="0" borderId="0" xfId="1" applyFont="1" applyBorder="1" applyAlignment="1" applyProtection="1">
      <alignment horizontal="left" vertical="center" wrapText="1"/>
    </xf>
    <xf numFmtId="0" fontId="84" fillId="0" borderId="0" xfId="1" applyFont="1" applyFill="1" applyBorder="1" applyAlignment="1" applyProtection="1">
      <alignment horizontal="left" vertical="center" wrapText="1"/>
    </xf>
    <xf numFmtId="0" fontId="3" fillId="0" borderId="0" xfId="0" applyFont="1" applyAlignment="1" applyProtection="1">
      <alignment vertical="center" wrapText="1"/>
    </xf>
    <xf numFmtId="0" fontId="85" fillId="0" borderId="0" xfId="0" applyFont="1" applyAlignment="1" applyProtection="1">
      <alignment horizontal="center"/>
    </xf>
    <xf numFmtId="0" fontId="3" fillId="0" borderId="0" xfId="0" applyFont="1" applyAlignment="1" applyProtection="1">
      <alignment horizontal="center" vertical="center"/>
    </xf>
    <xf numFmtId="1" fontId="86" fillId="0" borderId="0" xfId="0" applyNumberFormat="1" applyFont="1" applyAlignment="1" applyProtection="1">
      <alignment horizontal="center" wrapText="1"/>
    </xf>
    <xf numFmtId="0" fontId="85" fillId="0" borderId="1" xfId="0" applyFont="1" applyBorder="1" applyAlignment="1" applyProtection="1">
      <alignment horizontal="center"/>
    </xf>
    <xf numFmtId="0" fontId="3" fillId="0" borderId="1" xfId="0" applyFont="1" applyBorder="1" applyProtection="1"/>
    <xf numFmtId="0" fontId="3" fillId="0" borderId="1" xfId="0" applyFont="1" applyBorder="1" applyAlignment="1" applyProtection="1">
      <alignment horizontal="center"/>
    </xf>
    <xf numFmtId="0" fontId="78" fillId="0" borderId="0" xfId="0" applyFont="1" applyAlignment="1" applyProtection="1">
      <alignment horizontal="center"/>
    </xf>
    <xf numFmtId="49" fontId="0" fillId="0" borderId="1" xfId="0" applyNumberFormat="1" applyBorder="1" applyAlignment="1" applyProtection="1">
      <alignment horizontal="center"/>
    </xf>
    <xf numFmtId="1" fontId="54" fillId="0" borderId="20" xfId="0" applyNumberFormat="1" applyFont="1" applyBorder="1" applyProtection="1"/>
    <xf numFmtId="0" fontId="54" fillId="0" borderId="25" xfId="0" applyFont="1" applyBorder="1" applyProtection="1"/>
    <xf numFmtId="0" fontId="54" fillId="0" borderId="25" xfId="0" applyFont="1" applyBorder="1" applyAlignment="1" applyProtection="1">
      <alignment horizontal="center"/>
    </xf>
    <xf numFmtId="0" fontId="0" fillId="0" borderId="21" xfId="0" applyBorder="1" applyAlignment="1" applyProtection="1">
      <alignment horizontal="center"/>
    </xf>
    <xf numFmtId="0" fontId="0" fillId="0" borderId="1" xfId="0" applyBorder="1" applyProtection="1"/>
    <xf numFmtId="0" fontId="78" fillId="0" borderId="1" xfId="0" applyFont="1" applyBorder="1" applyAlignment="1" applyProtection="1">
      <alignment horizontal="center"/>
    </xf>
    <xf numFmtId="1" fontId="54" fillId="0" borderId="15" xfId="0" applyNumberFormat="1" applyFont="1" applyBorder="1" applyProtection="1"/>
    <xf numFmtId="0" fontId="54" fillId="0" borderId="0" xfId="0" applyFont="1" applyProtection="1"/>
    <xf numFmtId="0" fontId="54" fillId="0" borderId="0" xfId="0" applyFont="1" applyAlignment="1" applyProtection="1">
      <alignment horizontal="center"/>
    </xf>
    <xf numFmtId="1" fontId="54" fillId="0" borderId="0" xfId="0" applyNumberFormat="1" applyFont="1" applyAlignment="1" applyProtection="1">
      <alignment horizontal="center"/>
    </xf>
    <xf numFmtId="164" fontId="0" fillId="0" borderId="0" xfId="0" applyNumberFormat="1" applyProtection="1"/>
    <xf numFmtId="1" fontId="0" fillId="0" borderId="0" xfId="0" applyNumberFormat="1" applyAlignment="1" applyProtection="1">
      <alignment wrapText="1"/>
    </xf>
    <xf numFmtId="167" fontId="0" fillId="0" borderId="0" xfId="0" applyNumberFormat="1" applyProtection="1"/>
    <xf numFmtId="170" fontId="0" fillId="0" borderId="0" xfId="0" applyNumberFormat="1" applyAlignment="1" applyProtection="1">
      <alignment wrapText="1"/>
    </xf>
    <xf numFmtId="170" fontId="0" fillId="0" borderId="0" xfId="0" applyNumberFormat="1" applyProtection="1"/>
    <xf numFmtId="1" fontId="54" fillId="0" borderId="17" xfId="0" applyNumberFormat="1" applyFont="1" applyBorder="1" applyProtection="1"/>
    <xf numFmtId="0" fontId="54" fillId="0" borderId="18" xfId="0" applyFont="1" applyBorder="1" applyProtection="1"/>
    <xf numFmtId="0" fontId="54" fillId="0" borderId="18" xfId="0" applyFont="1" applyBorder="1" applyAlignment="1" applyProtection="1">
      <alignment horizontal="center"/>
    </xf>
    <xf numFmtId="0" fontId="0" fillId="0" borderId="19" xfId="0" applyBorder="1" applyAlignment="1" applyProtection="1">
      <alignment horizontal="center"/>
    </xf>
    <xf numFmtId="0" fontId="78" fillId="0" borderId="0" xfId="0" applyFont="1" applyProtection="1"/>
    <xf numFmtId="0" fontId="87" fillId="0" borderId="20" xfId="0" applyFont="1" applyBorder="1" applyProtection="1"/>
    <xf numFmtId="0" fontId="0" fillId="0" borderId="25" xfId="0" applyBorder="1" applyAlignment="1" applyProtection="1">
      <alignment horizontal="center"/>
    </xf>
    <xf numFmtId="0" fontId="87" fillId="0" borderId="15" xfId="0" applyFont="1" applyBorder="1" applyProtection="1"/>
    <xf numFmtId="0" fontId="11" fillId="0" borderId="0" xfId="1" applyAlignment="1" applyProtection="1">
      <alignment horizontal="center"/>
    </xf>
    <xf numFmtId="1" fontId="79" fillId="0" borderId="15" xfId="0" applyNumberFormat="1" applyFont="1" applyBorder="1" applyProtection="1"/>
    <xf numFmtId="1" fontId="0" fillId="11" borderId="0" xfId="0" applyNumberFormat="1" applyFill="1" applyAlignment="1" applyProtection="1">
      <alignment wrapText="1"/>
    </xf>
    <xf numFmtId="0" fontId="0" fillId="11" borderId="0" xfId="0" applyFill="1" applyProtection="1"/>
    <xf numFmtId="167" fontId="0" fillId="11" borderId="0" xfId="0" applyNumberFormat="1" applyFill="1" applyProtection="1"/>
    <xf numFmtId="170" fontId="0" fillId="11" borderId="0" xfId="0" applyNumberFormat="1" applyFill="1" applyAlignment="1" applyProtection="1">
      <alignment wrapText="1"/>
    </xf>
    <xf numFmtId="170" fontId="0" fillId="11" borderId="0" xfId="0" applyNumberFormat="1" applyFill="1" applyProtection="1"/>
    <xf numFmtId="0" fontId="0" fillId="11" borderId="0" xfId="0" applyFill="1" applyAlignment="1" applyProtection="1">
      <alignment wrapText="1"/>
    </xf>
    <xf numFmtId="1" fontId="79" fillId="0" borderId="17" xfId="0" applyNumberFormat="1" applyFont="1" applyBorder="1" applyProtection="1"/>
    <xf numFmtId="0" fontId="0" fillId="0" borderId="18" xfId="0" applyBorder="1" applyAlignment="1" applyProtection="1">
      <alignment wrapText="1"/>
    </xf>
    <xf numFmtId="0" fontId="0" fillId="0" borderId="19" xfId="0" applyBorder="1" applyAlignment="1" applyProtection="1">
      <alignment horizontal="center" wrapText="1"/>
    </xf>
    <xf numFmtId="1" fontId="79" fillId="0" borderId="20" xfId="0" applyNumberFormat="1" applyFont="1" applyBorder="1" applyAlignment="1" applyProtection="1">
      <alignment horizontal="center" wrapText="1"/>
    </xf>
    <xf numFmtId="0" fontId="0" fillId="0" borderId="25" xfId="0" applyBorder="1" applyAlignment="1" applyProtection="1">
      <alignment horizontal="center" wrapText="1"/>
    </xf>
    <xf numFmtId="164" fontId="0" fillId="0" borderId="21" xfId="0" applyNumberFormat="1" applyBorder="1" applyAlignment="1" applyProtection="1">
      <alignment horizontal="center" wrapText="1"/>
    </xf>
    <xf numFmtId="164" fontId="0" fillId="0" borderId="0" xfId="0" applyNumberFormat="1" applyAlignment="1" applyProtection="1">
      <alignment horizontal="center" wrapText="1"/>
    </xf>
    <xf numFmtId="3" fontId="0" fillId="0" borderId="0" xfId="0" applyNumberFormat="1" applyProtection="1"/>
    <xf numFmtId="1" fontId="79" fillId="0" borderId="15" xfId="0" applyNumberFormat="1" applyFont="1" applyBorder="1" applyAlignment="1" applyProtection="1">
      <alignment horizontal="center" wrapText="1"/>
    </xf>
    <xf numFmtId="164" fontId="0" fillId="0" borderId="16" xfId="0" applyNumberFormat="1" applyBorder="1" applyAlignment="1" applyProtection="1">
      <alignment horizontal="center" wrapText="1"/>
    </xf>
    <xf numFmtId="164" fontId="0" fillId="0" borderId="0" xfId="0" applyNumberFormat="1" applyAlignment="1" applyProtection="1">
      <alignment wrapText="1"/>
    </xf>
    <xf numFmtId="170" fontId="0" fillId="0" borderId="16" xfId="0" applyNumberFormat="1" applyBorder="1" applyAlignment="1" applyProtection="1">
      <alignment horizontal="center" wrapText="1"/>
    </xf>
    <xf numFmtId="170" fontId="0" fillId="0" borderId="0" xfId="0" applyNumberFormat="1" applyAlignment="1" applyProtection="1">
      <alignment horizontal="center" wrapText="1"/>
    </xf>
    <xf numFmtId="1" fontId="79" fillId="0" borderId="15" xfId="0" applyNumberFormat="1" applyFont="1" applyBorder="1" applyAlignment="1" applyProtection="1">
      <alignment wrapText="1"/>
    </xf>
    <xf numFmtId="0" fontId="54" fillId="0" borderId="15" xfId="0" applyFont="1" applyBorder="1" applyProtection="1"/>
    <xf numFmtId="168" fontId="0" fillId="0" borderId="0" xfId="0" applyNumberFormat="1" applyAlignment="1" applyProtection="1">
      <alignment wrapText="1"/>
    </xf>
    <xf numFmtId="0" fontId="0" fillId="0" borderId="18" xfId="0" applyBorder="1" applyAlignment="1" applyProtection="1">
      <alignment horizontal="center"/>
    </xf>
    <xf numFmtId="3" fontId="0" fillId="0" borderId="18" xfId="0" applyNumberFormat="1" applyBorder="1" applyProtection="1"/>
    <xf numFmtId="1" fontId="79" fillId="0" borderId="17" xfId="0" applyNumberFormat="1" applyFont="1" applyBorder="1" applyAlignment="1" applyProtection="1">
      <alignment horizontal="center" wrapText="1"/>
    </xf>
    <xf numFmtId="164" fontId="0" fillId="0" borderId="18" xfId="0" applyNumberFormat="1" applyBorder="1" applyAlignment="1" applyProtection="1">
      <alignment wrapText="1"/>
    </xf>
    <xf numFmtId="164" fontId="0" fillId="0" borderId="19" xfId="0" applyNumberFormat="1" applyBorder="1" applyAlignment="1" applyProtection="1">
      <alignment horizontal="center" wrapText="1"/>
    </xf>
    <xf numFmtId="1" fontId="79" fillId="0" borderId="20" xfId="0" applyNumberFormat="1" applyFont="1" applyBorder="1" applyAlignment="1" applyProtection="1">
      <alignment wrapText="1"/>
    </xf>
    <xf numFmtId="0" fontId="0" fillId="0" borderId="25" xfId="0" applyBorder="1" applyAlignment="1" applyProtection="1">
      <alignment wrapText="1"/>
    </xf>
    <xf numFmtId="0" fontId="0" fillId="0" borderId="21" xfId="0" applyBorder="1" applyAlignment="1" applyProtection="1">
      <alignment horizontal="center" wrapText="1"/>
    </xf>
    <xf numFmtId="1" fontId="79" fillId="0" borderId="17" xfId="0" applyNumberFormat="1" applyFont="1" applyBorder="1" applyAlignment="1" applyProtection="1">
      <alignment wrapText="1"/>
    </xf>
    <xf numFmtId="1" fontId="79" fillId="11" borderId="20" xfId="0" applyNumberFormat="1" applyFont="1" applyFill="1" applyBorder="1" applyAlignment="1" applyProtection="1">
      <alignment horizontal="center" wrapText="1"/>
    </xf>
    <xf numFmtId="0" fontId="54" fillId="11" borderId="25" xfId="0" applyFont="1" applyFill="1" applyBorder="1" applyProtection="1"/>
    <xf numFmtId="0" fontId="0" fillId="11" borderId="25" xfId="0" applyFill="1" applyBorder="1" applyAlignment="1" applyProtection="1">
      <alignment horizontal="center" wrapText="1"/>
    </xf>
    <xf numFmtId="0" fontId="0" fillId="11" borderId="25" xfId="0" applyFill="1" applyBorder="1" applyProtection="1"/>
    <xf numFmtId="164" fontId="0" fillId="11" borderId="21" xfId="0" applyNumberFormat="1" applyFill="1" applyBorder="1" applyAlignment="1" applyProtection="1">
      <alignment horizontal="center" wrapText="1"/>
    </xf>
    <xf numFmtId="1" fontId="79" fillId="11" borderId="15" xfId="0" applyNumberFormat="1" applyFont="1" applyFill="1" applyBorder="1" applyAlignment="1" applyProtection="1">
      <alignment horizontal="center" wrapText="1"/>
    </xf>
    <xf numFmtId="0" fontId="54" fillId="11" borderId="0" xfId="0" applyFont="1" applyFill="1" applyProtection="1"/>
    <xf numFmtId="0" fontId="0" fillId="11" borderId="0" xfId="0" applyFill="1" applyAlignment="1" applyProtection="1">
      <alignment horizontal="center" wrapText="1"/>
    </xf>
    <xf numFmtId="164" fontId="0" fillId="11" borderId="0" xfId="0" applyNumberFormat="1" applyFill="1" applyAlignment="1" applyProtection="1">
      <alignment wrapText="1"/>
    </xf>
    <xf numFmtId="164" fontId="0" fillId="11" borderId="16" xfId="0" applyNumberFormat="1" applyFill="1" applyBorder="1" applyAlignment="1" applyProtection="1">
      <alignment horizontal="center" wrapText="1"/>
    </xf>
    <xf numFmtId="0" fontId="24" fillId="0" borderId="0" xfId="0" applyFont="1" applyAlignment="1" applyProtection="1">
      <alignment horizontal="center" vertical="center" wrapText="1"/>
    </xf>
    <xf numFmtId="1" fontId="79" fillId="11" borderId="15" xfId="0" applyNumberFormat="1" applyFont="1" applyFill="1" applyBorder="1" applyAlignment="1" applyProtection="1">
      <alignment wrapText="1"/>
    </xf>
    <xf numFmtId="0" fontId="0" fillId="11" borderId="16" xfId="0" applyFill="1" applyBorder="1" applyAlignment="1" applyProtection="1">
      <alignment horizontal="center" wrapText="1"/>
    </xf>
    <xf numFmtId="1" fontId="79" fillId="11" borderId="17" xfId="0" applyNumberFormat="1" applyFont="1" applyFill="1" applyBorder="1" applyAlignment="1" applyProtection="1">
      <alignment wrapText="1"/>
    </xf>
    <xf numFmtId="0" fontId="54" fillId="11" borderId="18" xfId="0" applyFont="1" applyFill="1" applyBorder="1" applyProtection="1"/>
    <xf numFmtId="0" fontId="0" fillId="11" borderId="18" xfId="0" applyFill="1" applyBorder="1" applyAlignment="1" applyProtection="1">
      <alignment horizontal="center" wrapText="1"/>
    </xf>
    <xf numFmtId="0" fontId="0" fillId="11" borderId="18" xfId="0" applyFill="1" applyBorder="1" applyProtection="1"/>
    <xf numFmtId="0" fontId="0" fillId="11" borderId="19" xfId="0" applyFill="1" applyBorder="1" applyAlignment="1" applyProtection="1">
      <alignment horizontal="center" wrapText="1"/>
    </xf>
    <xf numFmtId="1" fontId="79" fillId="0" borderId="20" xfId="0" applyNumberFormat="1" applyFont="1" applyBorder="1" applyProtection="1"/>
    <xf numFmtId="0" fontId="0" fillId="0" borderId="18" xfId="0" applyBorder="1" applyAlignment="1" applyProtection="1">
      <alignment horizontal="right"/>
    </xf>
    <xf numFmtId="0" fontId="28" fillId="0" borderId="0" xfId="0" applyFont="1" applyAlignment="1" applyProtection="1">
      <alignment horizontal="center" vertical="center" wrapText="1"/>
    </xf>
    <xf numFmtId="168" fontId="0" fillId="0" borderId="16" xfId="0" applyNumberFormat="1" applyBorder="1" applyAlignment="1" applyProtection="1">
      <alignment horizontal="center" wrapText="1"/>
    </xf>
    <xf numFmtId="168" fontId="0" fillId="0" borderId="0" xfId="0" applyNumberFormat="1" applyAlignment="1" applyProtection="1">
      <alignment horizontal="center" wrapText="1"/>
    </xf>
    <xf numFmtId="170" fontId="0" fillId="0" borderId="25" xfId="0" applyNumberFormat="1" applyBorder="1" applyAlignment="1" applyProtection="1">
      <alignment wrapText="1"/>
    </xf>
    <xf numFmtId="0" fontId="11" fillId="0" borderId="15" xfId="1" applyBorder="1" applyAlignment="1" applyProtection="1">
      <alignment horizontal="center"/>
    </xf>
    <xf numFmtId="0" fontId="11" fillId="0" borderId="17" xfId="1" applyBorder="1" applyAlignment="1" applyProtection="1">
      <alignment horizontal="center"/>
    </xf>
    <xf numFmtId="1" fontId="54" fillId="11" borderId="15" xfId="0" applyNumberFormat="1" applyFont="1" applyFill="1" applyBorder="1" applyProtection="1"/>
    <xf numFmtId="0" fontId="54" fillId="11" borderId="0" xfId="0" applyFont="1" applyFill="1" applyAlignment="1" applyProtection="1">
      <alignment horizontal="center"/>
    </xf>
    <xf numFmtId="0" fontId="0" fillId="11" borderId="16" xfId="0" applyFill="1" applyBorder="1" applyAlignment="1" applyProtection="1">
      <alignment horizontal="center"/>
    </xf>
    <xf numFmtId="1" fontId="54" fillId="11" borderId="17" xfId="0" applyNumberFormat="1" applyFont="1" applyFill="1" applyBorder="1" applyProtection="1"/>
    <xf numFmtId="0" fontId="54" fillId="11" borderId="18" xfId="0" applyFont="1" applyFill="1" applyBorder="1" applyAlignment="1" applyProtection="1">
      <alignment horizontal="center"/>
    </xf>
    <xf numFmtId="0" fontId="0" fillId="11" borderId="19" xfId="0" applyFill="1" applyBorder="1" applyAlignment="1" applyProtection="1">
      <alignment horizontal="center"/>
    </xf>
    <xf numFmtId="0" fontId="0" fillId="0" borderId="10" xfId="0" applyBorder="1" applyProtection="1"/>
    <xf numFmtId="0" fontId="54" fillId="0" borderId="22" xfId="0" applyFont="1" applyBorder="1" applyProtection="1"/>
    <xf numFmtId="0" fontId="24" fillId="0" borderId="2" xfId="0" applyFont="1" applyBorder="1" applyAlignment="1" applyProtection="1">
      <alignment horizontal="center" vertical="center"/>
    </xf>
    <xf numFmtId="0" fontId="0" fillId="0" borderId="22" xfId="0" applyBorder="1" applyAlignment="1" applyProtection="1">
      <alignment horizontal="center"/>
    </xf>
    <xf numFmtId="0" fontId="24" fillId="0" borderId="22" xfId="0" applyFont="1" applyBorder="1" applyAlignment="1" applyProtection="1">
      <alignment horizontal="left" vertical="center"/>
    </xf>
    <xf numFmtId="0" fontId="0" fillId="0" borderId="8" xfId="0" applyBorder="1" applyAlignment="1" applyProtection="1">
      <alignment horizontal="center" wrapText="1"/>
    </xf>
    <xf numFmtId="0" fontId="0" fillId="0" borderId="14" xfId="0" applyBorder="1" applyProtection="1"/>
    <xf numFmtId="0" fontId="24" fillId="0" borderId="5" xfId="0" applyFont="1" applyBorder="1" applyAlignment="1" applyProtection="1">
      <alignment horizontal="center" vertical="center"/>
    </xf>
    <xf numFmtId="0" fontId="0" fillId="0" borderId="53" xfId="0" applyBorder="1" applyAlignment="1" applyProtection="1">
      <alignment horizontal="center"/>
    </xf>
    <xf numFmtId="0" fontId="0" fillId="0" borderId="11" xfId="0" applyBorder="1" applyProtection="1"/>
    <xf numFmtId="0" fontId="54" fillId="0" borderId="12" xfId="0" applyFont="1" applyBorder="1" applyProtection="1"/>
    <xf numFmtId="0" fontId="24" fillId="0" borderId="3" xfId="0" applyFont="1" applyBorder="1" applyAlignment="1" applyProtection="1">
      <alignment horizontal="center" vertical="center"/>
    </xf>
    <xf numFmtId="0" fontId="0" fillId="0" borderId="12" xfId="0" applyBorder="1" applyAlignment="1" applyProtection="1">
      <alignment horizontal="center"/>
    </xf>
    <xf numFmtId="0" fontId="24" fillId="0" borderId="12" xfId="0" applyFont="1" applyBorder="1" applyAlignment="1" applyProtection="1">
      <alignment horizontal="left" vertical="center"/>
    </xf>
    <xf numFmtId="0" fontId="0" fillId="0" borderId="54" xfId="0" applyBorder="1" applyAlignment="1" applyProtection="1">
      <alignment horizontal="center"/>
    </xf>
    <xf numFmtId="0" fontId="44" fillId="0" borderId="0" xfId="0" applyFont="1" applyAlignment="1" applyProtection="1">
      <alignment vertical="center"/>
    </xf>
    <xf numFmtId="0" fontId="45" fillId="0" borderId="0" xfId="0" applyFont="1" applyAlignment="1" applyProtection="1">
      <alignment vertical="center"/>
    </xf>
    <xf numFmtId="0" fontId="46" fillId="0" borderId="0" xfId="0" applyFont="1" applyAlignment="1" applyProtection="1">
      <alignment vertical="center"/>
    </xf>
    <xf numFmtId="0" fontId="0" fillId="0" borderId="0" xfId="0" applyAlignment="1" applyProtection="1">
      <alignment horizontal="left" vertical="center"/>
    </xf>
    <xf numFmtId="0" fontId="48" fillId="7" borderId="1" xfId="0" applyFont="1" applyFill="1" applyBorder="1" applyAlignment="1" applyProtection="1">
      <alignment horizontal="center" vertical="center"/>
    </xf>
    <xf numFmtId="0" fontId="9" fillId="0" borderId="1" xfId="0" applyFont="1" applyBorder="1" applyAlignment="1" applyProtection="1">
      <alignment vertical="center" wrapText="1"/>
    </xf>
    <xf numFmtId="0" fontId="9" fillId="0" borderId="4" xfId="0" applyFont="1" applyBorder="1" applyAlignment="1" applyProtection="1">
      <alignment vertical="center" wrapText="1"/>
    </xf>
    <xf numFmtId="0" fontId="9" fillId="0" borderId="1" xfId="0" applyFont="1" applyBorder="1" applyAlignment="1" applyProtection="1">
      <alignment horizontal="left" vertical="center" wrapText="1"/>
    </xf>
    <xf numFmtId="0" fontId="9" fillId="0" borderId="1"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9" fillId="0" borderId="1" xfId="0" applyFont="1" applyBorder="1" applyAlignment="1" applyProtection="1">
      <alignment horizontal="center" vertical="center"/>
    </xf>
    <xf numFmtId="0" fontId="58" fillId="0" borderId="1" xfId="0" applyFont="1" applyBorder="1" applyAlignment="1" applyProtection="1">
      <alignment horizontal="center" vertical="center" wrapText="1"/>
    </xf>
    <xf numFmtId="0" fontId="0" fillId="0" borderId="4" xfId="0" applyBorder="1" applyAlignment="1" applyProtection="1">
      <alignment horizontal="center" vertical="center"/>
    </xf>
    <xf numFmtId="0" fontId="0" fillId="0" borderId="1" xfId="0" applyBorder="1" applyAlignment="1" applyProtection="1">
      <alignment horizontal="center" vertical="center"/>
    </xf>
    <xf numFmtId="0" fontId="56" fillId="0" borderId="1" xfId="0" applyFont="1" applyBorder="1" applyAlignment="1" applyProtection="1">
      <alignment horizontal="center" vertical="center" wrapText="1"/>
    </xf>
    <xf numFmtId="0" fontId="0" fillId="0" borderId="10" xfId="0" applyBorder="1" applyAlignment="1" applyProtection="1">
      <alignment horizontal="center" vertical="center"/>
    </xf>
    <xf numFmtId="16" fontId="0" fillId="0" borderId="1" xfId="0" applyNumberFormat="1" applyBorder="1" applyAlignment="1" applyProtection="1">
      <alignment horizontal="center" vertical="center"/>
    </xf>
    <xf numFmtId="0" fontId="5" fillId="0" borderId="1" xfId="0" applyFont="1" applyBorder="1" applyAlignment="1" applyProtection="1">
      <alignment wrapText="1"/>
    </xf>
    <xf numFmtId="0" fontId="0" fillId="0" borderId="1" xfId="0" applyBorder="1" applyAlignment="1" applyProtection="1">
      <alignment horizontal="center"/>
    </xf>
    <xf numFmtId="0" fontId="9" fillId="0" borderId="1" xfId="0" applyFont="1" applyBorder="1" applyAlignment="1" applyProtection="1">
      <alignment horizontal="left" vertical="center"/>
    </xf>
    <xf numFmtId="0" fontId="0" fillId="0" borderId="7" xfId="0" applyBorder="1" applyAlignment="1" applyProtection="1">
      <alignment horizontal="center" vertical="center" wrapText="1"/>
    </xf>
    <xf numFmtId="0" fontId="56" fillId="0" borderId="0" xfId="0" applyFont="1" applyAlignment="1" applyProtection="1">
      <alignment horizontal="center" vertical="center" wrapText="1"/>
    </xf>
    <xf numFmtId="0" fontId="9" fillId="0" borderId="10" xfId="0" applyFont="1" applyBorder="1" applyAlignment="1" applyProtection="1">
      <alignment vertical="center" wrapText="1"/>
    </xf>
    <xf numFmtId="0" fontId="9" fillId="0" borderId="6" xfId="0" applyFont="1" applyBorder="1" applyAlignment="1" applyProtection="1">
      <alignment vertical="center" wrapText="1"/>
    </xf>
    <xf numFmtId="0" fontId="0" fillId="0" borderId="6" xfId="0" applyBorder="1" applyAlignment="1" applyProtection="1">
      <alignment wrapText="1"/>
    </xf>
    <xf numFmtId="10" fontId="0" fillId="0" borderId="1" xfId="0" applyNumberFormat="1" applyBorder="1" applyAlignment="1" applyProtection="1">
      <alignment horizontal="left" vertical="center"/>
    </xf>
    <xf numFmtId="9" fontId="0" fillId="0" borderId="1" xfId="0" applyNumberFormat="1" applyBorder="1" applyAlignment="1" applyProtection="1">
      <alignment horizontal="left" vertical="center"/>
    </xf>
    <xf numFmtId="0" fontId="5" fillId="0" borderId="1" xfId="1" applyFont="1" applyFill="1" applyBorder="1" applyProtection="1"/>
    <xf numFmtId="0" fontId="9" fillId="0" borderId="0" xfId="0" applyFont="1" applyAlignment="1" applyProtection="1">
      <alignment vertical="center" wrapText="1"/>
    </xf>
    <xf numFmtId="0" fontId="60" fillId="0" borderId="1" xfId="0" applyFont="1" applyBorder="1" applyAlignment="1" applyProtection="1">
      <alignment wrapText="1"/>
    </xf>
    <xf numFmtId="0" fontId="64" fillId="0" borderId="0" xfId="0" applyFont="1" applyAlignment="1" applyProtection="1">
      <alignment horizontal="center" vertical="center"/>
    </xf>
    <xf numFmtId="0" fontId="9" fillId="13" borderId="1" xfId="0" applyFont="1" applyFill="1" applyBorder="1" applyAlignment="1" applyProtection="1">
      <alignment horizontal="center" vertical="center" wrapText="1"/>
    </xf>
    <xf numFmtId="0" fontId="9" fillId="0" borderId="3" xfId="0" applyFont="1" applyBorder="1" applyAlignment="1" applyProtection="1">
      <alignment horizontal="left" vertical="center" wrapText="1"/>
    </xf>
    <xf numFmtId="0" fontId="9" fillId="0" borderId="3" xfId="0" applyFont="1" applyBorder="1" applyAlignment="1" applyProtection="1">
      <alignment horizontal="center" vertical="center" wrapText="1"/>
    </xf>
    <xf numFmtId="0" fontId="9" fillId="0" borderId="3" xfId="0" applyFont="1" applyBorder="1" applyAlignment="1" applyProtection="1">
      <alignment horizontal="center" vertical="center"/>
    </xf>
    <xf numFmtId="0" fontId="51" fillId="9" borderId="0" xfId="0" applyFont="1" applyFill="1" applyAlignment="1" applyProtection="1">
      <alignment wrapText="1"/>
    </xf>
    <xf numFmtId="0" fontId="52" fillId="0" borderId="3" xfId="0" applyFont="1" applyBorder="1" applyAlignment="1" applyProtection="1">
      <alignment horizontal="center" vertical="center"/>
    </xf>
    <xf numFmtId="0" fontId="9" fillId="0" borderId="1" xfId="0" applyFont="1" applyBorder="1" applyAlignment="1" applyProtection="1">
      <alignment vertical="center"/>
    </xf>
    <xf numFmtId="0" fontId="0" fillId="0" borderId="1" xfId="0" applyBorder="1" applyAlignment="1" applyProtection="1">
      <alignment vertical="center"/>
    </xf>
    <xf numFmtId="0" fontId="53" fillId="0" borderId="0" xfId="0" applyFont="1" applyAlignment="1" applyProtection="1">
      <alignment wrapText="1"/>
    </xf>
    <xf numFmtId="0" fontId="9" fillId="0" borderId="2" xfId="0" applyFont="1" applyBorder="1" applyAlignment="1" applyProtection="1">
      <alignment horizontal="left" vertical="center" wrapText="1"/>
    </xf>
    <xf numFmtId="0" fontId="9" fillId="0" borderId="2" xfId="0" applyFont="1" applyBorder="1" applyAlignment="1" applyProtection="1">
      <alignment horizontal="center" vertical="center"/>
    </xf>
    <xf numFmtId="0" fontId="61" fillId="0" borderId="1" xfId="0" applyFont="1" applyBorder="1" applyAlignment="1" applyProtection="1">
      <alignment horizontal="center" vertical="center" wrapText="1"/>
    </xf>
    <xf numFmtId="0" fontId="5" fillId="0" borderId="1" xfId="0" applyFont="1" applyBorder="1" applyAlignment="1" applyProtection="1">
      <alignment horizontal="center" vertical="center"/>
    </xf>
    <xf numFmtId="0" fontId="5" fillId="13" borderId="1" xfId="0" applyFont="1" applyFill="1" applyBorder="1" applyAlignment="1" applyProtection="1">
      <alignment horizontal="center" vertical="center" wrapText="1"/>
    </xf>
    <xf numFmtId="0" fontId="9" fillId="13" borderId="1" xfId="0" applyFont="1" applyFill="1" applyBorder="1" applyAlignment="1" applyProtection="1">
      <alignment vertical="center" wrapText="1"/>
    </xf>
    <xf numFmtId="0" fontId="0" fillId="0" borderId="1" xfId="0" applyBorder="1" applyAlignment="1" applyProtection="1">
      <alignment horizontal="center" vertical="top" wrapText="1"/>
    </xf>
    <xf numFmtId="0" fontId="9" fillId="0" borderId="0" xfId="0" applyFont="1" applyAlignment="1" applyProtection="1">
      <alignment horizontal="center" vertical="center" wrapText="1"/>
    </xf>
    <xf numFmtId="0" fontId="0" fillId="0" borderId="0" xfId="0" applyAlignment="1" applyProtection="1">
      <alignment vertical="center"/>
    </xf>
    <xf numFmtId="0" fontId="49" fillId="0" borderId="1" xfId="0" applyFont="1" applyBorder="1" applyAlignment="1" applyProtection="1">
      <alignment vertical="center" wrapText="1"/>
    </xf>
    <xf numFmtId="0" fontId="9" fillId="13" borderId="1" xfId="0" applyFont="1" applyFill="1" applyBorder="1" applyAlignment="1" applyProtection="1">
      <alignment vertical="center"/>
    </xf>
    <xf numFmtId="0" fontId="45" fillId="5" borderId="1" xfId="0" applyFont="1" applyFill="1" applyBorder="1" applyAlignment="1" applyProtection="1">
      <alignment vertical="center"/>
    </xf>
    <xf numFmtId="0" fontId="0" fillId="5" borderId="1" xfId="0" applyFill="1" applyBorder="1" applyAlignment="1" applyProtection="1">
      <alignment vertical="center"/>
    </xf>
    <xf numFmtId="0" fontId="0" fillId="5" borderId="1" xfId="0" applyFill="1" applyBorder="1" applyAlignment="1" applyProtection="1">
      <alignment horizontal="center" vertical="center"/>
    </xf>
    <xf numFmtId="0" fontId="9" fillId="5" borderId="1" xfId="0" applyFont="1" applyFill="1" applyBorder="1" applyAlignment="1" applyProtection="1">
      <alignment vertical="center" wrapText="1"/>
    </xf>
    <xf numFmtId="0" fontId="9" fillId="5" borderId="1" xfId="0" applyFont="1" applyFill="1" applyBorder="1" applyAlignment="1" applyProtection="1">
      <alignment horizontal="left" vertical="center" wrapText="1"/>
    </xf>
    <xf numFmtId="0" fontId="5" fillId="5" borderId="1" xfId="0" applyFont="1" applyFill="1" applyBorder="1" applyAlignment="1" applyProtection="1">
      <alignment wrapText="1"/>
    </xf>
    <xf numFmtId="0" fontId="0" fillId="5" borderId="1" xfId="0" applyFill="1" applyBorder="1" applyAlignment="1" applyProtection="1">
      <alignment wrapText="1"/>
    </xf>
    <xf numFmtId="0" fontId="0" fillId="5" borderId="1" xfId="0" applyFill="1" applyBorder="1" applyAlignment="1" applyProtection="1">
      <alignment horizontal="center"/>
    </xf>
    <xf numFmtId="0" fontId="9" fillId="5" borderId="1" xfId="0" applyFont="1" applyFill="1" applyBorder="1" applyAlignment="1" applyProtection="1">
      <alignment horizontal="left" vertical="center"/>
    </xf>
    <xf numFmtId="0" fontId="9" fillId="5" borderId="1" xfId="0" applyFont="1" applyFill="1" applyBorder="1" applyAlignment="1" applyProtection="1">
      <alignment horizontal="center" vertical="center"/>
    </xf>
    <xf numFmtId="0" fontId="0" fillId="5" borderId="1" xfId="0" applyFill="1" applyBorder="1" applyAlignment="1" applyProtection="1">
      <alignment horizontal="center" vertical="center" wrapText="1"/>
    </xf>
    <xf numFmtId="0" fontId="0" fillId="5" borderId="0" xfId="0" applyFill="1" applyProtection="1"/>
    <xf numFmtId="9" fontId="9" fillId="0" borderId="1" xfId="0" applyNumberFormat="1" applyFont="1" applyBorder="1" applyAlignment="1" applyProtection="1">
      <alignment horizontal="center" vertical="center" wrapText="1"/>
    </xf>
    <xf numFmtId="0" fontId="57" fillId="0" borderId="1" xfId="0" applyFont="1" applyBorder="1" applyAlignment="1" applyProtection="1">
      <alignment horizontal="center" vertical="center"/>
    </xf>
    <xf numFmtId="0" fontId="0" fillId="0" borderId="0" xfId="0" applyAlignment="1" applyProtection="1">
      <alignment vertical="center" wrapText="1"/>
    </xf>
    <xf numFmtId="0" fontId="5" fillId="0" borderId="1" xfId="1" applyFont="1" applyBorder="1" applyAlignment="1" applyProtection="1">
      <alignment horizontal="center" vertical="center" wrapText="1"/>
    </xf>
    <xf numFmtId="0" fontId="5" fillId="0" borderId="1" xfId="0" applyFont="1" applyBorder="1" applyAlignment="1" applyProtection="1">
      <alignment horizontal="center" wrapText="1"/>
    </xf>
    <xf numFmtId="0" fontId="0" fillId="0" borderId="1" xfId="0" applyBorder="1" applyAlignment="1" applyProtection="1">
      <alignment horizontal="center" wrapText="1"/>
    </xf>
    <xf numFmtId="0" fontId="5" fillId="0" borderId="2" xfId="0" applyFont="1" applyBorder="1" applyAlignment="1" applyProtection="1">
      <alignment horizontal="center" vertical="center" wrapText="1"/>
    </xf>
    <xf numFmtId="0" fontId="5" fillId="0" borderId="3" xfId="0" applyFont="1" applyBorder="1" applyAlignment="1" applyProtection="1">
      <alignment vertical="center" wrapText="1"/>
    </xf>
    <xf numFmtId="0" fontId="5" fillId="0" borderId="3" xfId="0" applyFont="1" applyBorder="1" applyAlignment="1" applyProtection="1">
      <alignment horizontal="left" vertical="center" wrapText="1"/>
    </xf>
    <xf numFmtId="0" fontId="50" fillId="0" borderId="0" xfId="0" applyFont="1" applyProtection="1"/>
    <xf numFmtId="0" fontId="5" fillId="0" borderId="7" xfId="0" applyFont="1" applyBorder="1" applyAlignment="1" applyProtection="1">
      <alignment horizontal="center" vertical="center" wrapText="1"/>
    </xf>
    <xf numFmtId="0" fontId="5" fillId="0" borderId="0" xfId="0" applyFont="1" applyProtection="1"/>
    <xf numFmtId="0" fontId="5" fillId="0" borderId="1" xfId="0" applyFont="1" applyBorder="1" applyAlignment="1" applyProtection="1">
      <alignment vertical="center" wrapText="1"/>
    </xf>
    <xf numFmtId="0" fontId="5" fillId="0" borderId="1" xfId="0" applyFont="1" applyBorder="1" applyAlignment="1" applyProtection="1">
      <alignment horizontal="left" vertical="center" wrapText="1"/>
    </xf>
    <xf numFmtId="0" fontId="50" fillId="0" borderId="1" xfId="0" applyFont="1" applyBorder="1" applyProtection="1"/>
    <xf numFmtId="164" fontId="5" fillId="0" borderId="1" xfId="0" applyNumberFormat="1" applyFont="1" applyBorder="1" applyAlignment="1" applyProtection="1">
      <alignment horizontal="left" vertical="center" wrapText="1"/>
    </xf>
    <xf numFmtId="0" fontId="5" fillId="13" borderId="1" xfId="0" applyFont="1" applyFill="1" applyBorder="1" applyAlignment="1" applyProtection="1">
      <alignment vertical="center"/>
    </xf>
    <xf numFmtId="0" fontId="9" fillId="0" borderId="0" xfId="0" applyFont="1" applyAlignment="1" applyProtection="1">
      <alignment horizontal="left" vertical="center" wrapText="1"/>
    </xf>
    <xf numFmtId="0" fontId="63" fillId="0" borderId="0" xfId="0" applyFont="1" applyAlignment="1" applyProtection="1">
      <alignment wrapText="1"/>
    </xf>
    <xf numFmtId="0" fontId="5" fillId="0" borderId="1" xfId="0" applyFont="1" applyBorder="1" applyAlignment="1" applyProtection="1">
      <alignment vertical="center"/>
    </xf>
    <xf numFmtId="0" fontId="59" fillId="0" borderId="1" xfId="0" applyFont="1" applyBorder="1" applyProtection="1"/>
    <xf numFmtId="0" fontId="9" fillId="0" borderId="5" xfId="0" applyFont="1" applyBorder="1" applyAlignment="1" applyProtection="1">
      <alignment horizontal="center" vertical="center" wrapText="1"/>
    </xf>
    <xf numFmtId="0" fontId="62" fillId="0" borderId="1" xfId="0" applyFont="1" applyBorder="1" applyAlignment="1" applyProtection="1">
      <alignment vertical="center" wrapText="1"/>
    </xf>
    <xf numFmtId="0" fontId="55" fillId="0" borderId="1" xfId="2" applyFont="1" applyBorder="1" applyAlignment="1" applyProtection="1">
      <alignment horizontal="left" vertical="center" wrapText="1"/>
    </xf>
    <xf numFmtId="9" fontId="55" fillId="0" borderId="1" xfId="2" applyNumberFormat="1" applyFont="1" applyBorder="1" applyAlignment="1" applyProtection="1">
      <alignment horizontal="left" vertical="center" wrapText="1"/>
    </xf>
    <xf numFmtId="0" fontId="9" fillId="0" borderId="1" xfId="2" applyFont="1" applyBorder="1" applyAlignment="1" applyProtection="1">
      <alignment horizontal="center" vertical="center" wrapText="1"/>
    </xf>
    <xf numFmtId="0" fontId="52" fillId="0" borderId="1" xfId="2" applyFont="1" applyBorder="1" applyAlignment="1" applyProtection="1">
      <alignment vertical="center" wrapText="1"/>
    </xf>
    <xf numFmtId="0" fontId="55" fillId="0" borderId="1" xfId="2" applyFont="1" applyBorder="1" applyAlignment="1" applyProtection="1">
      <alignment horizontal="left" vertical="top" wrapText="1"/>
    </xf>
    <xf numFmtId="0" fontId="55" fillId="0" borderId="0" xfId="2" applyFont="1" applyAlignment="1" applyProtection="1">
      <alignment horizontal="left" vertical="top" wrapText="1"/>
    </xf>
    <xf numFmtId="0" fontId="9" fillId="3" borderId="1" xfId="2" applyFont="1" applyFill="1" applyBorder="1" applyAlignment="1" applyProtection="1">
      <alignment horizontal="center" vertical="center" wrapText="1"/>
    </xf>
    <xf numFmtId="10" fontId="55" fillId="0" borderId="1" xfId="2" applyNumberFormat="1" applyFont="1" applyBorder="1" applyAlignment="1" applyProtection="1">
      <alignment horizontal="left" vertical="top" wrapText="1"/>
    </xf>
    <xf numFmtId="0" fontId="52" fillId="0" borderId="1" xfId="2" applyFont="1" applyBorder="1" applyAlignment="1" applyProtection="1">
      <alignment vertical="top" wrapText="1"/>
    </xf>
    <xf numFmtId="0" fontId="45" fillId="0" borderId="1" xfId="0" applyFont="1" applyBorder="1" applyAlignment="1" applyProtection="1">
      <alignment vertical="center"/>
    </xf>
    <xf numFmtId="0" fontId="55" fillId="0" borderId="0" xfId="2" applyFont="1" applyAlignment="1" applyProtection="1">
      <alignment horizontal="center" vertical="center" wrapText="1"/>
    </xf>
    <xf numFmtId="0" fontId="0" fillId="14" borderId="0" xfId="0" applyFill="1" applyAlignment="1" applyProtection="1">
      <alignment vertical="center"/>
    </xf>
    <xf numFmtId="0" fontId="0" fillId="0" borderId="15" xfId="0" applyBorder="1" applyAlignment="1" applyProtection="1">
      <alignment horizontal="center" wrapText="1"/>
    </xf>
    <xf numFmtId="0" fontId="28" fillId="0" borderId="1" xfId="0" applyFont="1" applyBorder="1" applyAlignment="1" applyProtection="1">
      <alignment horizontal="left" vertical="center" wrapText="1"/>
    </xf>
    <xf numFmtId="0" fontId="0" fillId="0" borderId="17" xfId="0" applyBorder="1" applyAlignment="1" applyProtection="1">
      <alignment horizontal="center" wrapText="1"/>
    </xf>
    <xf numFmtId="0" fontId="0" fillId="11" borderId="1" xfId="0" applyFill="1" applyBorder="1" applyAlignment="1" applyProtection="1">
      <alignment wrapText="1"/>
    </xf>
    <xf numFmtId="0" fontId="0" fillId="0" borderId="20" xfId="0" applyBorder="1" applyAlignment="1" applyProtection="1">
      <alignment horizontal="center" wrapText="1"/>
    </xf>
    <xf numFmtId="0" fontId="77" fillId="0" borderId="1" xfId="0" applyFont="1" applyBorder="1" applyAlignment="1" applyProtection="1">
      <alignment horizontal="center" vertical="center" wrapText="1"/>
    </xf>
    <xf numFmtId="0" fontId="11" fillId="0" borderId="1" xfId="1" applyBorder="1" applyAlignment="1" applyProtection="1">
      <alignment wrapText="1"/>
    </xf>
    <xf numFmtId="0" fontId="77" fillId="0" borderId="1" xfId="0" applyFont="1" applyBorder="1" applyAlignment="1" applyProtection="1">
      <alignment horizontal="left" vertical="center" wrapText="1"/>
    </xf>
    <xf numFmtId="0" fontId="77" fillId="21" borderId="1" xfId="0" applyFont="1" applyFill="1" applyBorder="1" applyAlignment="1" applyProtection="1">
      <alignment horizontal="center" vertical="center" wrapText="1"/>
    </xf>
    <xf numFmtId="0" fontId="23" fillId="21" borderId="1" xfId="0" applyFont="1" applyFill="1" applyBorder="1" applyAlignment="1" applyProtection="1">
      <alignment horizontal="left" vertical="center" wrapText="1"/>
    </xf>
    <xf numFmtId="0" fontId="24" fillId="21" borderId="1" xfId="0" applyFont="1" applyFill="1" applyBorder="1" applyAlignment="1" applyProtection="1">
      <alignment horizontal="left" vertical="center" wrapText="1"/>
    </xf>
    <xf numFmtId="0" fontId="28" fillId="21" borderId="1" xfId="0" applyFont="1" applyFill="1" applyBorder="1" applyAlignment="1" applyProtection="1">
      <alignment horizontal="left" vertical="center" wrapText="1"/>
    </xf>
    <xf numFmtId="0" fontId="28" fillId="21" borderId="1" xfId="0" applyFont="1" applyFill="1" applyBorder="1" applyAlignment="1" applyProtection="1">
      <alignment horizontal="center" vertical="center" wrapText="1"/>
    </xf>
    <xf numFmtId="0" fontId="78" fillId="0" borderId="1" xfId="0" applyFont="1" applyBorder="1" applyAlignment="1" applyProtection="1">
      <alignment horizontal="center" vertical="center" wrapText="1"/>
    </xf>
    <xf numFmtId="0" fontId="78" fillId="0" borderId="1" xfId="0" applyFont="1" applyBorder="1" applyAlignment="1" applyProtection="1">
      <alignment horizontal="center" wrapText="1"/>
    </xf>
    <xf numFmtId="0" fontId="79" fillId="0" borderId="1" xfId="0" applyFont="1" applyBorder="1" applyAlignment="1" applyProtection="1">
      <alignment horizontal="center" vertical="center" wrapText="1"/>
    </xf>
    <xf numFmtId="0" fontId="24" fillId="11" borderId="1" xfId="0" applyFont="1" applyFill="1" applyBorder="1" applyAlignment="1" applyProtection="1">
      <alignment horizontal="left" vertical="center" wrapText="1"/>
    </xf>
    <xf numFmtId="0" fontId="4" fillId="0" borderId="0" xfId="0" applyFont="1" applyProtection="1"/>
    <xf numFmtId="0" fontId="14" fillId="0" borderId="0" xfId="0" applyFont="1" applyProtection="1"/>
    <xf numFmtId="0" fontId="17" fillId="0" borderId="0" xfId="0" applyFont="1" applyProtection="1"/>
    <xf numFmtId="0" fontId="19" fillId="0" borderId="0" xfId="0" applyFont="1" applyProtection="1"/>
    <xf numFmtId="0" fontId="11" fillId="0" borderId="0" xfId="1" applyProtection="1"/>
    <xf numFmtId="0" fontId="18" fillId="0" borderId="0" xfId="0" applyFont="1" applyProtection="1"/>
    <xf numFmtId="0" fontId="13" fillId="0" borderId="0" xfId="0" applyFont="1" applyProtection="1"/>
    <xf numFmtId="0" fontId="11" fillId="0" borderId="0" xfId="1" applyFill="1" applyProtection="1"/>
    <xf numFmtId="0" fontId="14" fillId="5" borderId="0" xfId="0" applyFont="1" applyFill="1" applyProtection="1"/>
    <xf numFmtId="0" fontId="3" fillId="5" borderId="0" xfId="0" applyFont="1" applyFill="1" applyProtection="1"/>
    <xf numFmtId="0" fontId="21" fillId="5" borderId="0" xfId="0" applyFont="1" applyFill="1" applyProtection="1"/>
    <xf numFmtId="0" fontId="3" fillId="0" borderId="0" xfId="0" applyFont="1" applyProtection="1"/>
    <xf numFmtId="0" fontId="21" fillId="0" borderId="0" xfId="0" applyFont="1" applyProtection="1"/>
    <xf numFmtId="16" fontId="0" fillId="0" borderId="0" xfId="0" applyNumberFormat="1" applyAlignment="1" applyProtection="1">
      <alignment horizontal="center"/>
    </xf>
    <xf numFmtId="0" fontId="17" fillId="0" borderId="0" xfId="0" applyFont="1" applyAlignment="1" applyProtection="1">
      <alignment horizontal="center"/>
    </xf>
    <xf numFmtId="49" fontId="23" fillId="0" borderId="1" xfId="0" applyNumberFormat="1" applyFont="1" applyBorder="1" applyAlignment="1" applyProtection="1">
      <alignment horizontal="center" vertical="center"/>
    </xf>
    <xf numFmtId="0" fontId="23" fillId="3" borderId="1" xfId="0" quotePrefix="1" applyFont="1" applyFill="1" applyBorder="1" applyAlignment="1" applyProtection="1">
      <alignment horizontal="center" vertical="center"/>
    </xf>
    <xf numFmtId="2" fontId="23" fillId="0" borderId="1" xfId="0" applyNumberFormat="1" applyFont="1" applyBorder="1" applyAlignment="1" applyProtection="1">
      <alignment horizontal="center" vertical="center"/>
    </xf>
    <xf numFmtId="165" fontId="23" fillId="0" borderId="1" xfId="0" applyNumberFormat="1" applyFont="1" applyBorder="1" applyAlignment="1" applyProtection="1">
      <alignment horizontal="center" vertical="center"/>
    </xf>
    <xf numFmtId="49" fontId="23" fillId="0" borderId="2" xfId="0" applyNumberFormat="1" applyFont="1" applyBorder="1" applyAlignment="1" applyProtection="1">
      <alignment horizontal="center" vertical="center"/>
    </xf>
    <xf numFmtId="165" fontId="23" fillId="0" borderId="2" xfId="0" applyNumberFormat="1" applyFont="1" applyBorder="1" applyAlignment="1" applyProtection="1">
      <alignment horizontal="center" vertical="center"/>
    </xf>
    <xf numFmtId="0" fontId="23" fillId="3" borderId="2" xfId="0" quotePrefix="1" applyFont="1" applyFill="1" applyBorder="1" applyAlignment="1" applyProtection="1">
      <alignment horizontal="center" vertical="center"/>
    </xf>
    <xf numFmtId="2" fontId="23" fillId="0" borderId="2" xfId="0" applyNumberFormat="1" applyFont="1" applyBorder="1" applyAlignment="1" applyProtection="1">
      <alignment horizontal="center" vertical="center"/>
    </xf>
    <xf numFmtId="0" fontId="23" fillId="3" borderId="33" xfId="0" quotePrefix="1" applyFont="1" applyFill="1" applyBorder="1" applyAlignment="1" applyProtection="1">
      <alignment horizontal="center" vertical="center"/>
    </xf>
    <xf numFmtId="49" fontId="22" fillId="0" borderId="0" xfId="0" applyNumberFormat="1" applyFont="1" applyAlignment="1" applyProtection="1">
      <alignment vertical="center" wrapText="1"/>
    </xf>
    <xf numFmtId="0" fontId="23" fillId="3" borderId="3" xfId="0" quotePrefix="1" applyFont="1" applyFill="1" applyBorder="1" applyAlignment="1" applyProtection="1">
      <alignment horizontal="center" vertical="center"/>
    </xf>
    <xf numFmtId="2" fontId="23" fillId="0" borderId="0" xfId="0" applyNumberFormat="1" applyFont="1" applyAlignment="1" applyProtection="1">
      <alignment vertical="center"/>
    </xf>
    <xf numFmtId="165" fontId="23" fillId="0" borderId="0" xfId="0" applyNumberFormat="1" applyFont="1" applyAlignment="1" applyProtection="1">
      <alignment horizontal="center" vertical="center"/>
    </xf>
    <xf numFmtId="2" fontId="23" fillId="0" borderId="0" xfId="0" applyNumberFormat="1" applyFont="1" applyAlignment="1" applyProtection="1">
      <alignment horizontal="center" vertical="center"/>
    </xf>
    <xf numFmtId="49" fontId="23" fillId="0" borderId="33" xfId="0" applyNumberFormat="1" applyFont="1" applyBorder="1" applyAlignment="1" applyProtection="1">
      <alignment horizontal="center" vertical="center"/>
    </xf>
    <xf numFmtId="165" fontId="23" fillId="0" borderId="33" xfId="0" applyNumberFormat="1" applyFont="1" applyBorder="1" applyAlignment="1" applyProtection="1">
      <alignment horizontal="center" vertical="center"/>
    </xf>
    <xf numFmtId="2" fontId="23" fillId="0" borderId="33" xfId="0" applyNumberFormat="1" applyFont="1" applyBorder="1" applyAlignment="1" applyProtection="1">
      <alignment horizontal="center" vertical="center"/>
    </xf>
    <xf numFmtId="49" fontId="23" fillId="0" borderId="3" xfId="0" applyNumberFormat="1" applyFont="1" applyBorder="1" applyAlignment="1" applyProtection="1">
      <alignment horizontal="center" vertical="center"/>
    </xf>
    <xf numFmtId="165" fontId="23" fillId="0" borderId="3" xfId="0" applyNumberFormat="1" applyFont="1" applyBorder="1" applyAlignment="1" applyProtection="1">
      <alignment horizontal="center" vertical="center"/>
    </xf>
    <xf numFmtId="2" fontId="23" fillId="0" borderId="3" xfId="0" applyNumberFormat="1" applyFont="1" applyBorder="1" applyAlignment="1" applyProtection="1">
      <alignment horizontal="center" vertical="center"/>
    </xf>
    <xf numFmtId="0" fontId="25" fillId="0" borderId="0" xfId="0" applyFont="1" applyProtection="1"/>
    <xf numFmtId="0" fontId="25" fillId="0" borderId="0" xfId="0" applyFont="1" applyAlignment="1" applyProtection="1">
      <alignment horizontal="left"/>
    </xf>
    <xf numFmtId="49" fontId="22" fillId="15" borderId="1" xfId="0" applyNumberFormat="1" applyFont="1" applyFill="1" applyBorder="1" applyAlignment="1" applyProtection="1">
      <alignment vertical="center"/>
    </xf>
    <xf numFmtId="49" fontId="22" fillId="15" borderId="1" xfId="0" applyNumberFormat="1" applyFont="1" applyFill="1" applyBorder="1" applyAlignment="1" applyProtection="1">
      <alignment vertical="center" wrapText="1"/>
    </xf>
    <xf numFmtId="2" fontId="23" fillId="0" borderId="1" xfId="0" applyNumberFormat="1" applyFont="1" applyBorder="1" applyAlignment="1" applyProtection="1">
      <alignment vertical="center"/>
    </xf>
    <xf numFmtId="0" fontId="22" fillId="15" borderId="1" xfId="0" applyFont="1" applyFill="1" applyBorder="1" applyAlignment="1" applyProtection="1">
      <alignment vertical="center"/>
    </xf>
    <xf numFmtId="0" fontId="0" fillId="5" borderId="0" xfId="0" applyFill="1" applyAlignment="1" applyProtection="1">
      <alignment horizontal="left"/>
    </xf>
    <xf numFmtId="0" fontId="17" fillId="5" borderId="0" xfId="0" applyFont="1" applyFill="1" applyAlignment="1" applyProtection="1">
      <alignment horizontal="left"/>
    </xf>
    <xf numFmtId="0" fontId="17" fillId="0" borderId="0" xfId="0" applyFont="1" applyAlignment="1" applyProtection="1">
      <alignment horizontal="left"/>
    </xf>
    <xf numFmtId="0" fontId="17" fillId="5" borderId="0" xfId="0" applyFont="1" applyFill="1" applyProtection="1"/>
    <xf numFmtId="0" fontId="23" fillId="0" borderId="0" xfId="0" applyFont="1" applyProtection="1"/>
    <xf numFmtId="0" fontId="28" fillId="0" borderId="1" xfId="0" applyFont="1" applyBorder="1" applyAlignment="1" applyProtection="1">
      <alignment vertical="center"/>
    </xf>
    <xf numFmtId="0" fontId="28" fillId="0" borderId="1" xfId="0" applyFont="1" applyBorder="1" applyAlignment="1" applyProtection="1">
      <alignment horizontal="center" vertical="center"/>
    </xf>
    <xf numFmtId="0" fontId="28" fillId="7" borderId="1" xfId="0" applyFont="1" applyFill="1" applyBorder="1" applyAlignment="1" applyProtection="1">
      <alignment horizontal="center" vertical="center"/>
    </xf>
    <xf numFmtId="0" fontId="23" fillId="0" borderId="1" xfId="0" applyFont="1" applyBorder="1" applyAlignment="1" applyProtection="1">
      <alignment horizontal="center"/>
    </xf>
    <xf numFmtId="0" fontId="3" fillId="0" borderId="0" xfId="0" applyFont="1" applyAlignment="1" applyProtection="1">
      <alignment vertical="center"/>
    </xf>
    <xf numFmtId="0" fontId="0" fillId="5" borderId="0" xfId="0" applyFill="1" applyAlignment="1" applyProtection="1">
      <alignment vertical="top"/>
    </xf>
    <xf numFmtId="0" fontId="3" fillId="15" borderId="1" xfId="0" applyFont="1" applyFill="1" applyBorder="1" applyAlignment="1" applyProtection="1">
      <alignment horizontal="left" vertical="top" wrapText="1"/>
    </xf>
    <xf numFmtId="0" fontId="5" fillId="0" borderId="1" xfId="0" applyFont="1" applyBorder="1" applyAlignment="1" applyProtection="1">
      <alignment horizontal="left" vertical="top" wrapText="1"/>
    </xf>
    <xf numFmtId="0" fontId="0" fillId="0" borderId="1" xfId="0" quotePrefix="1" applyBorder="1" applyAlignment="1" applyProtection="1">
      <alignment horizontal="left" vertical="top" wrapText="1"/>
    </xf>
    <xf numFmtId="2" fontId="0" fillId="0" borderId="1" xfId="0" applyNumberFormat="1" applyBorder="1" applyAlignment="1" applyProtection="1">
      <alignment horizontal="left" vertical="top" wrapText="1"/>
    </xf>
    <xf numFmtId="165" fontId="0" fillId="0" borderId="1" xfId="0" applyNumberFormat="1" applyBorder="1" applyAlignment="1" applyProtection="1">
      <alignment horizontal="left" vertical="top"/>
    </xf>
    <xf numFmtId="165" fontId="0" fillId="0" borderId="0" xfId="0" applyNumberFormat="1" applyAlignment="1" applyProtection="1">
      <alignment horizontal="left" vertical="top"/>
    </xf>
    <xf numFmtId="0" fontId="19" fillId="0" borderId="0" xfId="0" applyFont="1" applyAlignment="1" applyProtection="1">
      <alignment horizontal="left"/>
    </xf>
    <xf numFmtId="0" fontId="29" fillId="0" borderId="0" xfId="0" applyFont="1" applyProtection="1"/>
    <xf numFmtId="0" fontId="19" fillId="0" borderId="0" xfId="0" applyFont="1" applyAlignment="1" applyProtection="1">
      <alignment horizontal="center"/>
    </xf>
    <xf numFmtId="0" fontId="11" fillId="0" borderId="1" xfId="1" applyBorder="1" applyAlignment="1" applyProtection="1">
      <alignment horizontal="left" vertical="center" wrapText="1"/>
    </xf>
    <xf numFmtId="2" fontId="0" fillId="0" borderId="1" xfId="0" applyNumberFormat="1" applyBorder="1" applyAlignment="1" applyProtection="1">
      <alignment horizontal="left" vertical="center"/>
    </xf>
    <xf numFmtId="1" fontId="0" fillId="0" borderId="1" xfId="0" applyNumberFormat="1" applyBorder="1" applyAlignment="1" applyProtection="1">
      <alignment horizontal="left" vertical="center" indent="2"/>
    </xf>
    <xf numFmtId="0" fontId="34" fillId="0" borderId="0" xfId="0" applyFont="1" applyProtection="1"/>
    <xf numFmtId="2" fontId="0" fillId="0" borderId="0" xfId="0" applyNumberFormat="1" applyAlignment="1" applyProtection="1">
      <alignment horizontal="center" vertical="center"/>
    </xf>
    <xf numFmtId="1" fontId="0" fillId="0" borderId="0" xfId="0" applyNumberFormat="1" applyAlignment="1" applyProtection="1">
      <alignment horizontal="left" vertical="center" indent="2"/>
    </xf>
    <xf numFmtId="165" fontId="0" fillId="0" borderId="0" xfId="0" applyNumberFormat="1" applyAlignment="1" applyProtection="1">
      <alignment horizontal="center" vertical="center"/>
    </xf>
    <xf numFmtId="168" fontId="0" fillId="0" borderId="1" xfId="0" applyNumberFormat="1" applyBorder="1" applyAlignment="1" applyProtection="1">
      <alignment horizontal="center"/>
    </xf>
    <xf numFmtId="2" fontId="0" fillId="0" borderId="1" xfId="0" applyNumberFormat="1" applyBorder="1" applyAlignment="1" applyProtection="1">
      <alignment horizontal="center"/>
    </xf>
    <xf numFmtId="0" fontId="32" fillId="0" borderId="1" xfId="0" applyFont="1" applyBorder="1" applyAlignment="1" applyProtection="1">
      <alignment horizontal="center" vertical="center"/>
    </xf>
    <xf numFmtId="0" fontId="15" fillId="0" borderId="1" xfId="0" applyFont="1" applyBorder="1" applyAlignment="1" applyProtection="1">
      <alignment horizontal="center" vertical="center" wrapText="1"/>
    </xf>
    <xf numFmtId="0" fontId="3" fillId="22" borderId="1" xfId="0" applyFont="1" applyFill="1" applyBorder="1" applyAlignment="1" applyProtection="1">
      <alignment horizontal="center" vertical="center"/>
    </xf>
    <xf numFmtId="0" fontId="1" fillId="18" borderId="0" xfId="0" applyFont="1" applyFill="1" applyAlignment="1" applyProtection="1">
      <alignment horizontal="left" vertical="center"/>
    </xf>
    <xf numFmtId="0" fontId="1" fillId="18" borderId="1" xfId="0" applyFont="1" applyFill="1" applyBorder="1" applyAlignment="1" applyProtection="1">
      <alignment horizontal="center" vertical="center" wrapText="1"/>
    </xf>
    <xf numFmtId="0" fontId="1" fillId="18" borderId="4" xfId="0" applyFont="1" applyFill="1" applyBorder="1" applyAlignment="1" applyProtection="1">
      <alignment horizontal="center" vertical="center" wrapText="1"/>
    </xf>
    <xf numFmtId="0" fontId="1" fillId="0" borderId="0" xfId="0" applyFont="1" applyAlignment="1" applyProtection="1">
      <alignment horizontal="center" vertical="center" wrapText="1"/>
    </xf>
    <xf numFmtId="0" fontId="0" fillId="18" borderId="0" xfId="0" applyFill="1" applyProtection="1"/>
    <xf numFmtId="0" fontId="5" fillId="13" borderId="13" xfId="0" applyFont="1" applyFill="1" applyBorder="1" applyAlignment="1" applyProtection="1">
      <alignment horizontal="center" vertical="center" wrapText="1"/>
    </xf>
    <xf numFmtId="0" fontId="5" fillId="0" borderId="0" xfId="0" applyFont="1" applyAlignment="1" applyProtection="1">
      <alignment horizontal="center" vertical="center" wrapText="1"/>
    </xf>
    <xf numFmtId="0" fontId="5" fillId="0" borderId="13" xfId="0" applyFont="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5" fillId="7" borderId="1" xfId="0" applyFont="1" applyFill="1" applyBorder="1" applyAlignment="1" applyProtection="1">
      <alignment horizontal="center" vertical="center" wrapText="1"/>
    </xf>
    <xf numFmtId="0" fontId="1" fillId="18" borderId="14" xfId="0" applyFont="1" applyFill="1" applyBorder="1" applyAlignment="1" applyProtection="1">
      <alignment horizontal="left" vertical="center" wrapText="1"/>
    </xf>
    <xf numFmtId="0" fontId="16" fillId="18" borderId="9" xfId="0" applyFont="1" applyFill="1" applyBorder="1" applyAlignment="1" applyProtection="1">
      <alignment horizontal="center" vertical="center" wrapText="1"/>
    </xf>
    <xf numFmtId="0" fontId="5" fillId="18" borderId="1" xfId="0" applyFont="1" applyFill="1" applyBorder="1" applyAlignment="1" applyProtection="1">
      <alignment horizontal="center" vertical="center" wrapText="1"/>
    </xf>
    <xf numFmtId="0" fontId="5" fillId="18" borderId="4" xfId="0" applyFont="1" applyFill="1" applyBorder="1" applyAlignment="1" applyProtection="1">
      <alignment horizontal="center" vertical="center" wrapText="1"/>
    </xf>
    <xf numFmtId="0" fontId="0" fillId="18" borderId="0" xfId="0" applyFill="1" applyAlignment="1" applyProtection="1">
      <alignment wrapText="1"/>
    </xf>
    <xf numFmtId="0" fontId="5" fillId="0" borderId="1" xfId="0" applyFont="1" applyBorder="1" applyAlignment="1" applyProtection="1">
      <alignment vertical="top" wrapText="1"/>
    </xf>
    <xf numFmtId="0" fontId="1" fillId="18" borderId="1" xfId="0" applyFont="1" applyFill="1" applyBorder="1" applyAlignment="1" applyProtection="1">
      <alignment horizontal="left" vertical="center" wrapText="1"/>
    </xf>
    <xf numFmtId="0" fontId="1" fillId="12" borderId="1" xfId="0" applyFont="1" applyFill="1" applyBorder="1" applyAlignment="1" applyProtection="1">
      <alignment vertical="top"/>
    </xf>
    <xf numFmtId="0" fontId="0" fillId="12" borderId="1" xfId="0" applyFill="1" applyBorder="1" applyProtection="1"/>
    <xf numFmtId="0" fontId="0" fillId="12" borderId="1" xfId="0" applyFill="1" applyBorder="1" applyAlignment="1" applyProtection="1">
      <alignment horizontal="center" vertical="center"/>
    </xf>
    <xf numFmtId="0" fontId="0" fillId="12" borderId="1" xfId="0" applyFill="1" applyBorder="1" applyAlignment="1" applyProtection="1">
      <alignment horizontal="center" vertical="center" wrapText="1"/>
    </xf>
    <xf numFmtId="0" fontId="0" fillId="7" borderId="1" xfId="0" applyFill="1" applyBorder="1" applyAlignment="1" applyProtection="1">
      <alignment horizontal="center" vertical="center" wrapText="1"/>
    </xf>
    <xf numFmtId="0" fontId="5" fillId="17" borderId="1" xfId="0" applyFont="1" applyFill="1" applyBorder="1" applyAlignment="1" applyProtection="1">
      <alignment vertical="top"/>
    </xf>
    <xf numFmtId="0" fontId="0" fillId="17" borderId="1" xfId="0" applyFill="1" applyBorder="1" applyAlignment="1" applyProtection="1">
      <alignment horizontal="center"/>
    </xf>
    <xf numFmtId="0" fontId="0" fillId="17" borderId="1" xfId="0" applyFill="1" applyBorder="1" applyAlignment="1" applyProtection="1">
      <alignment horizontal="center" vertical="center"/>
    </xf>
    <xf numFmtId="0" fontId="0" fillId="17" borderId="1" xfId="0" applyFill="1" applyBorder="1" applyAlignment="1" applyProtection="1">
      <alignment horizontal="center" vertical="center" wrapText="1"/>
    </xf>
    <xf numFmtId="0" fontId="0" fillId="17" borderId="0" xfId="0" applyFill="1" applyProtection="1"/>
    <xf numFmtId="0" fontId="5" fillId="0" borderId="1" xfId="0" applyFont="1" applyBorder="1" applyAlignment="1" applyProtection="1">
      <alignment vertical="top"/>
    </xf>
    <xf numFmtId="0" fontId="0" fillId="17" borderId="1" xfId="0" applyFill="1" applyBorder="1" applyProtection="1"/>
    <xf numFmtId="0" fontId="16" fillId="14" borderId="1" xfId="0" applyFont="1" applyFill="1" applyBorder="1" applyAlignment="1" applyProtection="1">
      <alignment vertical="top"/>
    </xf>
    <xf numFmtId="0" fontId="0" fillId="14" borderId="1" xfId="0" applyFill="1" applyBorder="1" applyProtection="1"/>
    <xf numFmtId="0" fontId="0" fillId="14" borderId="1" xfId="0" applyFill="1" applyBorder="1" applyAlignment="1" applyProtection="1">
      <alignment horizontal="center" vertical="center"/>
    </xf>
    <xf numFmtId="0" fontId="0" fillId="14" borderId="1" xfId="0" applyFill="1" applyBorder="1" applyAlignment="1" applyProtection="1">
      <alignment horizontal="center" vertical="center" wrapText="1"/>
    </xf>
    <xf numFmtId="0" fontId="0" fillId="17" borderId="1" xfId="0" applyFill="1" applyBorder="1" applyAlignment="1" applyProtection="1">
      <alignment vertical="top"/>
    </xf>
    <xf numFmtId="1" fontId="0" fillId="7" borderId="1" xfId="0" applyNumberFormat="1" applyFill="1" applyBorder="1" applyAlignment="1" applyProtection="1">
      <alignment horizontal="center" vertical="center" wrapText="1"/>
    </xf>
    <xf numFmtId="0" fontId="0" fillId="7" borderId="1" xfId="0" applyFill="1" applyBorder="1" applyAlignment="1" applyProtection="1">
      <alignment horizontal="center"/>
    </xf>
    <xf numFmtId="0" fontId="0" fillId="0" borderId="1" xfId="0" applyBorder="1" applyAlignment="1" applyProtection="1">
      <alignment vertical="top"/>
    </xf>
    <xf numFmtId="0" fontId="16" fillId="17" borderId="1" xfId="0" applyFont="1" applyFill="1" applyBorder="1" applyAlignment="1" applyProtection="1">
      <alignment vertical="top"/>
    </xf>
    <xf numFmtId="0" fontId="5" fillId="17" borderId="1" xfId="0" applyFont="1" applyFill="1" applyBorder="1" applyAlignment="1" applyProtection="1">
      <alignment vertical="top" wrapText="1"/>
    </xf>
    <xf numFmtId="18" fontId="5" fillId="17" borderId="1" xfId="0" applyNumberFormat="1" applyFont="1" applyFill="1" applyBorder="1" applyAlignment="1" applyProtection="1">
      <alignment vertical="top"/>
    </xf>
    <xf numFmtId="0" fontId="12" fillId="0" borderId="0" xfId="0" applyFont="1" applyAlignment="1" applyProtection="1">
      <alignment vertical="center"/>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5" fillId="0" borderId="0" xfId="0" applyFont="1" applyAlignment="1" applyProtection="1">
      <alignment wrapText="1"/>
    </xf>
    <xf numFmtId="0" fontId="32" fillId="11" borderId="20" xfId="0" applyFont="1" applyFill="1" applyBorder="1" applyAlignment="1" applyProtection="1">
      <alignment horizontal="left" vertical="center"/>
    </xf>
    <xf numFmtId="0" fontId="39" fillId="11" borderId="25" xfId="0" applyFont="1" applyFill="1" applyBorder="1" applyAlignment="1" applyProtection="1">
      <alignment horizontal="left" vertical="center" wrapText="1"/>
    </xf>
    <xf numFmtId="0" fontId="5" fillId="11" borderId="21" xfId="0" applyFont="1" applyFill="1" applyBorder="1" applyProtection="1"/>
    <xf numFmtId="0" fontId="5" fillId="0" borderId="0" xfId="0" applyFont="1" applyAlignment="1" applyProtection="1">
      <alignment horizontal="center" vertical="center"/>
    </xf>
    <xf numFmtId="0" fontId="33" fillId="0" borderId="0" xfId="0" applyFont="1" applyAlignment="1" applyProtection="1">
      <alignment horizontal="left" vertical="center"/>
    </xf>
    <xf numFmtId="0" fontId="39" fillId="0" borderId="0" xfId="0" applyFont="1" applyAlignment="1" applyProtection="1">
      <alignment horizontal="center" vertical="center" wrapText="1"/>
    </xf>
    <xf numFmtId="0" fontId="39" fillId="0" borderId="0" xfId="0" applyFont="1" applyAlignment="1" applyProtection="1">
      <alignment horizontal="left" vertical="center" wrapText="1"/>
    </xf>
    <xf numFmtId="0" fontId="33" fillId="11" borderId="15" xfId="0" applyFont="1" applyFill="1" applyBorder="1" applyAlignment="1" applyProtection="1">
      <alignment horizontal="left" vertical="center"/>
    </xf>
    <xf numFmtId="0" fontId="33" fillId="11" borderId="0" xfId="0" applyFont="1" applyFill="1" applyAlignment="1" applyProtection="1">
      <alignment horizontal="left" vertical="center" wrapText="1"/>
    </xf>
    <xf numFmtId="0" fontId="5" fillId="11" borderId="0" xfId="0" applyFont="1" applyFill="1" applyProtection="1"/>
    <xf numFmtId="0" fontId="33" fillId="11" borderId="16" xfId="0" applyFont="1" applyFill="1" applyBorder="1" applyAlignment="1" applyProtection="1">
      <alignment horizontal="left" vertical="center" wrapText="1"/>
    </xf>
    <xf numFmtId="0" fontId="5" fillId="0" borderId="0" xfId="0" applyFont="1" applyAlignment="1" applyProtection="1">
      <alignment horizontal="center"/>
    </xf>
    <xf numFmtId="0" fontId="33" fillId="11" borderId="17" xfId="0" applyFont="1" applyFill="1" applyBorder="1" applyAlignment="1" applyProtection="1">
      <alignment horizontal="left" vertical="center"/>
    </xf>
    <xf numFmtId="0" fontId="39" fillId="11" borderId="18" xfId="0" applyFont="1" applyFill="1" applyBorder="1" applyAlignment="1" applyProtection="1">
      <alignment vertical="center" wrapText="1"/>
    </xf>
    <xf numFmtId="0" fontId="39" fillId="11" borderId="19" xfId="0" applyFont="1" applyFill="1" applyBorder="1" applyAlignment="1" applyProtection="1">
      <alignment horizontal="left" vertical="center" wrapText="1"/>
    </xf>
    <xf numFmtId="0" fontId="16" fillId="10" borderId="1" xfId="0" applyFont="1" applyFill="1" applyBorder="1" applyAlignment="1" applyProtection="1">
      <alignment horizontal="center" vertical="center" wrapText="1"/>
    </xf>
    <xf numFmtId="0" fontId="16" fillId="23" borderId="1" xfId="0" applyFont="1" applyFill="1" applyBorder="1" applyAlignment="1" applyProtection="1">
      <alignment horizontal="center" vertical="center" wrapText="1"/>
    </xf>
    <xf numFmtId="0" fontId="5" fillId="13" borderId="13" xfId="0" applyFont="1" applyFill="1" applyBorder="1" applyAlignment="1" applyProtection="1">
      <alignment horizontal="right" vertical="center" wrapText="1"/>
    </xf>
    <xf numFmtId="0" fontId="80" fillId="7" borderId="0" xfId="0" applyFont="1" applyFill="1" applyAlignment="1" applyProtection="1">
      <alignment horizontal="center"/>
    </xf>
    <xf numFmtId="0" fontId="5" fillId="7" borderId="2" xfId="0" applyFont="1" applyFill="1" applyBorder="1" applyAlignment="1" applyProtection="1">
      <alignment horizontal="center" vertical="center" wrapText="1"/>
    </xf>
    <xf numFmtId="0" fontId="58" fillId="7" borderId="1" xfId="0" applyFont="1" applyFill="1" applyBorder="1" applyAlignment="1" applyProtection="1">
      <alignment horizontal="center" vertical="center" wrapText="1"/>
    </xf>
    <xf numFmtId="0" fontId="16" fillId="18" borderId="9" xfId="0" applyFont="1" applyFill="1" applyBorder="1" applyAlignment="1" applyProtection="1">
      <alignment horizontal="right" vertical="center" wrapText="1"/>
    </xf>
    <xf numFmtId="0" fontId="5" fillId="18" borderId="2" xfId="0" applyFont="1" applyFill="1" applyBorder="1" applyAlignment="1" applyProtection="1">
      <alignment horizontal="center" vertical="center" wrapText="1"/>
    </xf>
    <xf numFmtId="0" fontId="1" fillId="12" borderId="1" xfId="0" applyFont="1" applyFill="1" applyBorder="1" applyAlignment="1" applyProtection="1">
      <alignment horizontal="left" vertical="center"/>
    </xf>
    <xf numFmtId="0" fontId="0" fillId="12" borderId="1" xfId="0" applyFill="1" applyBorder="1" applyAlignment="1" applyProtection="1">
      <alignment horizontal="left" vertical="center"/>
    </xf>
    <xf numFmtId="2" fontId="0" fillId="7" borderId="1" xfId="0" applyNumberFormat="1" applyFill="1" applyBorder="1" applyAlignment="1" applyProtection="1">
      <alignment horizontal="center" vertical="center"/>
    </xf>
    <xf numFmtId="164" fontId="0" fillId="7" borderId="1" xfId="0" applyNumberFormat="1" applyFill="1" applyBorder="1" applyAlignment="1" applyProtection="1">
      <alignment horizontal="center" vertical="center"/>
    </xf>
    <xf numFmtId="169" fontId="0" fillId="7" borderId="1" xfId="0" applyNumberFormat="1" applyFill="1" applyBorder="1" applyAlignment="1" applyProtection="1">
      <alignment horizontal="center" vertical="center"/>
    </xf>
    <xf numFmtId="0" fontId="41" fillId="0" borderId="28" xfId="0" applyFont="1" applyBorder="1" applyAlignment="1" applyProtection="1">
      <alignment horizontal="center" vertical="center" wrapText="1"/>
    </xf>
    <xf numFmtId="0" fontId="41" fillId="0" borderId="29" xfId="0" applyFont="1" applyBorder="1" applyAlignment="1" applyProtection="1">
      <alignment horizontal="center" vertical="center" wrapText="1"/>
    </xf>
    <xf numFmtId="0" fontId="41" fillId="0" borderId="21" xfId="0" applyFont="1" applyBorder="1" applyAlignment="1" applyProtection="1">
      <alignment horizontal="center" vertical="center" wrapText="1"/>
    </xf>
    <xf numFmtId="0" fontId="5" fillId="0" borderId="2" xfId="0" applyFont="1" applyBorder="1" applyAlignment="1" applyProtection="1">
      <alignment horizontal="left" vertical="center"/>
    </xf>
    <xf numFmtId="2" fontId="0" fillId="7" borderId="1" xfId="0" applyNumberFormat="1" applyFill="1" applyBorder="1" applyAlignment="1" applyProtection="1">
      <alignment horizontal="center" vertical="center" wrapText="1"/>
    </xf>
    <xf numFmtId="2" fontId="43" fillId="0" borderId="32" xfId="0" applyNumberFormat="1" applyFont="1" applyBorder="1" applyAlignment="1" applyProtection="1">
      <alignment horizontal="center" vertical="center" wrapText="1"/>
    </xf>
    <xf numFmtId="0" fontId="5" fillId="0" borderId="1" xfId="0" applyFont="1" applyBorder="1" applyAlignment="1" applyProtection="1">
      <alignment horizontal="left" vertical="center"/>
    </xf>
    <xf numFmtId="165" fontId="43" fillId="0" borderId="19" xfId="0" applyNumberFormat="1" applyFont="1" applyBorder="1" applyAlignment="1" applyProtection="1">
      <alignment horizontal="center" vertical="center" wrapText="1"/>
    </xf>
    <xf numFmtId="2" fontId="43" fillId="0" borderId="19" xfId="0" applyNumberFormat="1" applyFont="1" applyBorder="1" applyAlignment="1" applyProtection="1">
      <alignment horizontal="center" vertical="center" wrapText="1"/>
    </xf>
    <xf numFmtId="164" fontId="43" fillId="0" borderId="32" xfId="0" applyNumberFormat="1" applyFont="1" applyBorder="1" applyAlignment="1" applyProtection="1">
      <alignment horizontal="center" vertical="center" wrapText="1"/>
    </xf>
    <xf numFmtId="0" fontId="5" fillId="17" borderId="1" xfId="0" applyFont="1" applyFill="1" applyBorder="1" applyAlignment="1" applyProtection="1">
      <alignment horizontal="left" vertical="center"/>
    </xf>
    <xf numFmtId="0" fontId="0" fillId="17" borderId="1" xfId="0" applyFill="1" applyBorder="1" applyAlignment="1" applyProtection="1">
      <alignment horizontal="left" vertical="center"/>
    </xf>
    <xf numFmtId="0" fontId="16" fillId="14" borderId="1" xfId="0" applyFont="1" applyFill="1" applyBorder="1" applyAlignment="1" applyProtection="1">
      <alignment horizontal="left" vertical="center"/>
    </xf>
    <xf numFmtId="0" fontId="0" fillId="14" borderId="1" xfId="0" applyFill="1" applyBorder="1" applyAlignment="1" applyProtection="1">
      <alignment horizontal="left" vertical="center"/>
    </xf>
    <xf numFmtId="2" fontId="43" fillId="0" borderId="1" xfId="0" applyNumberFormat="1" applyFont="1" applyBorder="1" applyAlignment="1" applyProtection="1">
      <alignment horizontal="center" vertical="center" wrapText="1"/>
    </xf>
    <xf numFmtId="0" fontId="43" fillId="0" borderId="1" xfId="0" applyFont="1" applyBorder="1" applyAlignment="1" applyProtection="1">
      <alignment horizontal="center" vertical="center"/>
    </xf>
    <xf numFmtId="165" fontId="43" fillId="0" borderId="1" xfId="0" applyNumberFormat="1" applyFont="1" applyBorder="1" applyAlignment="1" applyProtection="1">
      <alignment horizontal="center" vertical="center" wrapText="1"/>
    </xf>
    <xf numFmtId="0" fontId="43" fillId="7" borderId="34" xfId="0" applyFont="1" applyFill="1" applyBorder="1" applyAlignment="1" applyProtection="1">
      <alignment horizontal="center" vertical="center" wrapText="1"/>
    </xf>
    <xf numFmtId="0" fontId="43" fillId="7" borderId="30" xfId="0" applyFont="1" applyFill="1" applyBorder="1" applyAlignment="1" applyProtection="1">
      <alignment horizontal="center" vertical="center" wrapText="1"/>
    </xf>
    <xf numFmtId="0" fontId="5" fillId="17" borderId="1" xfId="0" applyFont="1" applyFill="1" applyBorder="1" applyAlignment="1" applyProtection="1">
      <alignment horizontal="center" vertical="center" wrapText="1"/>
    </xf>
    <xf numFmtId="0" fontId="5" fillId="11" borderId="2" xfId="0" applyFont="1" applyFill="1" applyBorder="1" applyAlignment="1" applyProtection="1">
      <alignment horizontal="left" vertical="center"/>
    </xf>
    <xf numFmtId="0" fontId="0" fillId="11" borderId="2" xfId="0" applyFill="1" applyBorder="1" applyAlignment="1" applyProtection="1">
      <alignment horizontal="center" vertical="center"/>
    </xf>
    <xf numFmtId="0" fontId="0" fillId="11" borderId="1" xfId="0" applyFill="1" applyBorder="1" applyAlignment="1" applyProtection="1">
      <alignment horizontal="center" vertical="center"/>
    </xf>
    <xf numFmtId="0" fontId="5" fillId="11" borderId="1" xfId="0" applyFont="1" applyFill="1" applyBorder="1" applyAlignment="1" applyProtection="1">
      <alignment horizontal="center" vertical="center" wrapText="1"/>
    </xf>
    <xf numFmtId="2" fontId="43" fillId="0" borderId="0" xfId="0" applyNumberFormat="1" applyFont="1" applyAlignment="1" applyProtection="1">
      <alignment horizontal="center"/>
    </xf>
    <xf numFmtId="0" fontId="43" fillId="0" borderId="0" xfId="0" applyFont="1" applyAlignment="1" applyProtection="1">
      <alignment horizontal="center"/>
    </xf>
    <xf numFmtId="164" fontId="43" fillId="0" borderId="1" xfId="0" applyNumberFormat="1" applyFont="1" applyBorder="1" applyAlignment="1" applyProtection="1">
      <alignment horizontal="center" vertical="center" wrapText="1"/>
    </xf>
    <xf numFmtId="0" fontId="5" fillId="11" borderId="1" xfId="0" applyFont="1" applyFill="1" applyBorder="1" applyAlignment="1" applyProtection="1">
      <alignment horizontal="left" vertical="center"/>
    </xf>
    <xf numFmtId="0" fontId="0" fillId="11" borderId="1" xfId="0" applyFill="1" applyBorder="1" applyAlignment="1" applyProtection="1">
      <alignment horizontal="left" vertical="center"/>
    </xf>
    <xf numFmtId="0" fontId="0" fillId="11" borderId="1" xfId="0" applyFill="1" applyBorder="1" applyAlignment="1" applyProtection="1">
      <alignment horizontal="center" vertical="center" wrapText="1"/>
    </xf>
    <xf numFmtId="168" fontId="43" fillId="0" borderId="0" xfId="0" applyNumberFormat="1" applyFont="1" applyAlignment="1" applyProtection="1">
      <alignment horizontal="center"/>
    </xf>
    <xf numFmtId="169" fontId="43" fillId="0" borderId="1" xfId="0" applyNumberFormat="1" applyFont="1" applyBorder="1" applyAlignment="1" applyProtection="1">
      <alignment horizontal="center" vertical="center" wrapText="1"/>
    </xf>
    <xf numFmtId="2" fontId="43" fillId="0" borderId="31" xfId="0" applyNumberFormat="1" applyFont="1" applyBorder="1" applyAlignment="1" applyProtection="1">
      <alignment horizontal="center" vertical="center"/>
    </xf>
    <xf numFmtId="0" fontId="43" fillId="0" borderId="0" xfId="0" applyFont="1" applyProtection="1"/>
    <xf numFmtId="164" fontId="43" fillId="0" borderId="0" xfId="0" applyNumberFormat="1" applyFont="1" applyAlignment="1" applyProtection="1">
      <alignment horizontal="center"/>
    </xf>
    <xf numFmtId="0" fontId="16" fillId="0" borderId="1" xfId="0" applyFont="1" applyBorder="1" applyAlignment="1" applyProtection="1">
      <alignment horizontal="left" vertical="center"/>
    </xf>
    <xf numFmtId="18" fontId="5" fillId="0" borderId="1" xfId="0" applyNumberFormat="1" applyFont="1" applyBorder="1" applyAlignment="1" applyProtection="1">
      <alignment horizontal="left" vertical="center"/>
    </xf>
    <xf numFmtId="0" fontId="14" fillId="0" borderId="0" xfId="0" applyFont="1" applyAlignment="1" applyProtection="1">
      <alignment horizontal="left" vertical="center"/>
    </xf>
    <xf numFmtId="0" fontId="2" fillId="0" borderId="0" xfId="0" applyFont="1" applyAlignment="1" applyProtection="1">
      <alignment horizontal="left" vertical="center"/>
    </xf>
    <xf numFmtId="0" fontId="0" fillId="0" borderId="12" xfId="0" applyBorder="1" applyAlignment="1" applyProtection="1">
      <alignment vertical="center"/>
    </xf>
    <xf numFmtId="0" fontId="2" fillId="0" borderId="12" xfId="0" applyFont="1" applyBorder="1" applyAlignment="1" applyProtection="1">
      <alignment vertical="center"/>
    </xf>
    <xf numFmtId="0" fontId="3" fillId="0" borderId="15" xfId="0" applyFont="1" applyBorder="1" applyAlignment="1" applyProtection="1">
      <alignment horizontal="center" vertical="center" wrapText="1"/>
    </xf>
    <xf numFmtId="0" fontId="3" fillId="0" borderId="16" xfId="0" applyFont="1" applyBorder="1" applyAlignment="1" applyProtection="1">
      <alignment horizontal="center" vertical="center" wrapText="1"/>
    </xf>
    <xf numFmtId="0" fontId="16" fillId="0" borderId="15" xfId="0" applyFont="1" applyBorder="1" applyAlignment="1" applyProtection="1">
      <alignment horizontal="center" vertical="center" wrapText="1"/>
    </xf>
    <xf numFmtId="0" fontId="3" fillId="0" borderId="24" xfId="0" applyFont="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26" xfId="0" applyFont="1" applyBorder="1" applyAlignment="1" applyProtection="1">
      <alignment horizontal="center" vertical="center" wrapText="1"/>
    </xf>
    <xf numFmtId="0" fontId="3" fillId="16" borderId="12" xfId="0" applyFont="1" applyFill="1" applyBorder="1" applyAlignment="1" applyProtection="1">
      <alignment horizontal="center" vertical="center" wrapText="1"/>
    </xf>
    <xf numFmtId="0" fontId="3" fillId="16" borderId="13" xfId="0" applyFont="1" applyFill="1" applyBorder="1" applyAlignment="1" applyProtection="1">
      <alignment horizontal="center" vertical="center" wrapText="1"/>
    </xf>
    <xf numFmtId="0" fontId="3" fillId="0" borderId="0" xfId="0" applyFont="1" applyBorder="1" applyAlignment="1" applyProtection="1">
      <alignment horizontal="center" vertical="center" wrapText="1"/>
    </xf>
    <xf numFmtId="0" fontId="3" fillId="0" borderId="18" xfId="0" applyFont="1" applyBorder="1" applyAlignment="1" applyProtection="1">
      <alignment horizontal="center" vertical="center" wrapText="1"/>
    </xf>
    <xf numFmtId="0" fontId="3" fillId="0" borderId="19" xfId="0" applyFont="1" applyBorder="1" applyAlignment="1" applyProtection="1">
      <alignment horizontal="center" vertical="center" wrapText="1"/>
    </xf>
    <xf numFmtId="11" fontId="0" fillId="0" borderId="1" xfId="0" applyNumberFormat="1" applyBorder="1" applyAlignment="1" applyProtection="1">
      <alignment horizontal="center" vertical="center" wrapText="1"/>
    </xf>
    <xf numFmtId="11" fontId="0" fillId="0" borderId="1" xfId="0" applyNumberFormat="1" applyBorder="1" applyAlignment="1" applyProtection="1">
      <alignment horizontal="center"/>
    </xf>
    <xf numFmtId="11" fontId="0" fillId="0" borderId="27" xfId="0" applyNumberFormat="1" applyBorder="1" applyAlignment="1" applyProtection="1">
      <alignment horizontal="center" vertical="center"/>
    </xf>
    <xf numFmtId="11" fontId="0" fillId="0" borderId="23" xfId="0" applyNumberFormat="1" applyBorder="1" applyAlignment="1" applyProtection="1">
      <alignment horizontal="center" vertical="center"/>
    </xf>
    <xf numFmtId="11" fontId="0" fillId="0" borderId="22" xfId="0" applyNumberFormat="1" applyBorder="1" applyAlignment="1" applyProtection="1">
      <alignment horizontal="center" vertical="center"/>
    </xf>
    <xf numFmtId="166" fontId="0" fillId="0" borderId="22" xfId="0" applyNumberFormat="1" applyBorder="1" applyAlignment="1" applyProtection="1">
      <alignment horizontal="left" vertical="center" indent="1"/>
    </xf>
    <xf numFmtId="166" fontId="0" fillId="0" borderId="27" xfId="0" applyNumberFormat="1" applyBorder="1" applyAlignment="1" applyProtection="1">
      <alignment horizontal="left" vertical="center" indent="1"/>
    </xf>
    <xf numFmtId="166" fontId="0" fillId="0" borderId="22" xfId="0" applyNumberFormat="1" applyBorder="1" applyAlignment="1" applyProtection="1">
      <alignment horizontal="center" vertical="center"/>
    </xf>
    <xf numFmtId="167" fontId="0" fillId="0" borderId="15" xfId="0" applyNumberFormat="1" applyBorder="1" applyAlignment="1" applyProtection="1">
      <alignment horizontal="center" vertical="center"/>
    </xf>
    <xf numFmtId="167" fontId="0" fillId="0" borderId="0" xfId="0" applyNumberFormat="1" applyAlignment="1" applyProtection="1">
      <alignment horizontal="center" vertical="center"/>
    </xf>
    <xf numFmtId="167" fontId="0" fillId="0" borderId="16" xfId="0" applyNumberFormat="1" applyBorder="1" applyAlignment="1" applyProtection="1">
      <alignment horizontal="center" vertical="center"/>
    </xf>
    <xf numFmtId="3" fontId="0" fillId="0" borderId="0" xfId="0" applyNumberFormat="1" applyBorder="1" applyAlignment="1" applyProtection="1">
      <alignment horizontal="right" vertical="center" wrapText="1"/>
    </xf>
    <xf numFmtId="3" fontId="0" fillId="0" borderId="25" xfId="0" quotePrefix="1" applyNumberFormat="1" applyBorder="1" applyAlignment="1" applyProtection="1">
      <alignment horizontal="right" vertical="center" wrapText="1"/>
    </xf>
    <xf numFmtId="3" fontId="0" fillId="0" borderId="0" xfId="0" applyNumberFormat="1" applyBorder="1" applyAlignment="1" applyProtection="1">
      <alignment horizontal="right"/>
    </xf>
    <xf numFmtId="3" fontId="0" fillId="0" borderId="21" xfId="0" quotePrefix="1" applyNumberFormat="1" applyBorder="1" applyAlignment="1" applyProtection="1">
      <alignment horizontal="right" vertical="center" wrapText="1"/>
    </xf>
    <xf numFmtId="11" fontId="0" fillId="0" borderId="16" xfId="0" applyNumberFormat="1" applyBorder="1" applyAlignment="1" applyProtection="1">
      <alignment horizontal="center" vertical="center"/>
    </xf>
    <xf numFmtId="11" fontId="0" fillId="0" borderId="15" xfId="0" applyNumberFormat="1" applyBorder="1" applyAlignment="1" applyProtection="1">
      <alignment horizontal="center" vertical="center"/>
    </xf>
    <xf numFmtId="11" fontId="0" fillId="0" borderId="0" xfId="0" applyNumberFormat="1" applyAlignment="1" applyProtection="1">
      <alignment horizontal="center" vertical="center"/>
    </xf>
    <xf numFmtId="166" fontId="0" fillId="0" borderId="0" xfId="0" applyNumberFormat="1" applyAlignment="1" applyProtection="1">
      <alignment horizontal="center" vertical="center"/>
    </xf>
    <xf numFmtId="3" fontId="0" fillId="0" borderId="0" xfId="0" quotePrefix="1" applyNumberFormat="1" applyAlignment="1" applyProtection="1">
      <alignment horizontal="right" vertical="center" wrapText="1"/>
    </xf>
    <xf numFmtId="3" fontId="0" fillId="0" borderId="16" xfId="0" quotePrefix="1" applyNumberFormat="1" applyBorder="1" applyAlignment="1" applyProtection="1">
      <alignment horizontal="right" vertical="center" wrapText="1"/>
    </xf>
    <xf numFmtId="0" fontId="5" fillId="0" borderId="12" xfId="0" applyFont="1" applyBorder="1" applyAlignment="1" applyProtection="1">
      <alignment horizontal="center" vertical="center"/>
    </xf>
    <xf numFmtId="11" fontId="0" fillId="0" borderId="26" xfId="0" applyNumberFormat="1" applyBorder="1" applyAlignment="1" applyProtection="1">
      <alignment horizontal="center" vertical="center"/>
    </xf>
    <xf numFmtId="11" fontId="0" fillId="0" borderId="24" xfId="0" applyNumberFormat="1" applyBorder="1" applyAlignment="1" applyProtection="1">
      <alignment horizontal="center" vertical="center"/>
    </xf>
    <xf numFmtId="11" fontId="0" fillId="0" borderId="12" xfId="0" applyNumberFormat="1" applyBorder="1" applyAlignment="1" applyProtection="1">
      <alignment horizontal="center" vertical="center"/>
    </xf>
    <xf numFmtId="166" fontId="0" fillId="0" borderId="12" xfId="0" applyNumberFormat="1" applyBorder="1" applyAlignment="1" applyProtection="1">
      <alignment horizontal="center" vertical="center"/>
    </xf>
    <xf numFmtId="0" fontId="0" fillId="0" borderId="12" xfId="0" applyBorder="1" applyAlignment="1" applyProtection="1">
      <alignment horizontal="center" vertical="center"/>
    </xf>
    <xf numFmtId="3" fontId="0" fillId="0" borderId="15" xfId="0" quotePrefix="1" applyNumberFormat="1" applyBorder="1" applyAlignment="1" applyProtection="1">
      <alignment horizontal="right" vertical="center" wrapText="1"/>
    </xf>
    <xf numFmtId="0" fontId="5" fillId="0" borderId="22" xfId="0" applyFont="1" applyBorder="1" applyAlignment="1" applyProtection="1">
      <alignment horizontal="center" vertical="center"/>
    </xf>
    <xf numFmtId="1" fontId="5" fillId="0" borderId="1" xfId="0" applyNumberFormat="1" applyFont="1" applyBorder="1" applyAlignment="1" applyProtection="1">
      <alignment horizontal="center" vertical="center"/>
    </xf>
    <xf numFmtId="167" fontId="0" fillId="0" borderId="20" xfId="0" applyNumberFormat="1" applyBorder="1" applyAlignment="1" applyProtection="1">
      <alignment horizontal="center" vertical="center"/>
    </xf>
    <xf numFmtId="167" fontId="0" fillId="0" borderId="25" xfId="0" applyNumberFormat="1" applyBorder="1" applyAlignment="1" applyProtection="1">
      <alignment horizontal="center" vertical="center"/>
    </xf>
    <xf numFmtId="167" fontId="0" fillId="0" borderId="21" xfId="0" applyNumberFormat="1" applyBorder="1" applyAlignment="1" applyProtection="1">
      <alignment horizontal="center" vertical="center"/>
    </xf>
    <xf numFmtId="166" fontId="0" fillId="0" borderId="12" xfId="0" applyNumberFormat="1" applyBorder="1" applyAlignment="1" applyProtection="1">
      <alignment horizontal="left" vertical="center" indent="1"/>
    </xf>
    <xf numFmtId="166" fontId="0" fillId="0" borderId="15" xfId="0" applyNumberFormat="1" applyBorder="1" applyAlignment="1" applyProtection="1">
      <alignment horizontal="center" vertical="center"/>
    </xf>
    <xf numFmtId="167" fontId="0" fillId="0" borderId="23" xfId="0" applyNumberFormat="1" applyBorder="1" applyAlignment="1" applyProtection="1">
      <alignment horizontal="center" vertical="center"/>
    </xf>
    <xf numFmtId="166" fontId="0" fillId="0" borderId="23" xfId="0" applyNumberFormat="1" applyBorder="1" applyAlignment="1" applyProtection="1">
      <alignment horizontal="center" vertical="center"/>
    </xf>
    <xf numFmtId="167" fontId="0" fillId="0" borderId="24" xfId="0" applyNumberFormat="1" applyBorder="1" applyAlignment="1" applyProtection="1">
      <alignment horizontal="center" vertical="center"/>
    </xf>
    <xf numFmtId="166" fontId="0" fillId="0" borderId="24" xfId="0" applyNumberFormat="1" applyBorder="1" applyAlignment="1" applyProtection="1">
      <alignment horizontal="center" vertical="center"/>
    </xf>
    <xf numFmtId="11" fontId="9" fillId="0" borderId="1" xfId="0" applyNumberFormat="1" applyFont="1" applyBorder="1" applyAlignment="1" applyProtection="1">
      <alignment horizontal="center"/>
    </xf>
    <xf numFmtId="11" fontId="0" fillId="0" borderId="44" xfId="0" applyNumberFormat="1" applyBorder="1" applyAlignment="1" applyProtection="1">
      <alignment horizontal="center" vertical="center"/>
    </xf>
    <xf numFmtId="167" fontId="0" fillId="0" borderId="17" xfId="0" applyNumberFormat="1" applyBorder="1" applyAlignment="1" applyProtection="1">
      <alignment horizontal="center" vertical="center"/>
    </xf>
    <xf numFmtId="167" fontId="0" fillId="0" borderId="18" xfId="0" applyNumberFormat="1" applyBorder="1" applyAlignment="1" applyProtection="1">
      <alignment horizontal="center" vertical="center"/>
    </xf>
    <xf numFmtId="167" fontId="0" fillId="0" borderId="19" xfId="0" applyNumberFormat="1" applyBorder="1" applyAlignment="1" applyProtection="1">
      <alignment horizontal="center" vertical="center"/>
    </xf>
    <xf numFmtId="0" fontId="5" fillId="0" borderId="45" xfId="0" applyFont="1" applyBorder="1" applyAlignment="1" applyProtection="1">
      <alignment horizontal="center" vertical="center"/>
    </xf>
    <xf numFmtId="0" fontId="3" fillId="0" borderId="1" xfId="0" applyFont="1" applyBorder="1" applyAlignment="1" applyProtection="1">
      <alignment horizontal="center" vertical="center" wrapText="1"/>
    </xf>
    <xf numFmtId="0" fontId="0" fillId="0" borderId="0" xfId="0" applyAlignment="1" applyProtection="1">
      <alignment horizontal="left" vertical="center" wrapText="1"/>
    </xf>
    <xf numFmtId="11" fontId="0" fillId="0" borderId="1" xfId="0" applyNumberFormat="1" applyBorder="1" applyAlignment="1" applyProtection="1">
      <alignment vertical="center"/>
    </xf>
    <xf numFmtId="0" fontId="0" fillId="0" borderId="46" xfId="0" applyBorder="1" applyAlignment="1" applyProtection="1">
      <alignment horizontal="left"/>
    </xf>
    <xf numFmtId="0" fontId="0" fillId="0" borderId="47" xfId="0" applyBorder="1" applyAlignment="1" applyProtection="1">
      <alignment horizontal="center"/>
    </xf>
    <xf numFmtId="0" fontId="0" fillId="0" borderId="48" xfId="0" applyBorder="1" applyAlignment="1" applyProtection="1">
      <alignment horizontal="center"/>
    </xf>
    <xf numFmtId="0" fontId="0" fillId="0" borderId="49" xfId="0" applyBorder="1" applyAlignment="1" applyProtection="1">
      <alignment horizontal="center"/>
    </xf>
    <xf numFmtId="0" fontId="0" fillId="0" borderId="50" xfId="0" applyBorder="1" applyAlignment="1" applyProtection="1">
      <alignment horizontal="center"/>
    </xf>
    <xf numFmtId="11" fontId="81" fillId="0" borderId="0" xfId="0" applyNumberFormat="1" applyFont="1" applyAlignment="1" applyProtection="1">
      <alignment horizontal="center" vertical="center" wrapText="1"/>
    </xf>
    <xf numFmtId="0" fontId="0" fillId="0" borderId="49" xfId="0" applyBorder="1" applyProtection="1"/>
    <xf numFmtId="11" fontId="0" fillId="0" borderId="50" xfId="0" applyNumberFormat="1" applyBorder="1" applyAlignment="1" applyProtection="1">
      <alignment horizontal="left"/>
    </xf>
    <xf numFmtId="11" fontId="0" fillId="0" borderId="0" xfId="0" applyNumberFormat="1" applyAlignment="1" applyProtection="1">
      <alignment horizontal="center" vertical="center" wrapText="1"/>
    </xf>
    <xf numFmtId="0" fontId="0" fillId="0" borderId="51" xfId="0" applyBorder="1" applyProtection="1"/>
    <xf numFmtId="0" fontId="0" fillId="0" borderId="45" xfId="0" applyBorder="1" applyProtection="1"/>
    <xf numFmtId="0" fontId="0" fillId="0" borderId="45" xfId="0" applyBorder="1" applyAlignment="1" applyProtection="1">
      <alignment horizontal="center"/>
    </xf>
    <xf numFmtId="11" fontId="0" fillId="0" borderId="45" xfId="0" applyNumberFormat="1" applyBorder="1" applyAlignment="1" applyProtection="1">
      <alignment horizontal="center"/>
    </xf>
    <xf numFmtId="11" fontId="0" fillId="0" borderId="52" xfId="0" applyNumberFormat="1" applyBorder="1" applyAlignment="1" applyProtection="1">
      <alignment horizontal="left"/>
    </xf>
    <xf numFmtId="0" fontId="14" fillId="24" borderId="0" xfId="0" applyFont="1" applyFill="1" applyProtection="1"/>
    <xf numFmtId="0" fontId="0" fillId="24" borderId="0" xfId="0" applyFill="1" applyProtection="1"/>
    <xf numFmtId="0" fontId="3" fillId="0" borderId="20" xfId="0" applyFont="1" applyBorder="1" applyProtection="1"/>
    <xf numFmtId="0" fontId="3" fillId="0" borderId="25" xfId="0" applyFont="1" applyBorder="1" applyProtection="1"/>
    <xf numFmtId="0" fontId="0" fillId="0" borderId="17" xfId="0" applyBorder="1" applyProtection="1"/>
    <xf numFmtId="0" fontId="0" fillId="0" borderId="20" xfId="0" applyBorder="1" applyAlignment="1" applyProtection="1">
      <alignment horizontal="center"/>
    </xf>
    <xf numFmtId="0" fontId="0" fillId="0" borderId="15" xfId="0" applyBorder="1" applyAlignment="1" applyProtection="1">
      <alignment horizontal="center"/>
    </xf>
    <xf numFmtId="0" fontId="0" fillId="0" borderId="17" xfId="0" applyBorder="1" applyAlignment="1" applyProtection="1">
      <alignment horizontal="center"/>
    </xf>
    <xf numFmtId="0" fontId="20" fillId="0" borderId="0" xfId="0" applyFont="1" applyAlignment="1" applyProtection="1">
      <alignment horizontal="center"/>
    </xf>
    <xf numFmtId="2" fontId="3" fillId="0" borderId="0" xfId="0" applyNumberFormat="1" applyFont="1" applyAlignment="1" applyProtection="1">
      <alignment horizontal="center"/>
    </xf>
    <xf numFmtId="0" fontId="0" fillId="0" borderId="14" xfId="0" applyBorder="1" applyAlignment="1" applyProtection="1">
      <alignment horizontal="center"/>
    </xf>
    <xf numFmtId="0" fontId="0" fillId="0" borderId="9" xfId="0" applyBorder="1" applyAlignment="1" applyProtection="1">
      <alignment horizontal="center"/>
    </xf>
    <xf numFmtId="11" fontId="0" fillId="0" borderId="14" xfId="0" quotePrefix="1" applyNumberFormat="1" applyBorder="1" applyProtection="1"/>
    <xf numFmtId="11" fontId="0" fillId="0" borderId="14" xfId="0" applyNumberFormat="1" applyBorder="1" applyProtection="1"/>
    <xf numFmtId="11" fontId="0" fillId="0" borderId="56" xfId="0" applyNumberFormat="1" applyBorder="1" applyProtection="1"/>
    <xf numFmtId="11" fontId="0" fillId="0" borderId="14" xfId="0" applyNumberFormat="1" applyBorder="1" applyAlignment="1" applyProtection="1">
      <alignment horizontal="center"/>
    </xf>
    <xf numFmtId="11" fontId="0" fillId="0" borderId="18" xfId="0" applyNumberFormat="1" applyBorder="1" applyAlignment="1" applyProtection="1">
      <alignment horizontal="center"/>
    </xf>
    <xf numFmtId="0" fontId="0" fillId="0" borderId="0" xfId="0" applyAlignment="1" applyProtection="1">
      <alignment horizontal="center" vertical="center" wrapText="1"/>
    </xf>
    <xf numFmtId="0" fontId="0" fillId="0" borderId="0" xfId="0" applyAlignment="1" applyProtection="1">
      <alignment wrapText="1"/>
    </xf>
    <xf numFmtId="0" fontId="16" fillId="4" borderId="1" xfId="0" applyFont="1" applyFill="1" applyBorder="1" applyAlignment="1" applyProtection="1">
      <alignment horizontal="center" vertical="center" wrapText="1"/>
    </xf>
    <xf numFmtId="0" fontId="16" fillId="7" borderId="1" xfId="0" applyFont="1" applyFill="1" applyBorder="1" applyAlignment="1" applyProtection="1">
      <alignment horizontal="center" vertical="center" wrapText="1"/>
    </xf>
    <xf numFmtId="0" fontId="49" fillId="0" borderId="2" xfId="0" applyFont="1" applyBorder="1" applyAlignment="1" applyProtection="1">
      <alignment vertical="center" wrapText="1"/>
    </xf>
    <xf numFmtId="0" fontId="0" fillId="0" borderId="5" xfId="0" applyBorder="1" applyAlignment="1" applyProtection="1">
      <alignment vertical="center" wrapText="1"/>
    </xf>
    <xf numFmtId="0" fontId="48" fillId="7" borderId="1" xfId="0" applyFont="1" applyFill="1" applyBorder="1" applyAlignment="1" applyProtection="1">
      <alignment horizontal="center" vertical="center" wrapText="1"/>
    </xf>
    <xf numFmtId="0" fontId="0" fillId="0" borderId="2" xfId="0" applyBorder="1" applyAlignment="1" applyProtection="1">
      <alignment horizontal="center" vertical="center" wrapText="1"/>
    </xf>
    <xf numFmtId="0" fontId="9" fillId="0" borderId="2" xfId="0" applyFont="1" applyBorder="1" applyAlignment="1" applyProtection="1">
      <alignment vertical="center" wrapText="1"/>
    </xf>
    <xf numFmtId="0" fontId="9" fillId="13" borderId="2" xfId="0" applyFont="1" applyFill="1" applyBorder="1" applyAlignment="1" applyProtection="1">
      <alignment vertical="center" wrapText="1"/>
    </xf>
    <xf numFmtId="0" fontId="0" fillId="13" borderId="5" xfId="0" applyFill="1" applyBorder="1" applyAlignment="1" applyProtection="1">
      <alignment vertical="center" wrapText="1"/>
    </xf>
    <xf numFmtId="0" fontId="0" fillId="0" borderId="1" xfId="0" applyBorder="1" applyAlignment="1" applyProtection="1">
      <alignment vertical="center" wrapText="1"/>
    </xf>
    <xf numFmtId="0" fontId="9" fillId="0" borderId="2" xfId="0" applyFont="1" applyBorder="1" applyAlignment="1" applyProtection="1">
      <alignment horizontal="center" vertical="center" wrapText="1"/>
    </xf>
    <xf numFmtId="0" fontId="0" fillId="0" borderId="3" xfId="0" applyBorder="1" applyAlignment="1" applyProtection="1">
      <alignment horizontal="center" vertical="center" wrapText="1"/>
    </xf>
    <xf numFmtId="0" fontId="13" fillId="0" borderId="1" xfId="0" applyFont="1" applyBorder="1" applyAlignment="1" applyProtection="1">
      <alignment vertical="center" wrapText="1"/>
    </xf>
    <xf numFmtId="0" fontId="0" fillId="0" borderId="1" xfId="0" applyBorder="1" applyAlignment="1" applyProtection="1">
      <alignment horizontal="center" vertical="center" wrapText="1"/>
    </xf>
    <xf numFmtId="0" fontId="0" fillId="0" borderId="1" xfId="0" applyBorder="1" applyAlignment="1" applyProtection="1">
      <alignment wrapText="1"/>
    </xf>
    <xf numFmtId="0" fontId="24" fillId="0" borderId="1" xfId="0" applyFont="1" applyBorder="1" applyAlignment="1" applyProtection="1">
      <alignment horizontal="left" vertical="center" wrapText="1"/>
    </xf>
    <xf numFmtId="0" fontId="0" fillId="0" borderId="1" xfId="0" applyBorder="1" applyAlignment="1" applyProtection="1">
      <alignment horizontal="left" vertical="center" wrapText="1"/>
    </xf>
    <xf numFmtId="0" fontId="28" fillId="0" borderId="1" xfId="0" applyFont="1" applyBorder="1" applyAlignment="1" applyProtection="1">
      <alignment horizontal="center" vertical="center" wrapText="1"/>
    </xf>
    <xf numFmtId="0" fontId="23" fillId="0" borderId="1" xfId="0" applyFont="1" applyBorder="1" applyAlignment="1" applyProtection="1">
      <alignment horizontal="left" vertical="center" wrapText="1"/>
    </xf>
    <xf numFmtId="0" fontId="24" fillId="0" borderId="1" xfId="0" applyFont="1" applyBorder="1" applyAlignment="1" applyProtection="1">
      <alignment horizontal="center" vertical="center" wrapText="1"/>
    </xf>
    <xf numFmtId="0" fontId="0" fillId="0" borderId="1" xfId="0" applyBorder="1" applyAlignment="1" applyProtection="1">
      <alignment horizontal="left" vertical="center"/>
    </xf>
    <xf numFmtId="0" fontId="3" fillId="0" borderId="0" xfId="0" applyFont="1" applyAlignment="1" applyProtection="1">
      <alignment horizontal="center" vertical="center" wrapText="1"/>
    </xf>
    <xf numFmtId="0" fontId="76" fillId="0" borderId="0" xfId="0" applyFont="1" applyAlignment="1" applyProtection="1">
      <alignment horizontal="left" vertical="center" wrapText="1"/>
    </xf>
    <xf numFmtId="0" fontId="0" fillId="0" borderId="2" xfId="0" applyBorder="1" applyAlignment="1" applyProtection="1">
      <alignment horizontal="center" vertical="center"/>
    </xf>
    <xf numFmtId="0" fontId="0" fillId="0" borderId="3" xfId="0" applyBorder="1" applyAlignment="1" applyProtection="1">
      <alignment horizontal="center" vertical="center"/>
    </xf>
    <xf numFmtId="0" fontId="26" fillId="15" borderId="1" xfId="0" applyFont="1" applyFill="1" applyBorder="1" applyAlignment="1" applyProtection="1">
      <alignment horizontal="center" vertical="center" wrapText="1"/>
    </xf>
    <xf numFmtId="0" fontId="0" fillId="0" borderId="1" xfId="0" applyBorder="1" applyAlignment="1" applyProtection="1">
      <alignment horizontal="left" vertical="top" wrapText="1"/>
    </xf>
    <xf numFmtId="0" fontId="3" fillId="15" borderId="1" xfId="0" applyFont="1" applyFill="1" applyBorder="1" applyAlignment="1" applyProtection="1">
      <alignment horizontal="center" vertical="center" wrapText="1"/>
    </xf>
    <xf numFmtId="0" fontId="23" fillId="0" borderId="1" xfId="0" applyFont="1" applyBorder="1" applyAlignment="1" applyProtection="1">
      <alignment horizontal="center" vertical="center" wrapText="1"/>
    </xf>
    <xf numFmtId="0" fontId="22" fillId="15" borderId="1" xfId="0" applyFont="1" applyFill="1" applyBorder="1" applyAlignment="1" applyProtection="1">
      <alignment horizontal="center" vertical="center" wrapText="1"/>
    </xf>
    <xf numFmtId="0" fontId="23" fillId="0" borderId="1" xfId="0" applyFont="1" applyBorder="1" applyAlignment="1" applyProtection="1">
      <alignment horizontal="center" vertical="center"/>
    </xf>
    <xf numFmtId="2" fontId="0" fillId="0" borderId="1" xfId="0" applyNumberFormat="1" applyBorder="1" applyAlignment="1" applyProtection="1">
      <alignment horizontal="center" vertical="center"/>
    </xf>
    <xf numFmtId="0" fontId="0" fillId="0" borderId="1" xfId="0" applyBorder="1" applyAlignment="1" applyProtection="1">
      <alignment horizontal="left" vertical="top"/>
    </xf>
    <xf numFmtId="0" fontId="16" fillId="10" borderId="9" xfId="0" applyFont="1" applyFill="1" applyBorder="1" applyAlignment="1" applyProtection="1">
      <alignment horizontal="right" vertical="center" wrapText="1"/>
    </xf>
    <xf numFmtId="0" fontId="5" fillId="0" borderId="11" xfId="0" applyFont="1" applyBorder="1" applyAlignment="1" applyProtection="1">
      <alignment horizontal="right" vertical="center" wrapText="1"/>
    </xf>
    <xf numFmtId="0" fontId="5" fillId="0" borderId="13" xfId="0" applyFont="1" applyBorder="1" applyAlignment="1" applyProtection="1">
      <alignment horizontal="right" vertical="center" wrapText="1"/>
    </xf>
    <xf numFmtId="0" fontId="5" fillId="7" borderId="9" xfId="0" applyFont="1" applyFill="1" applyBorder="1" applyAlignment="1" applyProtection="1">
      <alignment horizontal="center" vertical="center" wrapText="1"/>
    </xf>
    <xf numFmtId="0" fontId="43" fillId="0" borderId="31" xfId="0" applyFont="1" applyBorder="1" applyAlignment="1" applyProtection="1">
      <alignment horizontal="center" vertical="center" wrapText="1"/>
    </xf>
    <xf numFmtId="0" fontId="43" fillId="0" borderId="30" xfId="0" applyFont="1" applyBorder="1" applyAlignment="1" applyProtection="1">
      <alignment horizontal="center" vertical="center" wrapText="1"/>
    </xf>
    <xf numFmtId="0" fontId="43" fillId="0" borderId="32" xfId="0" applyFont="1" applyBorder="1" applyAlignment="1" applyProtection="1">
      <alignment horizontal="center" vertical="center" wrapText="1"/>
    </xf>
    <xf numFmtId="0" fontId="16" fillId="10" borderId="8" xfId="0" applyFont="1" applyFill="1" applyBorder="1" applyAlignment="1" applyProtection="1">
      <alignment horizontal="center" vertical="center" wrapText="1"/>
    </xf>
    <xf numFmtId="0" fontId="5" fillId="7" borderId="1" xfId="0" applyFont="1" applyFill="1" applyBorder="1" applyAlignment="1" applyProtection="1">
      <alignment horizontal="left" vertical="center"/>
    </xf>
    <xf numFmtId="0" fontId="0" fillId="7" borderId="1" xfId="0" applyFill="1" applyBorder="1" applyAlignment="1" applyProtection="1">
      <alignment horizontal="center" vertical="center"/>
    </xf>
    <xf numFmtId="0" fontId="43" fillId="0" borderId="16" xfId="0" applyFont="1" applyBorder="1" applyAlignment="1" applyProtection="1">
      <alignment horizontal="center" vertical="center" wrapText="1"/>
    </xf>
    <xf numFmtId="0" fontId="43" fillId="0" borderId="19" xfId="0" applyFont="1" applyBorder="1" applyAlignment="1" applyProtection="1">
      <alignment horizontal="center" vertical="center" wrapText="1"/>
    </xf>
    <xf numFmtId="165" fontId="43" fillId="0" borderId="32" xfId="0" applyNumberFormat="1" applyFont="1" applyBorder="1" applyAlignment="1" applyProtection="1">
      <alignment horizontal="center" vertical="center" wrapText="1"/>
    </xf>
    <xf numFmtId="0" fontId="43" fillId="0" borderId="1" xfId="0" applyFont="1" applyBorder="1" applyAlignment="1" applyProtection="1">
      <alignment horizontal="center" vertical="center" wrapText="1"/>
    </xf>
    <xf numFmtId="0" fontId="43" fillId="0" borderId="2" xfId="0" applyFont="1" applyBorder="1" applyAlignment="1" applyProtection="1">
      <alignment horizontal="center" vertical="center" wrapText="1"/>
    </xf>
    <xf numFmtId="0" fontId="0" fillId="0" borderId="0" xfId="0" applyAlignment="1" applyProtection="1">
      <alignment horizontal="center" vertical="center"/>
    </xf>
    <xf numFmtId="0" fontId="16" fillId="0" borderId="0" xfId="0" applyFont="1" applyAlignment="1" applyProtection="1">
      <alignment horizontal="center" vertical="center" wrapText="1"/>
    </xf>
    <xf numFmtId="0" fontId="3" fillId="0" borderId="1" xfId="0" applyFont="1" applyBorder="1" applyAlignment="1" applyProtection="1">
      <alignment horizontal="center" vertical="center"/>
    </xf>
    <xf numFmtId="0" fontId="0" fillId="0" borderId="18" xfId="0" applyBorder="1" applyAlignment="1" applyProtection="1">
      <alignment horizontal="center" wrapText="1"/>
    </xf>
    <xf numFmtId="0" fontId="0" fillId="0" borderId="0" xfId="0" applyProtection="1"/>
    <xf numFmtId="0" fontId="0" fillId="7" borderId="0" xfId="0" applyFill="1" applyAlignment="1" applyProtection="1">
      <alignment horizontal="left" vertical="center" wrapText="1"/>
    </xf>
    <xf numFmtId="0" fontId="0" fillId="0" borderId="32" xfId="0" applyBorder="1" applyAlignment="1" applyProtection="1">
      <alignment horizontal="center" vertical="top" wrapText="1"/>
    </xf>
    <xf numFmtId="0" fontId="0" fillId="0" borderId="31" xfId="0" applyBorder="1" applyAlignment="1" applyProtection="1">
      <alignment horizontal="center" vertical="top" wrapText="1"/>
    </xf>
    <xf numFmtId="0" fontId="0" fillId="0" borderId="0" xfId="0" applyAlignment="1" applyProtection="1">
      <alignment horizontal="center" vertical="center" wrapText="1"/>
    </xf>
    <xf numFmtId="0" fontId="70" fillId="0" borderId="15" xfId="0" applyFont="1" applyBorder="1" applyAlignment="1" applyProtection="1">
      <alignment wrapText="1"/>
    </xf>
    <xf numFmtId="0" fontId="0" fillId="0" borderId="0" xfId="0" applyAlignment="1" applyProtection="1">
      <alignment wrapText="1"/>
    </xf>
    <xf numFmtId="0" fontId="0" fillId="0" borderId="16" xfId="0" applyBorder="1" applyAlignment="1" applyProtection="1">
      <alignment wrapText="1"/>
    </xf>
    <xf numFmtId="0" fontId="0" fillId="0" borderId="15" xfId="0" applyBorder="1" applyAlignment="1" applyProtection="1">
      <alignment wrapText="1"/>
    </xf>
    <xf numFmtId="0" fontId="0" fillId="0" borderId="15" xfId="0" applyBorder="1" applyAlignment="1" applyProtection="1">
      <alignment horizontal="left" vertical="top" wrapText="1"/>
    </xf>
    <xf numFmtId="0" fontId="0" fillId="0" borderId="15" xfId="0" applyBorder="1" applyAlignment="1" applyProtection="1">
      <alignment vertical="top" wrapText="1"/>
    </xf>
    <xf numFmtId="1" fontId="86" fillId="5" borderId="18" xfId="0" applyNumberFormat="1" applyFont="1" applyFill="1" applyBorder="1" applyAlignment="1" applyProtection="1">
      <alignment horizontal="center" wrapText="1"/>
    </xf>
    <xf numFmtId="1" fontId="86" fillId="5" borderId="0" xfId="0" applyNumberFormat="1" applyFont="1" applyFill="1" applyAlignment="1" applyProtection="1">
      <alignment horizontal="center" wrapText="1"/>
    </xf>
    <xf numFmtId="1" fontId="86" fillId="5" borderId="36" xfId="0" applyNumberFormat="1" applyFont="1" applyFill="1" applyBorder="1" applyAlignment="1" applyProtection="1">
      <alignment horizontal="center" wrapText="1"/>
    </xf>
    <xf numFmtId="1" fontId="86" fillId="5" borderId="25" xfId="0" applyNumberFormat="1" applyFont="1" applyFill="1" applyBorder="1" applyAlignment="1" applyProtection="1">
      <alignment horizontal="center" wrapText="1"/>
    </xf>
    <xf numFmtId="0" fontId="14" fillId="5" borderId="0" xfId="0" applyFont="1" applyFill="1" applyAlignment="1" applyProtection="1">
      <alignment horizontal="center" vertical="center"/>
    </xf>
    <xf numFmtId="0" fontId="3" fillId="5" borderId="1" xfId="0" applyFont="1" applyFill="1" applyBorder="1" applyAlignment="1" applyProtection="1">
      <alignment horizontal="center" vertical="center"/>
    </xf>
    <xf numFmtId="0" fontId="9" fillId="0" borderId="2" xfId="0" applyFont="1" applyBorder="1" applyAlignment="1" applyProtection="1">
      <alignment vertical="center" wrapText="1"/>
    </xf>
    <xf numFmtId="0" fontId="0" fillId="0" borderId="5" xfId="0" applyBorder="1" applyAlignment="1" applyProtection="1">
      <alignment vertical="center" wrapText="1"/>
    </xf>
    <xf numFmtId="0" fontId="0" fillId="0" borderId="3" xfId="0" applyBorder="1" applyAlignment="1" applyProtection="1">
      <alignment vertical="center" wrapText="1"/>
    </xf>
    <xf numFmtId="0" fontId="5" fillId="13" borderId="2" xfId="0" applyFont="1" applyFill="1" applyBorder="1" applyAlignment="1" applyProtection="1">
      <alignment vertical="center"/>
    </xf>
    <xf numFmtId="0" fontId="0" fillId="13" borderId="3" xfId="0" applyFill="1" applyBorder="1" applyAlignment="1" applyProtection="1">
      <alignment vertical="center"/>
    </xf>
    <xf numFmtId="0" fontId="9" fillId="0" borderId="2" xfId="0" applyFont="1" applyBorder="1" applyAlignment="1" applyProtection="1">
      <alignment horizontal="center" vertical="center" wrapText="1"/>
    </xf>
    <xf numFmtId="0" fontId="49" fillId="0" borderId="2" xfId="0" applyFont="1" applyBorder="1" applyAlignment="1" applyProtection="1">
      <alignment vertical="center" wrapText="1"/>
    </xf>
    <xf numFmtId="0" fontId="9" fillId="13" borderId="2" xfId="0" applyFont="1" applyFill="1" applyBorder="1" applyAlignment="1" applyProtection="1">
      <alignment vertical="center"/>
    </xf>
    <xf numFmtId="0" fontId="0" fillId="13" borderId="5" xfId="0" applyFill="1" applyBorder="1" applyAlignment="1" applyProtection="1">
      <alignment vertical="center"/>
    </xf>
    <xf numFmtId="0" fontId="0" fillId="0" borderId="5" xfId="0" applyBorder="1" applyAlignment="1" applyProtection="1">
      <alignment horizontal="center" vertical="center" wrapText="1"/>
    </xf>
    <xf numFmtId="0" fontId="0" fillId="0" borderId="3" xfId="0" applyBorder="1" applyAlignment="1" applyProtection="1">
      <alignment horizontal="center" vertical="center" wrapText="1"/>
    </xf>
    <xf numFmtId="0" fontId="9" fillId="13" borderId="2" xfId="0" applyFont="1" applyFill="1" applyBorder="1" applyAlignment="1" applyProtection="1">
      <alignment horizontal="center" vertical="center" wrapText="1"/>
    </xf>
    <xf numFmtId="0" fontId="0" fillId="13" borderId="3" xfId="0" applyFill="1" applyBorder="1" applyAlignment="1" applyProtection="1">
      <alignment horizontal="center" vertical="center" wrapText="1"/>
    </xf>
    <xf numFmtId="0" fontId="48" fillId="0" borderId="10" xfId="0" applyFont="1" applyBorder="1" applyAlignment="1" applyProtection="1">
      <alignment horizontal="center" vertical="center" wrapText="1"/>
    </xf>
    <xf numFmtId="0" fontId="48" fillId="0" borderId="11" xfId="0" applyFont="1" applyBorder="1" applyAlignment="1" applyProtection="1">
      <alignment horizontal="center" vertical="center" wrapText="1"/>
    </xf>
    <xf numFmtId="0" fontId="0" fillId="0" borderId="2" xfId="0" applyBorder="1" applyAlignment="1" applyProtection="1">
      <alignment horizontal="center" vertical="center" wrapText="1"/>
    </xf>
    <xf numFmtId="2" fontId="5" fillId="13" borderId="2" xfId="0" applyNumberFormat="1" applyFont="1" applyFill="1" applyBorder="1" applyAlignment="1" applyProtection="1">
      <alignment vertical="center" wrapText="1"/>
    </xf>
    <xf numFmtId="2" fontId="0" fillId="13" borderId="3" xfId="0" applyNumberFormat="1" applyFill="1" applyBorder="1" applyAlignment="1" applyProtection="1">
      <alignment vertical="center" wrapText="1"/>
    </xf>
    <xf numFmtId="0" fontId="9" fillId="13" borderId="2" xfId="0" applyFont="1" applyFill="1" applyBorder="1" applyAlignment="1" applyProtection="1">
      <alignment vertical="center" wrapText="1"/>
    </xf>
    <xf numFmtId="0" fontId="0" fillId="13" borderId="5" xfId="0" applyFill="1" applyBorder="1" applyAlignment="1" applyProtection="1">
      <alignment vertical="center" wrapText="1"/>
    </xf>
    <xf numFmtId="0" fontId="0" fillId="13" borderId="3" xfId="0" applyFill="1" applyBorder="1" applyAlignment="1" applyProtection="1">
      <alignment vertical="center" wrapText="1"/>
    </xf>
    <xf numFmtId="0" fontId="0" fillId="0" borderId="1" xfId="0" applyBorder="1" applyAlignment="1" applyProtection="1">
      <alignment vertical="center" wrapText="1"/>
    </xf>
    <xf numFmtId="0" fontId="16" fillId="4" borderId="1" xfId="0" applyFont="1" applyFill="1" applyBorder="1" applyAlignment="1" applyProtection="1">
      <alignment horizontal="center" vertical="center" wrapText="1"/>
    </xf>
    <xf numFmtId="0" fontId="16" fillId="7" borderId="1" xfId="0" applyFont="1" applyFill="1" applyBorder="1" applyAlignment="1" applyProtection="1">
      <alignment horizontal="center" vertical="center" wrapText="1"/>
    </xf>
    <xf numFmtId="0" fontId="9" fillId="13" borderId="22" xfId="0" applyFont="1" applyFill="1" applyBorder="1" applyAlignment="1" applyProtection="1">
      <alignment vertical="center" wrapText="1"/>
    </xf>
    <xf numFmtId="0" fontId="0" fillId="13" borderId="0" xfId="0" applyFill="1" applyAlignment="1" applyProtection="1">
      <alignment vertical="center"/>
    </xf>
    <xf numFmtId="0" fontId="0" fillId="13" borderId="12" xfId="0" applyFill="1" applyBorder="1" applyAlignment="1" applyProtection="1">
      <alignment vertical="center"/>
    </xf>
    <xf numFmtId="0" fontId="48" fillId="4" borderId="1" xfId="0" applyFont="1" applyFill="1" applyBorder="1" applyAlignment="1" applyProtection="1">
      <alignment horizontal="center" vertical="center" wrapText="1"/>
    </xf>
    <xf numFmtId="0" fontId="48" fillId="0" borderId="1" xfId="0" applyFont="1" applyBorder="1" applyAlignment="1" applyProtection="1">
      <alignment horizontal="center" vertical="center" wrapText="1"/>
    </xf>
    <xf numFmtId="0" fontId="48" fillId="7" borderId="1" xfId="0" applyFont="1" applyFill="1" applyBorder="1" applyAlignment="1" applyProtection="1">
      <alignment horizontal="center" vertical="center" wrapText="1"/>
    </xf>
    <xf numFmtId="0" fontId="47" fillId="7" borderId="2" xfId="0" applyFont="1" applyFill="1" applyBorder="1" applyAlignment="1" applyProtection="1">
      <alignment horizontal="center" vertical="center" wrapText="1"/>
    </xf>
    <xf numFmtId="0" fontId="47" fillId="7" borderId="3" xfId="0" applyFont="1" applyFill="1" applyBorder="1" applyAlignment="1" applyProtection="1">
      <alignment horizontal="center" vertical="center" wrapText="1"/>
    </xf>
    <xf numFmtId="0" fontId="48" fillId="14" borderId="2" xfId="0" applyFont="1" applyFill="1" applyBorder="1" applyAlignment="1" applyProtection="1">
      <alignment horizontal="center" vertical="center" wrapText="1"/>
    </xf>
    <xf numFmtId="0" fontId="48" fillId="14" borderId="3" xfId="0" applyFont="1" applyFill="1" applyBorder="1" applyAlignment="1" applyProtection="1">
      <alignment horizontal="center" vertical="center" wrapText="1"/>
    </xf>
    <xf numFmtId="0" fontId="48" fillId="19" borderId="2" xfId="0" applyFont="1" applyFill="1" applyBorder="1" applyAlignment="1" applyProtection="1">
      <alignment horizontal="center" vertical="center" wrapText="1"/>
    </xf>
    <xf numFmtId="0" fontId="48" fillId="19" borderId="3" xfId="0" applyFont="1" applyFill="1" applyBorder="1" applyAlignment="1" applyProtection="1">
      <alignment horizontal="center" vertical="center" wrapText="1"/>
    </xf>
    <xf numFmtId="0" fontId="48" fillId="0" borderId="2" xfId="0" applyFont="1" applyBorder="1" applyAlignment="1" applyProtection="1">
      <alignment horizontal="center" vertical="center" wrapText="1"/>
    </xf>
    <xf numFmtId="0" fontId="48" fillId="0" borderId="3" xfId="0" applyFont="1" applyBorder="1" applyAlignment="1" applyProtection="1">
      <alignment horizontal="center" vertical="center" wrapText="1"/>
    </xf>
    <xf numFmtId="0" fontId="48" fillId="19" borderId="5" xfId="0" applyFont="1" applyFill="1" applyBorder="1" applyAlignment="1" applyProtection="1">
      <alignment horizontal="center" vertical="center" wrapText="1"/>
    </xf>
    <xf numFmtId="0" fontId="47" fillId="7" borderId="5" xfId="0" applyFont="1" applyFill="1" applyBorder="1" applyAlignment="1" applyProtection="1">
      <alignment horizontal="center" vertical="center" wrapText="1"/>
    </xf>
    <xf numFmtId="0" fontId="48" fillId="14" borderId="5" xfId="0" applyFont="1" applyFill="1" applyBorder="1" applyAlignment="1" applyProtection="1">
      <alignment horizontal="center" vertical="center" wrapText="1"/>
    </xf>
    <xf numFmtId="0" fontId="76" fillId="0" borderId="0" xfId="0" applyFont="1" applyAlignment="1" applyProtection="1">
      <alignment horizontal="left" vertical="center" wrapText="1"/>
    </xf>
    <xf numFmtId="0" fontId="76" fillId="0" borderId="12" xfId="0" applyFont="1" applyBorder="1" applyAlignment="1" applyProtection="1">
      <alignment horizontal="left" vertical="center" wrapText="1"/>
    </xf>
    <xf numFmtId="0" fontId="24" fillId="0" borderId="2"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28" fillId="0" borderId="1" xfId="0" applyFont="1" applyBorder="1" applyAlignment="1" applyProtection="1">
      <alignment horizontal="center" vertical="center" wrapText="1"/>
    </xf>
    <xf numFmtId="0" fontId="23" fillId="0" borderId="1" xfId="0" applyFont="1" applyBorder="1" applyAlignment="1" applyProtection="1">
      <alignment horizontal="left" vertical="center" wrapText="1"/>
    </xf>
    <xf numFmtId="0" fontId="24" fillId="0" borderId="1" xfId="0" applyFont="1" applyBorder="1" applyAlignment="1" applyProtection="1">
      <alignment horizontal="left" vertical="center" wrapText="1"/>
    </xf>
    <xf numFmtId="0" fontId="48" fillId="0" borderId="5" xfId="0" applyFont="1" applyBorder="1" applyAlignment="1" applyProtection="1">
      <alignment horizontal="center" vertical="center" wrapText="1"/>
    </xf>
    <xf numFmtId="0" fontId="48" fillId="0" borderId="14" xfId="0" applyFont="1" applyBorder="1" applyAlignment="1" applyProtection="1">
      <alignment horizontal="center" vertical="center" wrapText="1"/>
    </xf>
    <xf numFmtId="0" fontId="3" fillId="0" borderId="0" xfId="0" applyFont="1" applyAlignment="1" applyProtection="1">
      <alignment horizontal="center" vertical="center" wrapText="1"/>
    </xf>
    <xf numFmtId="0" fontId="14" fillId="0" borderId="37" xfId="0" applyFont="1" applyBorder="1" applyAlignment="1" applyProtection="1">
      <alignment horizontal="center" vertical="center" wrapText="1"/>
    </xf>
    <xf numFmtId="0" fontId="14" fillId="0" borderId="36" xfId="0" applyFont="1" applyBorder="1" applyAlignment="1" applyProtection="1">
      <alignment horizontal="center" vertical="center" wrapText="1"/>
    </xf>
    <xf numFmtId="0" fontId="14" fillId="0" borderId="35" xfId="0" applyFont="1" applyBorder="1" applyAlignment="1" applyProtection="1">
      <alignment horizontal="center" vertical="center" wrapText="1"/>
    </xf>
    <xf numFmtId="0" fontId="13" fillId="0" borderId="1" xfId="0" applyFont="1" applyBorder="1" applyAlignment="1" applyProtection="1">
      <alignment vertical="center" wrapText="1"/>
    </xf>
    <xf numFmtId="0" fontId="0" fillId="0" borderId="1" xfId="0" applyBorder="1" applyAlignment="1" applyProtection="1">
      <alignment horizontal="center" vertical="center" wrapText="1"/>
    </xf>
    <xf numFmtId="0" fontId="13" fillId="0" borderId="2" xfId="0" applyFont="1" applyBorder="1" applyAlignment="1" applyProtection="1">
      <alignment vertical="center" wrapText="1"/>
    </xf>
    <xf numFmtId="0" fontId="24" fillId="0" borderId="1" xfId="0" applyFont="1" applyBorder="1" applyAlignment="1" applyProtection="1">
      <alignment horizontal="center" vertical="center" wrapText="1"/>
    </xf>
    <xf numFmtId="0" fontId="23" fillId="0" borderId="1" xfId="0" applyFont="1" applyBorder="1" applyAlignment="1" applyProtection="1">
      <alignment horizontal="left" vertical="center"/>
    </xf>
    <xf numFmtId="0" fontId="0" fillId="0" borderId="1" xfId="0" applyBorder="1" applyAlignment="1" applyProtection="1">
      <alignment horizontal="left" vertical="center"/>
    </xf>
    <xf numFmtId="0" fontId="0" fillId="0" borderId="1" xfId="0" applyBorder="1" applyAlignment="1" applyProtection="1">
      <alignment horizontal="left" vertical="center" wrapText="1"/>
    </xf>
    <xf numFmtId="0" fontId="0" fillId="0" borderId="1" xfId="0" applyBorder="1" applyAlignment="1" applyProtection="1">
      <alignment wrapText="1"/>
    </xf>
    <xf numFmtId="0" fontId="13" fillId="0" borderId="5" xfId="0" applyFont="1" applyBorder="1" applyAlignment="1" applyProtection="1">
      <alignment vertical="center" wrapText="1"/>
    </xf>
    <xf numFmtId="0" fontId="13" fillId="0" borderId="3" xfId="0" applyFont="1" applyBorder="1" applyAlignment="1" applyProtection="1">
      <alignment vertical="center" wrapText="1"/>
    </xf>
    <xf numFmtId="2" fontId="14" fillId="0" borderId="37" xfId="0" applyNumberFormat="1" applyFont="1" applyBorder="1" applyAlignment="1" applyProtection="1">
      <alignment horizontal="center" vertical="center" wrapText="1"/>
    </xf>
    <xf numFmtId="2" fontId="14" fillId="0" borderId="36" xfId="0" applyNumberFormat="1" applyFont="1" applyBorder="1" applyAlignment="1" applyProtection="1">
      <alignment horizontal="center" vertical="center" wrapText="1"/>
    </xf>
    <xf numFmtId="2" fontId="14" fillId="0" borderId="35" xfId="0" applyNumberFormat="1" applyFont="1" applyBorder="1" applyAlignment="1" applyProtection="1">
      <alignment horizontal="center" vertical="center" wrapText="1"/>
    </xf>
    <xf numFmtId="2" fontId="0" fillId="0" borderId="1" xfId="0" applyNumberFormat="1" applyBorder="1" applyAlignment="1" applyProtection="1">
      <alignment horizontal="center" vertical="center"/>
    </xf>
    <xf numFmtId="0" fontId="0" fillId="0" borderId="1" xfId="0" applyBorder="1" applyAlignment="1" applyProtection="1">
      <alignment horizontal="left" vertical="top" wrapText="1"/>
    </xf>
    <xf numFmtId="0" fontId="0" fillId="0" borderId="1" xfId="0" applyBorder="1" applyAlignment="1" applyProtection="1">
      <alignment horizontal="left" vertical="top"/>
    </xf>
    <xf numFmtId="0" fontId="40" fillId="0" borderId="1" xfId="0" applyFont="1" applyBorder="1" applyAlignment="1" applyProtection="1">
      <alignment horizontal="center" vertical="center" wrapText="1"/>
    </xf>
    <xf numFmtId="0" fontId="22" fillId="15" borderId="1" xfId="0" applyFont="1" applyFill="1" applyBorder="1" applyAlignment="1" applyProtection="1">
      <alignment horizontal="center" vertical="center"/>
    </xf>
    <xf numFmtId="49" fontId="24" fillId="0" borderId="2" xfId="0" applyNumberFormat="1" applyFont="1" applyBorder="1" applyAlignment="1" applyProtection="1">
      <alignment horizontal="center" vertical="center" wrapText="1"/>
    </xf>
    <xf numFmtId="49" fontId="24" fillId="0" borderId="5" xfId="0" applyNumberFormat="1" applyFont="1" applyBorder="1" applyAlignment="1" applyProtection="1">
      <alignment horizontal="center" vertical="center" wrapText="1"/>
    </xf>
    <xf numFmtId="49" fontId="24" fillId="0" borderId="3" xfId="0" applyNumberFormat="1" applyFont="1" applyBorder="1" applyAlignment="1" applyProtection="1">
      <alignment horizontal="center" vertical="center" wrapText="1"/>
    </xf>
    <xf numFmtId="0" fontId="23" fillId="0" borderId="1" xfId="0" applyFont="1" applyBorder="1" applyAlignment="1" applyProtection="1">
      <alignment horizontal="center" vertical="center"/>
    </xf>
    <xf numFmtId="0" fontId="23" fillId="0" borderId="2" xfId="0" applyFont="1" applyBorder="1" applyAlignment="1" applyProtection="1">
      <alignment horizontal="center" vertical="center" wrapText="1"/>
    </xf>
    <xf numFmtId="0" fontId="23" fillId="0" borderId="5" xfId="0" applyFont="1" applyBorder="1" applyAlignment="1" applyProtection="1">
      <alignment horizontal="center" vertical="center" wrapText="1"/>
    </xf>
    <xf numFmtId="0" fontId="23" fillId="0" borderId="3" xfId="0" applyFont="1" applyBorder="1" applyAlignment="1" applyProtection="1">
      <alignment horizontal="center" vertical="center" wrapText="1"/>
    </xf>
    <xf numFmtId="49" fontId="24" fillId="0" borderId="1" xfId="0" applyNumberFormat="1" applyFont="1" applyBorder="1" applyAlignment="1" applyProtection="1">
      <alignment horizontal="center" vertical="center" wrapText="1"/>
    </xf>
    <xf numFmtId="49" fontId="23" fillId="0" borderId="1" xfId="0" applyNumberFormat="1" applyFont="1" applyBorder="1" applyAlignment="1" applyProtection="1">
      <alignment horizontal="center" vertical="center" wrapText="1"/>
    </xf>
    <xf numFmtId="0" fontId="23" fillId="0" borderId="1" xfId="0" applyFont="1" applyBorder="1" applyAlignment="1" applyProtection="1">
      <alignment horizontal="center" vertical="center" wrapText="1"/>
    </xf>
    <xf numFmtId="49" fontId="22" fillId="15" borderId="2" xfId="0" applyNumberFormat="1" applyFont="1" applyFill="1" applyBorder="1" applyAlignment="1" applyProtection="1">
      <alignment horizontal="center" vertical="center" wrapText="1"/>
    </xf>
    <xf numFmtId="49" fontId="22" fillId="15" borderId="3" xfId="0" applyNumberFormat="1" applyFont="1" applyFill="1" applyBorder="1" applyAlignment="1" applyProtection="1">
      <alignment horizontal="center" vertical="center" wrapText="1"/>
    </xf>
    <xf numFmtId="0" fontId="22" fillId="15" borderId="1" xfId="0" applyFont="1" applyFill="1" applyBorder="1" applyAlignment="1" applyProtection="1">
      <alignment horizontal="center" vertical="center" wrapText="1"/>
    </xf>
    <xf numFmtId="49" fontId="23" fillId="0" borderId="2" xfId="0" applyNumberFormat="1" applyFont="1" applyBorder="1" applyAlignment="1" applyProtection="1">
      <alignment horizontal="center" vertical="center" wrapText="1"/>
    </xf>
    <xf numFmtId="49" fontId="23" fillId="0" borderId="5" xfId="0" applyNumberFormat="1" applyFont="1" applyBorder="1" applyAlignment="1" applyProtection="1">
      <alignment horizontal="center" vertical="center" wrapText="1"/>
    </xf>
    <xf numFmtId="49" fontId="23" fillId="0" borderId="3" xfId="0" applyNumberFormat="1" applyFont="1" applyBorder="1" applyAlignment="1" applyProtection="1">
      <alignment horizontal="center" vertical="center" wrapText="1"/>
    </xf>
    <xf numFmtId="0" fontId="26" fillId="15" borderId="4" xfId="0" applyFont="1" applyFill="1" applyBorder="1" applyAlignment="1" applyProtection="1">
      <alignment horizontal="center" vertical="center"/>
    </xf>
    <xf numFmtId="0" fontId="26" fillId="15" borderId="6" xfId="0" applyFont="1" applyFill="1" applyBorder="1" applyAlignment="1" applyProtection="1">
      <alignment horizontal="center" vertical="center"/>
    </xf>
    <xf numFmtId="0" fontId="26" fillId="15" borderId="7" xfId="0" applyFont="1" applyFill="1" applyBorder="1" applyAlignment="1" applyProtection="1">
      <alignment horizontal="center" vertical="center"/>
    </xf>
    <xf numFmtId="0" fontId="22" fillId="15" borderId="4" xfId="0" applyFont="1" applyFill="1" applyBorder="1" applyAlignment="1" applyProtection="1">
      <alignment horizontal="center" vertical="center"/>
    </xf>
    <xf numFmtId="0" fontId="22" fillId="15" borderId="6" xfId="0" applyFont="1" applyFill="1" applyBorder="1" applyAlignment="1" applyProtection="1">
      <alignment horizontal="center" vertical="center"/>
    </xf>
    <xf numFmtId="0" fontId="22" fillId="15" borderId="7" xfId="0" applyFont="1" applyFill="1" applyBorder="1" applyAlignment="1" applyProtection="1">
      <alignment horizontal="center" vertical="center"/>
    </xf>
    <xf numFmtId="49" fontId="24" fillId="0" borderId="33" xfId="0" applyNumberFormat="1" applyFont="1" applyBorder="1" applyAlignment="1" applyProtection="1">
      <alignment horizontal="center" vertical="center" wrapText="1"/>
    </xf>
    <xf numFmtId="0" fontId="3" fillId="15" borderId="1"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0" borderId="5" xfId="0" applyBorder="1" applyAlignment="1" applyProtection="1">
      <alignment horizontal="center" vertical="center"/>
    </xf>
    <xf numFmtId="0" fontId="0" fillId="0" borderId="3" xfId="0" applyBorder="1" applyAlignment="1" applyProtection="1">
      <alignment horizontal="center" vertical="center"/>
    </xf>
    <xf numFmtId="0" fontId="26" fillId="15" borderId="2" xfId="0" applyFont="1" applyFill="1" applyBorder="1" applyAlignment="1" applyProtection="1">
      <alignment vertical="center"/>
    </xf>
    <xf numFmtId="0" fontId="26" fillId="15" borderId="3" xfId="0" applyFont="1" applyFill="1" applyBorder="1" applyAlignment="1" applyProtection="1">
      <alignment vertical="center"/>
    </xf>
    <xf numFmtId="0" fontId="26" fillId="15" borderId="2" xfId="0" applyFont="1" applyFill="1" applyBorder="1" applyAlignment="1" applyProtection="1">
      <alignment vertical="center" wrapText="1"/>
    </xf>
    <xf numFmtId="0" fontId="26" fillId="15" borderId="3" xfId="0" applyFont="1" applyFill="1" applyBorder="1" applyAlignment="1" applyProtection="1">
      <alignment vertical="center" wrapText="1"/>
    </xf>
    <xf numFmtId="0" fontId="26" fillId="0" borderId="0" xfId="0" applyFont="1" applyAlignment="1" applyProtection="1">
      <alignment horizontal="center" vertical="center"/>
    </xf>
    <xf numFmtId="0" fontId="22" fillId="15" borderId="4" xfId="0" applyFont="1" applyFill="1" applyBorder="1" applyAlignment="1" applyProtection="1">
      <alignment horizontal="center" vertical="center" wrapText="1"/>
    </xf>
    <xf numFmtId="0" fontId="22" fillId="15" borderId="6" xfId="0" applyFont="1" applyFill="1" applyBorder="1" applyAlignment="1" applyProtection="1">
      <alignment horizontal="center" vertical="center" wrapText="1"/>
    </xf>
    <xf numFmtId="0" fontId="22" fillId="15" borderId="7" xfId="0" applyFont="1" applyFill="1" applyBorder="1" applyAlignment="1" applyProtection="1">
      <alignment horizontal="center" vertical="center" wrapText="1"/>
    </xf>
    <xf numFmtId="0" fontId="26" fillId="15" borderId="1" xfId="0" applyFont="1" applyFill="1" applyBorder="1" applyAlignment="1" applyProtection="1">
      <alignment horizontal="center" vertical="center" wrapText="1"/>
    </xf>
    <xf numFmtId="0" fontId="26" fillId="15" borderId="1" xfId="0" applyFont="1" applyFill="1" applyBorder="1" applyAlignment="1" applyProtection="1">
      <alignment horizontal="center" vertical="center"/>
    </xf>
    <xf numFmtId="0" fontId="0" fillId="0" borderId="4" xfId="0" applyBorder="1" applyAlignment="1" applyProtection="1">
      <alignment horizontal="center" vertical="top"/>
    </xf>
    <xf numFmtId="0" fontId="0" fillId="0" borderId="6" xfId="0" applyBorder="1" applyAlignment="1" applyProtection="1">
      <alignment horizontal="center" vertical="top"/>
    </xf>
    <xf numFmtId="0" fontId="0" fillId="0" borderId="7" xfId="0" applyBorder="1" applyAlignment="1" applyProtection="1">
      <alignment horizontal="center" vertical="top"/>
    </xf>
    <xf numFmtId="0" fontId="11" fillId="0" borderId="1" xfId="1" applyFill="1" applyBorder="1" applyAlignment="1" applyProtection="1">
      <alignment horizontal="left" vertical="top" wrapText="1"/>
    </xf>
    <xf numFmtId="0" fontId="3" fillId="15" borderId="1" xfId="0" applyFont="1" applyFill="1" applyBorder="1" applyAlignment="1" applyProtection="1">
      <alignment horizontal="left" vertical="top"/>
    </xf>
    <xf numFmtId="0" fontId="11" fillId="0" borderId="1" xfId="1" applyBorder="1" applyAlignment="1" applyProtection="1">
      <alignment horizontal="left" vertical="top" wrapText="1"/>
    </xf>
    <xf numFmtId="0" fontId="11" fillId="0" borderId="1" xfId="1" applyBorder="1" applyAlignment="1" applyProtection="1">
      <alignment horizontal="left" vertical="top"/>
    </xf>
    <xf numFmtId="0" fontId="3" fillId="15" borderId="1" xfId="0" applyFont="1" applyFill="1" applyBorder="1" applyAlignment="1" applyProtection="1">
      <alignment horizontal="center" vertical="top" wrapText="1"/>
    </xf>
    <xf numFmtId="0" fontId="26" fillId="0" borderId="0" xfId="0" applyFont="1" applyAlignment="1" applyProtection="1">
      <alignment vertical="center"/>
    </xf>
    <xf numFmtId="0" fontId="26" fillId="0" borderId="0" xfId="0" applyFont="1" applyAlignment="1" applyProtection="1">
      <alignment vertical="center" wrapText="1"/>
    </xf>
    <xf numFmtId="0" fontId="5" fillId="3" borderId="2" xfId="0" applyFont="1" applyFill="1" applyBorder="1" applyAlignment="1" applyProtection="1">
      <alignment horizontal="center" vertical="center" wrapText="1"/>
    </xf>
    <xf numFmtId="0" fontId="5" fillId="3" borderId="3" xfId="0" applyFont="1" applyFill="1" applyBorder="1" applyAlignment="1" applyProtection="1">
      <alignment horizontal="center" vertical="center" wrapText="1"/>
    </xf>
    <xf numFmtId="0" fontId="0" fillId="7" borderId="2" xfId="0" applyFill="1" applyBorder="1" applyAlignment="1" applyProtection="1">
      <alignment vertical="top"/>
    </xf>
    <xf numFmtId="0" fontId="0" fillId="7" borderId="5" xfId="0" applyFill="1" applyBorder="1" applyAlignment="1" applyProtection="1">
      <alignment vertical="top"/>
    </xf>
    <xf numFmtId="0" fontId="0" fillId="7" borderId="3" xfId="0" applyFill="1" applyBorder="1" applyAlignment="1" applyProtection="1">
      <alignment vertical="top"/>
    </xf>
    <xf numFmtId="0" fontId="0" fillId="7" borderId="2" xfId="0" applyFill="1" applyBorder="1" applyAlignment="1" applyProtection="1">
      <alignment horizontal="center" vertical="center"/>
    </xf>
    <xf numFmtId="0" fontId="0" fillId="7" borderId="5" xfId="0" applyFill="1" applyBorder="1" applyAlignment="1" applyProtection="1">
      <alignment horizontal="center" vertical="center"/>
    </xf>
    <xf numFmtId="0" fontId="0" fillId="7" borderId="3" xfId="0" applyFill="1" applyBorder="1" applyAlignment="1" applyProtection="1">
      <alignment horizontal="center" vertical="center"/>
    </xf>
    <xf numFmtId="0" fontId="16" fillId="10" borderId="14" xfId="0" applyFont="1" applyFill="1" applyBorder="1" applyAlignment="1" applyProtection="1">
      <alignment horizontal="right" vertical="center" wrapText="1"/>
    </xf>
    <xf numFmtId="0" fontId="16" fillId="10" borderId="9" xfId="0" applyFont="1" applyFill="1" applyBorder="1" applyAlignment="1" applyProtection="1">
      <alignment horizontal="right" vertical="center" wrapText="1"/>
    </xf>
    <xf numFmtId="0" fontId="5" fillId="0" borderId="11" xfId="0" applyFont="1" applyBorder="1" applyAlignment="1" applyProtection="1">
      <alignment horizontal="right" vertical="center" wrapText="1"/>
    </xf>
    <xf numFmtId="0" fontId="5" fillId="0" borderId="13" xfId="0" applyFont="1" applyBorder="1" applyAlignment="1" applyProtection="1">
      <alignment horizontal="right" vertical="center" wrapText="1"/>
    </xf>
    <xf numFmtId="0" fontId="5" fillId="7" borderId="10" xfId="0" applyFont="1" applyFill="1" applyBorder="1" applyAlignment="1" applyProtection="1">
      <alignment horizontal="right" vertical="center" wrapText="1"/>
    </xf>
    <xf numFmtId="0" fontId="5" fillId="7" borderId="14" xfId="0" applyFont="1" applyFill="1" applyBorder="1" applyAlignment="1" applyProtection="1">
      <alignment horizontal="right" vertical="center" wrapText="1"/>
    </xf>
    <xf numFmtId="0" fontId="5" fillId="7" borderId="8" xfId="0" applyFont="1" applyFill="1" applyBorder="1" applyAlignment="1" applyProtection="1">
      <alignment horizontal="center" vertical="center" wrapText="1"/>
    </xf>
    <xf numFmtId="0" fontId="5" fillId="7" borderId="9" xfId="0" applyFont="1" applyFill="1" applyBorder="1" applyAlignment="1" applyProtection="1">
      <alignment horizontal="center" vertical="center" wrapText="1"/>
    </xf>
    <xf numFmtId="0" fontId="43" fillId="0" borderId="25" xfId="0" applyFont="1" applyBorder="1" applyAlignment="1" applyProtection="1">
      <alignment horizontal="center" vertical="center" wrapText="1"/>
    </xf>
    <xf numFmtId="0" fontId="43" fillId="0" borderId="0" xfId="0" applyFont="1" applyAlignment="1" applyProtection="1">
      <alignment horizontal="center" vertical="center" wrapText="1"/>
    </xf>
    <xf numFmtId="0" fontId="43" fillId="0" borderId="2" xfId="0" applyFont="1" applyBorder="1" applyAlignment="1" applyProtection="1">
      <alignment horizontal="center" vertical="center" wrapText="1"/>
    </xf>
    <xf numFmtId="0" fontId="43" fillId="0" borderId="5" xfId="0" applyFont="1" applyBorder="1" applyAlignment="1" applyProtection="1">
      <alignment horizontal="center" vertical="center" wrapText="1"/>
    </xf>
    <xf numFmtId="0" fontId="43" fillId="0" borderId="3" xfId="0" applyFont="1" applyBorder="1" applyAlignment="1" applyProtection="1">
      <alignment horizontal="center" vertical="center" wrapText="1"/>
    </xf>
    <xf numFmtId="0" fontId="43" fillId="0" borderId="32" xfId="0" applyFont="1" applyBorder="1" applyAlignment="1" applyProtection="1">
      <alignment horizontal="center" vertical="center" wrapText="1"/>
    </xf>
    <xf numFmtId="0" fontId="43" fillId="0" borderId="31" xfId="0" applyFont="1" applyBorder="1" applyAlignment="1" applyProtection="1">
      <alignment horizontal="center" vertical="center" wrapText="1"/>
    </xf>
    <xf numFmtId="0" fontId="43" fillId="0" borderId="43" xfId="0" applyFont="1" applyBorder="1" applyAlignment="1" applyProtection="1">
      <alignment horizontal="center" vertical="center" wrapText="1"/>
    </xf>
    <xf numFmtId="2" fontId="43" fillId="0" borderId="2" xfId="0" applyNumberFormat="1" applyFont="1" applyBorder="1" applyAlignment="1" applyProtection="1">
      <alignment horizontal="center" vertical="center" wrapText="1"/>
    </xf>
    <xf numFmtId="2" fontId="43" fillId="0" borderId="5" xfId="0" applyNumberFormat="1" applyFont="1" applyBorder="1" applyAlignment="1" applyProtection="1">
      <alignment horizontal="center" vertical="center" wrapText="1"/>
    </xf>
    <xf numFmtId="2" fontId="43" fillId="0" borderId="3" xfId="0" applyNumberFormat="1" applyFont="1" applyBorder="1" applyAlignment="1" applyProtection="1">
      <alignment horizontal="center" vertical="center" wrapText="1"/>
    </xf>
    <xf numFmtId="165" fontId="43" fillId="0" borderId="2" xfId="0" applyNumberFormat="1" applyFont="1" applyBorder="1" applyAlignment="1" applyProtection="1">
      <alignment horizontal="center" vertical="center" wrapText="1"/>
    </xf>
    <xf numFmtId="165" fontId="43" fillId="0" borderId="5" xfId="0" applyNumberFormat="1" applyFont="1" applyBorder="1" applyAlignment="1" applyProtection="1">
      <alignment horizontal="center" vertical="center" wrapText="1"/>
    </xf>
    <xf numFmtId="165" fontId="43" fillId="0" borderId="3" xfId="0" applyNumberFormat="1" applyFont="1" applyBorder="1" applyAlignment="1" applyProtection="1">
      <alignment horizontal="center" vertical="center" wrapText="1"/>
    </xf>
    <xf numFmtId="0" fontId="43" fillId="0" borderId="2" xfId="0" applyFont="1" applyBorder="1" applyAlignment="1" applyProtection="1">
      <alignment horizontal="center" vertical="center"/>
    </xf>
    <xf numFmtId="0" fontId="43" fillId="0" borderId="5" xfId="0"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Alignment="1" applyProtection="1">
      <alignment horizontal="left" vertical="center" wrapText="1"/>
    </xf>
    <xf numFmtId="0" fontId="43" fillId="0" borderId="30" xfId="0" applyFont="1" applyBorder="1" applyAlignment="1" applyProtection="1">
      <alignment horizontal="center" vertical="center" wrapText="1"/>
    </xf>
    <xf numFmtId="0" fontId="43" fillId="0" borderId="1" xfId="0" applyFont="1" applyBorder="1" applyAlignment="1" applyProtection="1">
      <alignment horizontal="center" vertical="center" wrapText="1"/>
    </xf>
    <xf numFmtId="0" fontId="43" fillId="0" borderId="20" xfId="0" applyFont="1" applyBorder="1" applyAlignment="1" applyProtection="1">
      <alignment horizontal="center" vertical="center" wrapText="1"/>
    </xf>
    <xf numFmtId="0" fontId="43" fillId="0" borderId="15" xfId="0" applyFont="1" applyBorder="1" applyAlignment="1" applyProtection="1">
      <alignment horizontal="center" vertical="center" wrapText="1"/>
    </xf>
    <xf numFmtId="0" fontId="43" fillId="0" borderId="17" xfId="0" applyFont="1" applyBorder="1" applyAlignment="1" applyProtection="1">
      <alignment horizontal="center" vertical="center" wrapText="1"/>
    </xf>
    <xf numFmtId="11" fontId="43" fillId="0" borderId="32" xfId="0" applyNumberFormat="1" applyFont="1" applyBorder="1" applyAlignment="1" applyProtection="1">
      <alignment horizontal="center" vertical="center" wrapText="1"/>
    </xf>
    <xf numFmtId="11" fontId="43" fillId="0" borderId="31" xfId="0" applyNumberFormat="1" applyFont="1" applyBorder="1" applyAlignment="1" applyProtection="1">
      <alignment horizontal="center" vertical="center" wrapText="1"/>
    </xf>
    <xf numFmtId="11" fontId="43" fillId="0" borderId="30" xfId="0" applyNumberFormat="1" applyFont="1" applyBorder="1" applyAlignment="1" applyProtection="1">
      <alignment horizontal="center" vertical="center" wrapText="1"/>
    </xf>
    <xf numFmtId="49" fontId="43" fillId="0" borderId="1" xfId="0" applyNumberFormat="1" applyFont="1" applyBorder="1" applyAlignment="1" applyProtection="1">
      <alignment horizontal="center" vertical="center" wrapText="1"/>
    </xf>
    <xf numFmtId="1" fontId="43" fillId="0" borderId="1" xfId="0" applyNumberFormat="1" applyFont="1" applyBorder="1" applyAlignment="1" applyProtection="1">
      <alignment horizontal="center" vertical="center" wrapText="1"/>
    </xf>
    <xf numFmtId="1" fontId="43" fillId="0" borderId="32" xfId="0" applyNumberFormat="1" applyFont="1" applyBorder="1" applyAlignment="1" applyProtection="1">
      <alignment horizontal="center" vertical="center" wrapText="1"/>
    </xf>
    <xf numFmtId="1" fontId="43" fillId="0" borderId="31" xfId="0" applyNumberFormat="1" applyFont="1" applyBorder="1" applyAlignment="1" applyProtection="1">
      <alignment horizontal="center" vertical="center" wrapText="1"/>
    </xf>
    <xf numFmtId="0" fontId="43" fillId="0" borderId="21" xfId="0" applyFont="1" applyBorder="1" applyAlignment="1" applyProtection="1">
      <alignment horizontal="center" vertical="center" wrapText="1"/>
    </xf>
    <xf numFmtId="0" fontId="43" fillId="0" borderId="16" xfId="0" applyFont="1" applyBorder="1" applyAlignment="1" applyProtection="1">
      <alignment horizontal="center" vertical="center" wrapText="1"/>
    </xf>
    <xf numFmtId="0" fontId="43" fillId="0" borderId="19" xfId="0" applyFont="1" applyBorder="1" applyAlignment="1" applyProtection="1">
      <alignment horizontal="center" vertical="center" wrapText="1"/>
    </xf>
    <xf numFmtId="1" fontId="43" fillId="0" borderId="30" xfId="0" applyNumberFormat="1" applyFont="1" applyBorder="1" applyAlignment="1" applyProtection="1">
      <alignment horizontal="center" vertical="center" wrapText="1"/>
    </xf>
    <xf numFmtId="165" fontId="43" fillId="0" borderId="32" xfId="0" applyNumberFormat="1" applyFont="1" applyBorder="1" applyAlignment="1" applyProtection="1">
      <alignment horizontal="center" vertical="center" wrapText="1"/>
    </xf>
    <xf numFmtId="165" fontId="43" fillId="0" borderId="31" xfId="0" applyNumberFormat="1" applyFont="1" applyBorder="1" applyAlignment="1" applyProtection="1">
      <alignment horizontal="center" vertical="center" wrapText="1"/>
    </xf>
    <xf numFmtId="165" fontId="43" fillId="0" borderId="30" xfId="0" applyNumberFormat="1" applyFont="1" applyBorder="1" applyAlignment="1" applyProtection="1">
      <alignment horizontal="center" vertical="center" wrapText="1"/>
    </xf>
    <xf numFmtId="49" fontId="43" fillId="0" borderId="32" xfId="0" applyNumberFormat="1" applyFont="1" applyBorder="1" applyAlignment="1" applyProtection="1">
      <alignment horizontal="center" vertical="center" wrapText="1"/>
    </xf>
    <xf numFmtId="49" fontId="43" fillId="0" borderId="31" xfId="0" applyNumberFormat="1" applyFont="1" applyBorder="1" applyAlignment="1" applyProtection="1">
      <alignment horizontal="center" vertical="center" wrapText="1"/>
    </xf>
    <xf numFmtId="49" fontId="43" fillId="0" borderId="30" xfId="0" applyNumberFormat="1" applyFont="1" applyBorder="1" applyAlignment="1" applyProtection="1">
      <alignment horizontal="center" vertical="center" wrapText="1"/>
    </xf>
    <xf numFmtId="0" fontId="43" fillId="0" borderId="42" xfId="0" applyFont="1" applyBorder="1" applyAlignment="1" applyProtection="1">
      <alignment horizontal="center" vertical="center" wrapText="1"/>
    </xf>
    <xf numFmtId="0" fontId="5" fillId="7" borderId="2" xfId="0" applyFont="1" applyFill="1" applyBorder="1" applyAlignment="1" applyProtection="1">
      <alignment horizontal="left" vertical="center"/>
    </xf>
    <xf numFmtId="0" fontId="5" fillId="7" borderId="5" xfId="0" applyFont="1" applyFill="1" applyBorder="1" applyAlignment="1" applyProtection="1">
      <alignment horizontal="left" vertical="center"/>
    </xf>
    <xf numFmtId="0" fontId="5" fillId="7" borderId="3" xfId="0" applyFont="1" applyFill="1" applyBorder="1" applyAlignment="1" applyProtection="1">
      <alignment horizontal="left" vertical="center"/>
    </xf>
    <xf numFmtId="0" fontId="0" fillId="7" borderId="5" xfId="0" applyFill="1" applyBorder="1" applyAlignment="1" applyProtection="1">
      <alignment horizontal="left" vertical="center"/>
    </xf>
    <xf numFmtId="0" fontId="0" fillId="7" borderId="3" xfId="0" applyFill="1" applyBorder="1" applyAlignment="1" applyProtection="1">
      <alignment horizontal="left" vertical="center"/>
    </xf>
    <xf numFmtId="0" fontId="16" fillId="10" borderId="10" xfId="0" applyFont="1" applyFill="1" applyBorder="1" applyAlignment="1" applyProtection="1">
      <alignment horizontal="center" vertical="center" wrapText="1"/>
    </xf>
    <xf numFmtId="0" fontId="16" fillId="10" borderId="8" xfId="0" applyFont="1" applyFill="1" applyBorder="1" applyAlignment="1" applyProtection="1">
      <alignment horizontal="center" vertical="center" wrapText="1"/>
    </xf>
    <xf numFmtId="0" fontId="0" fillId="3" borderId="1" xfId="0" applyFill="1" applyBorder="1" applyAlignment="1" applyProtection="1">
      <alignment horizontal="center" vertical="center" wrapText="1"/>
    </xf>
    <xf numFmtId="0" fontId="16" fillId="10" borderId="14" xfId="0" applyFont="1" applyFill="1" applyBorder="1" applyAlignment="1" applyProtection="1">
      <alignment horizontal="right" vertical="center"/>
    </xf>
    <xf numFmtId="0" fontId="16" fillId="10" borderId="0" xfId="0" applyFont="1" applyFill="1" applyAlignment="1" applyProtection="1">
      <alignment horizontal="right" vertical="center"/>
    </xf>
    <xf numFmtId="0" fontId="16" fillId="10" borderId="9" xfId="0" applyFont="1" applyFill="1" applyBorder="1" applyAlignment="1" applyProtection="1">
      <alignment horizontal="right" vertical="center"/>
    </xf>
    <xf numFmtId="0" fontId="16" fillId="10" borderId="11" xfId="0" applyFont="1" applyFill="1" applyBorder="1" applyAlignment="1" applyProtection="1">
      <alignment horizontal="right" vertical="center" wrapText="1"/>
    </xf>
    <xf numFmtId="0" fontId="16" fillId="10" borderId="12" xfId="0" applyFont="1" applyFill="1" applyBorder="1" applyAlignment="1" applyProtection="1">
      <alignment horizontal="right" vertical="center" wrapText="1"/>
    </xf>
    <xf numFmtId="0" fontId="16" fillId="10" borderId="13" xfId="0" applyFont="1" applyFill="1" applyBorder="1" applyAlignment="1" applyProtection="1">
      <alignment horizontal="right" vertical="center" wrapText="1"/>
    </xf>
    <xf numFmtId="0" fontId="5" fillId="7" borderId="1" xfId="0" applyFont="1" applyFill="1" applyBorder="1" applyAlignment="1" applyProtection="1">
      <alignment horizontal="left" vertical="center"/>
    </xf>
    <xf numFmtId="0" fontId="0" fillId="7" borderId="1" xfId="0" applyFill="1" applyBorder="1" applyAlignment="1" applyProtection="1">
      <alignment horizontal="center" vertical="center"/>
    </xf>
    <xf numFmtId="0" fontId="3" fillId="11" borderId="1" xfId="0" applyFont="1" applyFill="1" applyBorder="1" applyAlignment="1" applyProtection="1">
      <alignment horizontal="center" vertical="center"/>
    </xf>
    <xf numFmtId="0" fontId="9" fillId="14" borderId="22" xfId="0" applyFont="1" applyFill="1" applyBorder="1" applyAlignment="1" applyProtection="1">
      <alignment horizontal="center" vertical="center" wrapText="1"/>
    </xf>
    <xf numFmtId="0" fontId="9" fillId="14" borderId="0" xfId="0" applyFont="1" applyFill="1" applyAlignment="1" applyProtection="1">
      <alignment horizontal="center" vertical="center" wrapText="1"/>
    </xf>
    <xf numFmtId="0" fontId="9" fillId="14" borderId="12" xfId="0" applyFont="1" applyFill="1" applyBorder="1" applyAlignment="1" applyProtection="1">
      <alignment horizontal="center" vertical="center" wrapText="1"/>
    </xf>
    <xf numFmtId="0" fontId="3" fillId="11" borderId="1" xfId="0" applyFont="1" applyFill="1" applyBorder="1" applyAlignment="1" applyProtection="1">
      <alignment horizontal="left" vertical="center"/>
    </xf>
    <xf numFmtId="0" fontId="3" fillId="0" borderId="1" xfId="0" applyFont="1" applyBorder="1" applyAlignment="1" applyProtection="1">
      <alignment horizontal="center" vertical="center"/>
    </xf>
    <xf numFmtId="0" fontId="9" fillId="7" borderId="22" xfId="0" applyFont="1" applyFill="1" applyBorder="1" applyAlignment="1" applyProtection="1">
      <alignment horizontal="center" vertical="center" wrapText="1"/>
    </xf>
    <xf numFmtId="0" fontId="9" fillId="7" borderId="0" xfId="0" applyFont="1" applyFill="1" applyAlignment="1" applyProtection="1">
      <alignment horizontal="center" vertical="center" wrapText="1"/>
    </xf>
    <xf numFmtId="0" fontId="9" fillId="7" borderId="12" xfId="0" applyFont="1" applyFill="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3" fillId="0" borderId="14" xfId="0" applyFont="1" applyBorder="1" applyAlignment="1" applyProtection="1">
      <alignment horizontal="center" vertical="center" wrapText="1"/>
    </xf>
    <xf numFmtId="0" fontId="3" fillId="0" borderId="23" xfId="0" applyFont="1" applyBorder="1" applyAlignment="1" applyProtection="1">
      <alignment horizontal="center" vertical="center" wrapText="1"/>
    </xf>
    <xf numFmtId="0" fontId="3" fillId="0" borderId="22" xfId="0" applyFont="1" applyBorder="1" applyAlignment="1" applyProtection="1">
      <alignment horizontal="center" vertical="center" wrapText="1"/>
    </xf>
    <xf numFmtId="0" fontId="3" fillId="7" borderId="23" xfId="0" applyFont="1" applyFill="1" applyBorder="1" applyAlignment="1" applyProtection="1">
      <alignment horizontal="center" vertical="center" wrapText="1"/>
    </xf>
    <xf numFmtId="0" fontId="3" fillId="7" borderId="22" xfId="0" applyFont="1" applyFill="1" applyBorder="1" applyAlignment="1" applyProtection="1">
      <alignment horizontal="center" vertical="center" wrapText="1"/>
    </xf>
    <xf numFmtId="0" fontId="3" fillId="7" borderId="27" xfId="0" applyFont="1" applyFill="1" applyBorder="1" applyAlignment="1" applyProtection="1">
      <alignment horizontal="center" vertical="center" wrapText="1"/>
    </xf>
    <xf numFmtId="0" fontId="3" fillId="0" borderId="23" xfId="0" applyFont="1" applyBorder="1" applyAlignment="1" applyProtection="1">
      <alignment horizontal="center" vertical="center"/>
    </xf>
    <xf numFmtId="0" fontId="3" fillId="0" borderId="22" xfId="0" applyFont="1" applyBorder="1" applyAlignment="1" applyProtection="1">
      <alignment horizontal="center" vertical="center"/>
    </xf>
    <xf numFmtId="0" fontId="3" fillId="0" borderId="27" xfId="0" applyFont="1" applyBorder="1" applyAlignment="1" applyProtection="1">
      <alignment horizontal="center" vertical="center"/>
    </xf>
    <xf numFmtId="0" fontId="3" fillId="0" borderId="27"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0" xfId="0" applyFont="1" applyAlignment="1" applyProtection="1">
      <alignment horizontal="center" vertical="center" wrapText="1"/>
    </xf>
    <xf numFmtId="0" fontId="3" fillId="20" borderId="37" xfId="0" applyFont="1" applyFill="1" applyBorder="1" applyAlignment="1" applyProtection="1">
      <alignment horizontal="center" vertical="center" wrapText="1"/>
    </xf>
    <xf numFmtId="0" fontId="3" fillId="20" borderId="36" xfId="0" applyFont="1" applyFill="1" applyBorder="1" applyAlignment="1" applyProtection="1">
      <alignment horizontal="center" vertical="center" wrapText="1"/>
    </xf>
    <xf numFmtId="0" fontId="3" fillId="20" borderId="35" xfId="0" applyFont="1" applyFill="1" applyBorder="1" applyAlignment="1" applyProtection="1">
      <alignment horizontal="center" vertical="center" wrapText="1"/>
    </xf>
    <xf numFmtId="0" fontId="0" fillId="0" borderId="0" xfId="0" applyAlignment="1" applyProtection="1">
      <alignment horizontal="center" vertical="center"/>
    </xf>
    <xf numFmtId="0" fontId="3" fillId="0" borderId="8" xfId="0" applyFont="1" applyBorder="1" applyAlignment="1" applyProtection="1">
      <alignment horizontal="center" vertical="center" wrapText="1"/>
    </xf>
    <xf numFmtId="0" fontId="3" fillId="0" borderId="18" xfId="0" applyFont="1" applyBorder="1" applyAlignment="1" applyProtection="1">
      <alignment horizontal="center" wrapText="1"/>
    </xf>
    <xf numFmtId="0" fontId="0" fillId="0" borderId="18" xfId="0" applyBorder="1" applyAlignment="1" applyProtection="1">
      <alignment horizontal="center" wrapText="1"/>
    </xf>
    <xf numFmtId="0" fontId="14" fillId="24" borderId="0" xfId="0" applyFont="1" applyFill="1" applyAlignment="1" applyProtection="1">
      <alignment horizontal="center" vertical="center"/>
    </xf>
    <xf numFmtId="0" fontId="20" fillId="24" borderId="0" xfId="0" applyFont="1" applyFill="1" applyAlignment="1" applyProtection="1">
      <alignment horizontal="center"/>
    </xf>
    <xf numFmtId="0" fontId="3" fillId="0" borderId="0" xfId="0" applyFont="1" applyAlignment="1" applyProtection="1">
      <alignment horizontal="center"/>
    </xf>
    <xf numFmtId="0" fontId="0" fillId="0" borderId="0" xfId="0" applyProtection="1"/>
    <xf numFmtId="0" fontId="14" fillId="24" borderId="0" xfId="0" applyFont="1" applyFill="1" applyAlignment="1" applyProtection="1">
      <alignment horizontal="left" vertical="center"/>
    </xf>
    <xf numFmtId="0" fontId="20" fillId="24" borderId="0" xfId="0" applyFont="1" applyFill="1" applyAlignment="1" applyProtection="1">
      <alignment horizontal="left"/>
    </xf>
    <xf numFmtId="0" fontId="3" fillId="0" borderId="55" xfId="0" applyFont="1" applyBorder="1" applyAlignment="1" applyProtection="1">
      <alignment horizontal="center" wrapText="1"/>
    </xf>
    <xf numFmtId="0" fontId="3" fillId="0" borderId="25" xfId="0" applyFont="1" applyBorder="1" applyAlignment="1" applyProtection="1">
      <alignment horizontal="center" wrapText="1"/>
    </xf>
    <xf numFmtId="0" fontId="3" fillId="0" borderId="53" xfId="0" applyFont="1" applyBorder="1" applyAlignment="1" applyProtection="1">
      <alignment horizontal="center" wrapText="1"/>
    </xf>
    <xf numFmtId="0" fontId="3" fillId="0" borderId="21" xfId="0" applyFont="1" applyBorder="1" applyAlignment="1" applyProtection="1">
      <alignment horizontal="center" wrapText="1"/>
    </xf>
    <xf numFmtId="0" fontId="17" fillId="9" borderId="0" xfId="0" applyFont="1" applyFill="1" applyProtection="1"/>
    <xf numFmtId="0" fontId="0" fillId="9" borderId="0" xfId="0" applyFill="1" applyProtection="1"/>
    <xf numFmtId="0" fontId="88" fillId="9" borderId="0" xfId="0" applyFont="1" applyFill="1" applyAlignment="1" applyProtection="1">
      <alignment horizontal="center"/>
    </xf>
    <xf numFmtId="17" fontId="88" fillId="9" borderId="0" xfId="0" quotePrefix="1" applyNumberFormat="1" applyFont="1" applyFill="1" applyAlignment="1" applyProtection="1">
      <alignment horizontal="center"/>
    </xf>
    <xf numFmtId="0" fontId="89" fillId="9" borderId="0" xfId="0" applyFont="1" applyFill="1" applyAlignment="1" applyProtection="1">
      <alignment horizontal="center" vertical="center" wrapText="1"/>
    </xf>
    <xf numFmtId="0" fontId="74" fillId="9" borderId="0" xfId="0" applyFont="1" applyFill="1" applyAlignment="1" applyProtection="1">
      <alignment horizontal="center" vertical="center" wrapText="1"/>
    </xf>
    <xf numFmtId="49" fontId="75" fillId="9" borderId="0" xfId="0" quotePrefix="1" applyNumberFormat="1" applyFont="1" applyFill="1" applyAlignment="1" applyProtection="1">
      <alignment horizontal="center"/>
    </xf>
  </cellXfs>
  <cellStyles count="3">
    <cellStyle name="Hyperlink" xfId="1" builtinId="8"/>
    <cellStyle name="Normal" xfId="0" builtinId="0"/>
    <cellStyle name="Normal 3" xfId="2" xr:uid="{D535AC2A-3A1E-42BC-A38C-69D1CA1EE69E}"/>
  </cellStyles>
  <dxfs count="2">
    <dxf>
      <font>
        <color rgb="FF9C0006"/>
      </font>
      <fill>
        <patternFill>
          <bgColor rgb="FFFFC7CE"/>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 Type="http://schemas.openxmlformats.org/officeDocument/2006/relationships/image" Target="../media/image6.png"/><Relationship Id="rId21" Type="http://schemas.openxmlformats.org/officeDocument/2006/relationships/image" Target="../media/image24.png"/><Relationship Id="rId34" Type="http://schemas.openxmlformats.org/officeDocument/2006/relationships/image" Target="../media/image37.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33" Type="http://schemas.openxmlformats.org/officeDocument/2006/relationships/image" Target="../media/image36.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29" Type="http://schemas.openxmlformats.org/officeDocument/2006/relationships/image" Target="../media/image32.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5.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34.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38.png"/><Relationship Id="rId8"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46.png"/><Relationship Id="rId3" Type="http://schemas.openxmlformats.org/officeDocument/2006/relationships/image" Target="../media/image41.png"/><Relationship Id="rId7" Type="http://schemas.openxmlformats.org/officeDocument/2006/relationships/image" Target="../media/image45.png"/><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44.png"/><Relationship Id="rId11" Type="http://schemas.openxmlformats.org/officeDocument/2006/relationships/image" Target="../media/image49.png"/><Relationship Id="rId5" Type="http://schemas.openxmlformats.org/officeDocument/2006/relationships/image" Target="../media/image43.png"/><Relationship Id="rId10" Type="http://schemas.openxmlformats.org/officeDocument/2006/relationships/image" Target="../media/image48.png"/><Relationship Id="rId4" Type="http://schemas.openxmlformats.org/officeDocument/2006/relationships/image" Target="../media/image42.png"/><Relationship Id="rId9" Type="http://schemas.openxmlformats.org/officeDocument/2006/relationships/image" Target="../media/image47.png"/></Relationships>
</file>

<file path=xl/drawings/_rels/drawing4.xml.rels><?xml version="1.0" encoding="UTF-8" standalone="yes"?>
<Relationships xmlns="http://schemas.openxmlformats.org/package/2006/relationships"><Relationship Id="rId8" Type="http://schemas.openxmlformats.org/officeDocument/2006/relationships/image" Target="../media/image57.png"/><Relationship Id="rId3" Type="http://schemas.openxmlformats.org/officeDocument/2006/relationships/image" Target="../media/image52.png"/><Relationship Id="rId7" Type="http://schemas.openxmlformats.org/officeDocument/2006/relationships/image" Target="../media/image56.png"/><Relationship Id="rId2" Type="http://schemas.openxmlformats.org/officeDocument/2006/relationships/image" Target="../media/image51.png"/><Relationship Id="rId1" Type="http://schemas.openxmlformats.org/officeDocument/2006/relationships/image" Target="../media/image50.png"/><Relationship Id="rId6" Type="http://schemas.openxmlformats.org/officeDocument/2006/relationships/image" Target="../media/image55.png"/><Relationship Id="rId5" Type="http://schemas.openxmlformats.org/officeDocument/2006/relationships/image" Target="../media/image54.png"/><Relationship Id="rId4" Type="http://schemas.openxmlformats.org/officeDocument/2006/relationships/image" Target="../media/image5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8.png"/></Relationships>
</file>

<file path=xl/drawings/_rels/drawing6.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59.png"/></Relationships>
</file>

<file path=xl/drawings/drawing1.xml><?xml version="1.0" encoding="utf-8"?>
<xdr:wsDr xmlns:xdr="http://schemas.openxmlformats.org/drawingml/2006/spreadsheetDrawing" xmlns:a="http://schemas.openxmlformats.org/drawingml/2006/main">
  <xdr:oneCellAnchor>
    <xdr:from>
      <xdr:col>0</xdr:col>
      <xdr:colOff>0</xdr:colOff>
      <xdr:row>18</xdr:row>
      <xdr:rowOff>0</xdr:rowOff>
    </xdr:from>
    <xdr:ext cx="4051300" cy="629179"/>
    <xdr:pic>
      <xdr:nvPicPr>
        <xdr:cNvPr id="4" name="Picture 3">
          <a:extLst>
            <a:ext uri="{FF2B5EF4-FFF2-40B4-BE49-F238E27FC236}">
              <a16:creationId xmlns:a16="http://schemas.microsoft.com/office/drawing/2014/main" id="{441377F6-86A5-4259-8554-F6239B658ED3}"/>
            </a:ext>
          </a:extLst>
        </xdr:cNvPr>
        <xdr:cNvPicPr>
          <a:picLocks noChangeAspect="1"/>
        </xdr:cNvPicPr>
      </xdr:nvPicPr>
      <xdr:blipFill>
        <a:blip xmlns:r="http://schemas.openxmlformats.org/officeDocument/2006/relationships" r:embed="rId1"/>
        <a:stretch>
          <a:fillRect/>
        </a:stretch>
      </xdr:blipFill>
      <xdr:spPr>
        <a:xfrm>
          <a:off x="0" y="3496235"/>
          <a:ext cx="4051300" cy="629179"/>
        </a:xfrm>
        <a:prstGeom prst="rect">
          <a:avLst/>
        </a:prstGeom>
      </xdr:spPr>
    </xdr:pic>
    <xdr:clientData/>
  </xdr:oneCellAnchor>
  <xdr:oneCellAnchor>
    <xdr:from>
      <xdr:col>6</xdr:col>
      <xdr:colOff>0</xdr:colOff>
      <xdr:row>19</xdr:row>
      <xdr:rowOff>0</xdr:rowOff>
    </xdr:from>
    <xdr:ext cx="5124450" cy="619125"/>
    <xdr:pic>
      <xdr:nvPicPr>
        <xdr:cNvPr id="5" name="Picture 4">
          <a:extLst>
            <a:ext uri="{FF2B5EF4-FFF2-40B4-BE49-F238E27FC236}">
              <a16:creationId xmlns:a16="http://schemas.microsoft.com/office/drawing/2014/main" id="{787159D2-B0F8-4703-B343-6318B54C2BA0}"/>
            </a:ext>
            <a:ext uri="{147F2762-F138-4A5C-976F-8EAC2B608ADB}">
              <a16:predDERef xmlns:a16="http://schemas.microsoft.com/office/drawing/2014/main" pred="{93CDF9B6-8941-49C2-AC44-3E74DFD1B7DD}"/>
            </a:ext>
          </a:extLst>
        </xdr:cNvPr>
        <xdr:cNvPicPr>
          <a:picLocks noChangeAspect="1"/>
        </xdr:cNvPicPr>
      </xdr:nvPicPr>
      <xdr:blipFill>
        <a:blip xmlns:r="http://schemas.openxmlformats.org/officeDocument/2006/relationships" r:embed="rId2"/>
        <a:stretch>
          <a:fillRect/>
        </a:stretch>
      </xdr:blipFill>
      <xdr:spPr>
        <a:xfrm>
          <a:off x="7227794" y="3675529"/>
          <a:ext cx="5124450" cy="619125"/>
        </a:xfrm>
        <a:prstGeom prst="rect">
          <a:avLst/>
        </a:prstGeom>
      </xdr:spPr>
    </xdr:pic>
    <xdr:clientData/>
  </xdr:oneCellAnchor>
  <xdr:twoCellAnchor editAs="oneCell">
    <xdr:from>
      <xdr:col>12</xdr:col>
      <xdr:colOff>593912</xdr:colOff>
      <xdr:row>17</xdr:row>
      <xdr:rowOff>78441</xdr:rowOff>
    </xdr:from>
    <xdr:to>
      <xdr:col>19</xdr:col>
      <xdr:colOff>334830</xdr:colOff>
      <xdr:row>19</xdr:row>
      <xdr:rowOff>39750</xdr:rowOff>
    </xdr:to>
    <xdr:pic>
      <xdr:nvPicPr>
        <xdr:cNvPr id="6" name="Picture 5">
          <a:extLst>
            <a:ext uri="{FF2B5EF4-FFF2-40B4-BE49-F238E27FC236}">
              <a16:creationId xmlns:a16="http://schemas.microsoft.com/office/drawing/2014/main" id="{87D07251-CEB9-4C21-AA42-088567B4F4EA}"/>
            </a:ext>
          </a:extLst>
        </xdr:cNvPr>
        <xdr:cNvPicPr>
          <a:picLocks noChangeAspect="1"/>
        </xdr:cNvPicPr>
      </xdr:nvPicPr>
      <xdr:blipFill>
        <a:blip xmlns:r="http://schemas.openxmlformats.org/officeDocument/2006/relationships" r:embed="rId3"/>
        <a:stretch>
          <a:fillRect/>
        </a:stretch>
      </xdr:blipFill>
      <xdr:spPr>
        <a:xfrm>
          <a:off x="13413441" y="3395382"/>
          <a:ext cx="5973070" cy="3198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19050</xdr:colOff>
      <xdr:row>2</xdr:row>
      <xdr:rowOff>66675</xdr:rowOff>
    </xdr:from>
    <xdr:to>
      <xdr:col>15</xdr:col>
      <xdr:colOff>1524000</xdr:colOff>
      <xdr:row>2</xdr:row>
      <xdr:rowOff>1266825</xdr:rowOff>
    </xdr:to>
    <xdr:pic>
      <xdr:nvPicPr>
        <xdr:cNvPr id="2" name="Picture 1">
          <a:extLst>
            <a:ext uri="{FF2B5EF4-FFF2-40B4-BE49-F238E27FC236}">
              <a16:creationId xmlns:a16="http://schemas.microsoft.com/office/drawing/2014/main" id="{DF9C7720-00C5-AA9A-C0F1-9152F59FF9CA}"/>
            </a:ext>
          </a:extLst>
        </xdr:cNvPr>
        <xdr:cNvPicPr>
          <a:picLocks noChangeAspect="1"/>
        </xdr:cNvPicPr>
      </xdr:nvPicPr>
      <xdr:blipFill>
        <a:blip xmlns:r="http://schemas.openxmlformats.org/officeDocument/2006/relationships" r:embed="rId1"/>
        <a:stretch>
          <a:fillRect/>
        </a:stretch>
      </xdr:blipFill>
      <xdr:spPr>
        <a:xfrm>
          <a:off x="25317450" y="1457325"/>
          <a:ext cx="1504950" cy="1200150"/>
        </a:xfrm>
        <a:prstGeom prst="rect">
          <a:avLst/>
        </a:prstGeom>
      </xdr:spPr>
    </xdr:pic>
    <xdr:clientData/>
  </xdr:twoCellAnchor>
  <xdr:twoCellAnchor>
    <xdr:from>
      <xdr:col>15</xdr:col>
      <xdr:colOff>38100</xdr:colOff>
      <xdr:row>1</xdr:row>
      <xdr:rowOff>38101</xdr:rowOff>
    </xdr:from>
    <xdr:to>
      <xdr:col>15</xdr:col>
      <xdr:colOff>727451</xdr:colOff>
      <xdr:row>1</xdr:row>
      <xdr:rowOff>904875</xdr:rowOff>
    </xdr:to>
    <xdr:pic>
      <xdr:nvPicPr>
        <xdr:cNvPr id="3" name="Picture 2">
          <a:extLst>
            <a:ext uri="{FF2B5EF4-FFF2-40B4-BE49-F238E27FC236}">
              <a16:creationId xmlns:a16="http://schemas.microsoft.com/office/drawing/2014/main" id="{0D5639EE-956E-40EC-0FED-895C463CF072}"/>
            </a:ext>
          </a:extLst>
        </xdr:cNvPr>
        <xdr:cNvPicPr>
          <a:picLocks noChangeAspect="1"/>
        </xdr:cNvPicPr>
      </xdr:nvPicPr>
      <xdr:blipFill>
        <a:blip xmlns:r="http://schemas.openxmlformats.org/officeDocument/2006/relationships" r:embed="rId2"/>
        <a:stretch>
          <a:fillRect/>
        </a:stretch>
      </xdr:blipFill>
      <xdr:spPr>
        <a:xfrm>
          <a:off x="25336500" y="457201"/>
          <a:ext cx="689351" cy="866774"/>
        </a:xfrm>
        <a:prstGeom prst="rect">
          <a:avLst/>
        </a:prstGeom>
      </xdr:spPr>
    </xdr:pic>
    <xdr:clientData/>
  </xdr:twoCellAnchor>
  <xdr:twoCellAnchor editAs="oneCell">
    <xdr:from>
      <xdr:col>15</xdr:col>
      <xdr:colOff>1</xdr:colOff>
      <xdr:row>3</xdr:row>
      <xdr:rowOff>47626</xdr:rowOff>
    </xdr:from>
    <xdr:to>
      <xdr:col>15</xdr:col>
      <xdr:colOff>1628169</xdr:colOff>
      <xdr:row>3</xdr:row>
      <xdr:rowOff>942976</xdr:rowOff>
    </xdr:to>
    <xdr:pic>
      <xdr:nvPicPr>
        <xdr:cNvPr id="4" name="Picture 3">
          <a:extLst>
            <a:ext uri="{FF2B5EF4-FFF2-40B4-BE49-F238E27FC236}">
              <a16:creationId xmlns:a16="http://schemas.microsoft.com/office/drawing/2014/main" id="{52B4527D-95F9-88E4-39E3-7B9968AE4FB8}"/>
            </a:ext>
          </a:extLst>
        </xdr:cNvPr>
        <xdr:cNvPicPr>
          <a:picLocks noChangeAspect="1"/>
        </xdr:cNvPicPr>
      </xdr:nvPicPr>
      <xdr:blipFill>
        <a:blip xmlns:r="http://schemas.openxmlformats.org/officeDocument/2006/relationships" r:embed="rId3"/>
        <a:stretch>
          <a:fillRect/>
        </a:stretch>
      </xdr:blipFill>
      <xdr:spPr>
        <a:xfrm>
          <a:off x="25298401" y="2733676"/>
          <a:ext cx="1628168" cy="895350"/>
        </a:xfrm>
        <a:prstGeom prst="rect">
          <a:avLst/>
        </a:prstGeom>
      </xdr:spPr>
    </xdr:pic>
    <xdr:clientData/>
  </xdr:twoCellAnchor>
  <xdr:twoCellAnchor editAs="oneCell">
    <xdr:from>
      <xdr:col>15</xdr:col>
      <xdr:colOff>29370</xdr:colOff>
      <xdr:row>5</xdr:row>
      <xdr:rowOff>19049</xdr:rowOff>
    </xdr:from>
    <xdr:to>
      <xdr:col>15</xdr:col>
      <xdr:colOff>734235</xdr:colOff>
      <xdr:row>5</xdr:row>
      <xdr:rowOff>896370</xdr:rowOff>
    </xdr:to>
    <xdr:pic>
      <xdr:nvPicPr>
        <xdr:cNvPr id="5" name="Picture 4">
          <a:extLst>
            <a:ext uri="{FF2B5EF4-FFF2-40B4-BE49-F238E27FC236}">
              <a16:creationId xmlns:a16="http://schemas.microsoft.com/office/drawing/2014/main" id="{1037C887-AC9E-874A-7344-C7F5BB9B246C}"/>
            </a:ext>
          </a:extLst>
        </xdr:cNvPr>
        <xdr:cNvPicPr>
          <a:picLocks noChangeAspect="1"/>
        </xdr:cNvPicPr>
      </xdr:nvPicPr>
      <xdr:blipFill rotWithShape="1">
        <a:blip xmlns:r="http://schemas.openxmlformats.org/officeDocument/2006/relationships" r:embed="rId4"/>
        <a:srcRect t="1302"/>
        <a:stretch/>
      </xdr:blipFill>
      <xdr:spPr>
        <a:xfrm>
          <a:off x="25327770" y="5772149"/>
          <a:ext cx="704865" cy="877321"/>
        </a:xfrm>
        <a:prstGeom prst="rect">
          <a:avLst/>
        </a:prstGeom>
      </xdr:spPr>
    </xdr:pic>
    <xdr:clientData/>
  </xdr:twoCellAnchor>
  <xdr:twoCellAnchor editAs="oneCell">
    <xdr:from>
      <xdr:col>15</xdr:col>
      <xdr:colOff>28576</xdr:colOff>
      <xdr:row>7</xdr:row>
      <xdr:rowOff>76200</xdr:rowOff>
    </xdr:from>
    <xdr:to>
      <xdr:col>15</xdr:col>
      <xdr:colOff>1049504</xdr:colOff>
      <xdr:row>7</xdr:row>
      <xdr:rowOff>904875</xdr:rowOff>
    </xdr:to>
    <xdr:pic>
      <xdr:nvPicPr>
        <xdr:cNvPr id="6" name="Picture 5">
          <a:extLst>
            <a:ext uri="{FF2B5EF4-FFF2-40B4-BE49-F238E27FC236}">
              <a16:creationId xmlns:a16="http://schemas.microsoft.com/office/drawing/2014/main" id="{ACF81205-0525-3576-3A6F-5302393A4C1F}"/>
            </a:ext>
          </a:extLst>
        </xdr:cNvPr>
        <xdr:cNvPicPr>
          <a:picLocks noChangeAspect="1"/>
        </xdr:cNvPicPr>
      </xdr:nvPicPr>
      <xdr:blipFill>
        <a:blip xmlns:r="http://schemas.openxmlformats.org/officeDocument/2006/relationships" r:embed="rId5"/>
        <a:stretch>
          <a:fillRect/>
        </a:stretch>
      </xdr:blipFill>
      <xdr:spPr>
        <a:xfrm>
          <a:off x="25326976" y="7448550"/>
          <a:ext cx="1020928" cy="828675"/>
        </a:xfrm>
        <a:prstGeom prst="rect">
          <a:avLst/>
        </a:prstGeom>
      </xdr:spPr>
    </xdr:pic>
    <xdr:clientData/>
  </xdr:twoCellAnchor>
  <xdr:twoCellAnchor editAs="oneCell">
    <xdr:from>
      <xdr:col>15</xdr:col>
      <xdr:colOff>38101</xdr:colOff>
      <xdr:row>8</xdr:row>
      <xdr:rowOff>47626</xdr:rowOff>
    </xdr:from>
    <xdr:to>
      <xdr:col>15</xdr:col>
      <xdr:colOff>1295401</xdr:colOff>
      <xdr:row>8</xdr:row>
      <xdr:rowOff>890474</xdr:rowOff>
    </xdr:to>
    <xdr:pic>
      <xdr:nvPicPr>
        <xdr:cNvPr id="7" name="Picture 6">
          <a:extLst>
            <a:ext uri="{FF2B5EF4-FFF2-40B4-BE49-F238E27FC236}">
              <a16:creationId xmlns:a16="http://schemas.microsoft.com/office/drawing/2014/main" id="{35FA1D1D-3599-6244-979D-A2E26168E63E}"/>
            </a:ext>
          </a:extLst>
        </xdr:cNvPr>
        <xdr:cNvPicPr>
          <a:picLocks noChangeAspect="1"/>
        </xdr:cNvPicPr>
      </xdr:nvPicPr>
      <xdr:blipFill>
        <a:blip xmlns:r="http://schemas.openxmlformats.org/officeDocument/2006/relationships" r:embed="rId6"/>
        <a:stretch>
          <a:fillRect/>
        </a:stretch>
      </xdr:blipFill>
      <xdr:spPr>
        <a:xfrm>
          <a:off x="25336501" y="8391526"/>
          <a:ext cx="1257300" cy="842848"/>
        </a:xfrm>
        <a:prstGeom prst="rect">
          <a:avLst/>
        </a:prstGeom>
      </xdr:spPr>
    </xdr:pic>
    <xdr:clientData/>
  </xdr:twoCellAnchor>
  <xdr:twoCellAnchor editAs="oneCell">
    <xdr:from>
      <xdr:col>15</xdr:col>
      <xdr:colOff>27737</xdr:colOff>
      <xdr:row>9</xdr:row>
      <xdr:rowOff>38099</xdr:rowOff>
    </xdr:from>
    <xdr:to>
      <xdr:col>15</xdr:col>
      <xdr:colOff>649164</xdr:colOff>
      <xdr:row>10</xdr:row>
      <xdr:rowOff>1195</xdr:rowOff>
    </xdr:to>
    <xdr:pic>
      <xdr:nvPicPr>
        <xdr:cNvPr id="8" name="Picture 7">
          <a:extLst>
            <a:ext uri="{FF2B5EF4-FFF2-40B4-BE49-F238E27FC236}">
              <a16:creationId xmlns:a16="http://schemas.microsoft.com/office/drawing/2014/main" id="{187A86FB-3C69-A5BD-9770-A1BF7A18F17B}"/>
            </a:ext>
          </a:extLst>
        </xdr:cNvPr>
        <xdr:cNvPicPr>
          <a:picLocks noChangeAspect="1"/>
        </xdr:cNvPicPr>
      </xdr:nvPicPr>
      <xdr:blipFill>
        <a:blip xmlns:r="http://schemas.openxmlformats.org/officeDocument/2006/relationships" r:embed="rId7"/>
        <a:stretch>
          <a:fillRect/>
        </a:stretch>
      </xdr:blipFill>
      <xdr:spPr>
        <a:xfrm>
          <a:off x="25326137" y="9353549"/>
          <a:ext cx="621427" cy="448871"/>
        </a:xfrm>
        <a:prstGeom prst="rect">
          <a:avLst/>
        </a:prstGeom>
      </xdr:spPr>
    </xdr:pic>
    <xdr:clientData/>
  </xdr:twoCellAnchor>
  <xdr:twoCellAnchor editAs="oneCell">
    <xdr:from>
      <xdr:col>15</xdr:col>
      <xdr:colOff>47625</xdr:colOff>
      <xdr:row>10</xdr:row>
      <xdr:rowOff>411242</xdr:rowOff>
    </xdr:from>
    <xdr:to>
      <xdr:col>15</xdr:col>
      <xdr:colOff>1656743</xdr:colOff>
      <xdr:row>10</xdr:row>
      <xdr:rowOff>1076325</xdr:rowOff>
    </xdr:to>
    <xdr:pic>
      <xdr:nvPicPr>
        <xdr:cNvPr id="9" name="Picture 8">
          <a:extLst>
            <a:ext uri="{FF2B5EF4-FFF2-40B4-BE49-F238E27FC236}">
              <a16:creationId xmlns:a16="http://schemas.microsoft.com/office/drawing/2014/main" id="{BA908CB3-2A23-39AA-FC23-B63D56BF9161}"/>
            </a:ext>
          </a:extLst>
        </xdr:cNvPr>
        <xdr:cNvPicPr>
          <a:picLocks noChangeAspect="1"/>
        </xdr:cNvPicPr>
      </xdr:nvPicPr>
      <xdr:blipFill>
        <a:blip xmlns:r="http://schemas.openxmlformats.org/officeDocument/2006/relationships" r:embed="rId8"/>
        <a:stretch>
          <a:fillRect/>
        </a:stretch>
      </xdr:blipFill>
      <xdr:spPr>
        <a:xfrm>
          <a:off x="25346025" y="10212467"/>
          <a:ext cx="1609118" cy="665083"/>
        </a:xfrm>
        <a:prstGeom prst="rect">
          <a:avLst/>
        </a:prstGeom>
      </xdr:spPr>
    </xdr:pic>
    <xdr:clientData/>
  </xdr:twoCellAnchor>
  <xdr:twoCellAnchor editAs="oneCell">
    <xdr:from>
      <xdr:col>15</xdr:col>
      <xdr:colOff>83922</xdr:colOff>
      <xdr:row>11</xdr:row>
      <xdr:rowOff>114299</xdr:rowOff>
    </xdr:from>
    <xdr:to>
      <xdr:col>15</xdr:col>
      <xdr:colOff>1613073</xdr:colOff>
      <xdr:row>11</xdr:row>
      <xdr:rowOff>742950</xdr:rowOff>
    </xdr:to>
    <xdr:pic>
      <xdr:nvPicPr>
        <xdr:cNvPr id="11" name="Picture 10">
          <a:extLst>
            <a:ext uri="{FF2B5EF4-FFF2-40B4-BE49-F238E27FC236}">
              <a16:creationId xmlns:a16="http://schemas.microsoft.com/office/drawing/2014/main" id="{0A8ECDE5-4B35-27F4-E07C-F0AD9CC14CE3}"/>
            </a:ext>
          </a:extLst>
        </xdr:cNvPr>
        <xdr:cNvPicPr>
          <a:picLocks noChangeAspect="1"/>
        </xdr:cNvPicPr>
      </xdr:nvPicPr>
      <xdr:blipFill>
        <a:blip xmlns:r="http://schemas.openxmlformats.org/officeDocument/2006/relationships" r:embed="rId9"/>
        <a:stretch>
          <a:fillRect/>
        </a:stretch>
      </xdr:blipFill>
      <xdr:spPr>
        <a:xfrm>
          <a:off x="25382322" y="11534774"/>
          <a:ext cx="1529151" cy="628651"/>
        </a:xfrm>
        <a:prstGeom prst="rect">
          <a:avLst/>
        </a:prstGeom>
      </xdr:spPr>
    </xdr:pic>
    <xdr:clientData/>
  </xdr:twoCellAnchor>
  <xdr:twoCellAnchor editAs="oneCell">
    <xdr:from>
      <xdr:col>15</xdr:col>
      <xdr:colOff>76200</xdr:colOff>
      <xdr:row>12</xdr:row>
      <xdr:rowOff>66786</xdr:rowOff>
    </xdr:from>
    <xdr:to>
      <xdr:col>15</xdr:col>
      <xdr:colOff>1285875</xdr:colOff>
      <xdr:row>12</xdr:row>
      <xdr:rowOff>608833</xdr:rowOff>
    </xdr:to>
    <xdr:pic>
      <xdr:nvPicPr>
        <xdr:cNvPr id="12" name="Picture 11">
          <a:extLst>
            <a:ext uri="{FF2B5EF4-FFF2-40B4-BE49-F238E27FC236}">
              <a16:creationId xmlns:a16="http://schemas.microsoft.com/office/drawing/2014/main" id="{E7377C4C-E944-1599-15FF-149599BB4C1B}"/>
            </a:ext>
          </a:extLst>
        </xdr:cNvPr>
        <xdr:cNvPicPr>
          <a:picLocks noChangeAspect="1"/>
        </xdr:cNvPicPr>
      </xdr:nvPicPr>
      <xdr:blipFill>
        <a:blip xmlns:r="http://schemas.openxmlformats.org/officeDocument/2006/relationships" r:embed="rId10"/>
        <a:stretch>
          <a:fillRect/>
        </a:stretch>
      </xdr:blipFill>
      <xdr:spPr>
        <a:xfrm>
          <a:off x="25374600" y="12296886"/>
          <a:ext cx="1209675" cy="542047"/>
        </a:xfrm>
        <a:prstGeom prst="rect">
          <a:avLst/>
        </a:prstGeom>
      </xdr:spPr>
    </xdr:pic>
    <xdr:clientData/>
  </xdr:twoCellAnchor>
  <xdr:twoCellAnchor editAs="oneCell">
    <xdr:from>
      <xdr:col>15</xdr:col>
      <xdr:colOff>47624</xdr:colOff>
      <xdr:row>13</xdr:row>
      <xdr:rowOff>76200</xdr:rowOff>
    </xdr:from>
    <xdr:to>
      <xdr:col>15</xdr:col>
      <xdr:colOff>1657350</xdr:colOff>
      <xdr:row>13</xdr:row>
      <xdr:rowOff>741120</xdr:rowOff>
    </xdr:to>
    <xdr:pic>
      <xdr:nvPicPr>
        <xdr:cNvPr id="13" name="Picture 12">
          <a:extLst>
            <a:ext uri="{FF2B5EF4-FFF2-40B4-BE49-F238E27FC236}">
              <a16:creationId xmlns:a16="http://schemas.microsoft.com/office/drawing/2014/main" id="{E5F22AA7-D804-0050-866D-4A8D568208BE}"/>
            </a:ext>
          </a:extLst>
        </xdr:cNvPr>
        <xdr:cNvPicPr>
          <a:picLocks noChangeAspect="1"/>
        </xdr:cNvPicPr>
      </xdr:nvPicPr>
      <xdr:blipFill>
        <a:blip xmlns:r="http://schemas.openxmlformats.org/officeDocument/2006/relationships" r:embed="rId11"/>
        <a:stretch>
          <a:fillRect/>
        </a:stretch>
      </xdr:blipFill>
      <xdr:spPr>
        <a:xfrm>
          <a:off x="25346024" y="12954000"/>
          <a:ext cx="1609726" cy="664920"/>
        </a:xfrm>
        <a:prstGeom prst="rect">
          <a:avLst/>
        </a:prstGeom>
      </xdr:spPr>
    </xdr:pic>
    <xdr:clientData/>
  </xdr:twoCellAnchor>
  <xdr:twoCellAnchor editAs="oneCell">
    <xdr:from>
      <xdr:col>15</xdr:col>
      <xdr:colOff>28575</xdr:colOff>
      <xdr:row>14</xdr:row>
      <xdr:rowOff>47625</xdr:rowOff>
    </xdr:from>
    <xdr:to>
      <xdr:col>15</xdr:col>
      <xdr:colOff>1433175</xdr:colOff>
      <xdr:row>14</xdr:row>
      <xdr:rowOff>628650</xdr:rowOff>
    </xdr:to>
    <xdr:pic>
      <xdr:nvPicPr>
        <xdr:cNvPr id="14" name="Picture 13">
          <a:extLst>
            <a:ext uri="{FF2B5EF4-FFF2-40B4-BE49-F238E27FC236}">
              <a16:creationId xmlns:a16="http://schemas.microsoft.com/office/drawing/2014/main" id="{3B12A401-D4DF-686E-7DF6-EA76A4E91A5E}"/>
            </a:ext>
          </a:extLst>
        </xdr:cNvPr>
        <xdr:cNvPicPr>
          <a:picLocks noChangeAspect="1"/>
        </xdr:cNvPicPr>
      </xdr:nvPicPr>
      <xdr:blipFill>
        <a:blip xmlns:r="http://schemas.openxmlformats.org/officeDocument/2006/relationships" r:embed="rId12"/>
        <a:stretch>
          <a:fillRect/>
        </a:stretch>
      </xdr:blipFill>
      <xdr:spPr>
        <a:xfrm>
          <a:off x="25326975" y="13735050"/>
          <a:ext cx="1404600" cy="581025"/>
        </a:xfrm>
        <a:prstGeom prst="rect">
          <a:avLst/>
        </a:prstGeom>
      </xdr:spPr>
    </xdr:pic>
    <xdr:clientData/>
  </xdr:twoCellAnchor>
  <xdr:twoCellAnchor editAs="oneCell">
    <xdr:from>
      <xdr:col>15</xdr:col>
      <xdr:colOff>42528</xdr:colOff>
      <xdr:row>15</xdr:row>
      <xdr:rowOff>19050</xdr:rowOff>
    </xdr:from>
    <xdr:to>
      <xdr:col>15</xdr:col>
      <xdr:colOff>1353785</xdr:colOff>
      <xdr:row>15</xdr:row>
      <xdr:rowOff>619690</xdr:rowOff>
    </xdr:to>
    <xdr:pic>
      <xdr:nvPicPr>
        <xdr:cNvPr id="15" name="Picture 14">
          <a:extLst>
            <a:ext uri="{FF2B5EF4-FFF2-40B4-BE49-F238E27FC236}">
              <a16:creationId xmlns:a16="http://schemas.microsoft.com/office/drawing/2014/main" id="{04327A09-9808-1FD7-7170-416FAD93272D}"/>
            </a:ext>
          </a:extLst>
        </xdr:cNvPr>
        <xdr:cNvPicPr>
          <a:picLocks noChangeAspect="1"/>
        </xdr:cNvPicPr>
      </xdr:nvPicPr>
      <xdr:blipFill>
        <a:blip xmlns:r="http://schemas.openxmlformats.org/officeDocument/2006/relationships" r:embed="rId13"/>
        <a:stretch>
          <a:fillRect/>
        </a:stretch>
      </xdr:blipFill>
      <xdr:spPr>
        <a:xfrm>
          <a:off x="25340928" y="14354175"/>
          <a:ext cx="1311257" cy="600640"/>
        </a:xfrm>
        <a:prstGeom prst="rect">
          <a:avLst/>
        </a:prstGeom>
      </xdr:spPr>
    </xdr:pic>
    <xdr:clientData/>
  </xdr:twoCellAnchor>
  <xdr:twoCellAnchor editAs="oneCell">
    <xdr:from>
      <xdr:col>15</xdr:col>
      <xdr:colOff>49342</xdr:colOff>
      <xdr:row>16</xdr:row>
      <xdr:rowOff>9525</xdr:rowOff>
    </xdr:from>
    <xdr:to>
      <xdr:col>15</xdr:col>
      <xdr:colOff>1114425</xdr:colOff>
      <xdr:row>16</xdr:row>
      <xdr:rowOff>452616</xdr:rowOff>
    </xdr:to>
    <xdr:pic>
      <xdr:nvPicPr>
        <xdr:cNvPr id="16" name="Picture 15">
          <a:extLst>
            <a:ext uri="{FF2B5EF4-FFF2-40B4-BE49-F238E27FC236}">
              <a16:creationId xmlns:a16="http://schemas.microsoft.com/office/drawing/2014/main" id="{B2E4E546-14F2-14EE-683C-AB99F56BA5C4}"/>
            </a:ext>
          </a:extLst>
        </xdr:cNvPr>
        <xdr:cNvPicPr>
          <a:picLocks noChangeAspect="1"/>
        </xdr:cNvPicPr>
      </xdr:nvPicPr>
      <xdr:blipFill>
        <a:blip xmlns:r="http://schemas.openxmlformats.org/officeDocument/2006/relationships" r:embed="rId14"/>
        <a:stretch>
          <a:fillRect/>
        </a:stretch>
      </xdr:blipFill>
      <xdr:spPr>
        <a:xfrm>
          <a:off x="25347742" y="14992350"/>
          <a:ext cx="1065083" cy="443091"/>
        </a:xfrm>
        <a:prstGeom prst="rect">
          <a:avLst/>
        </a:prstGeom>
      </xdr:spPr>
    </xdr:pic>
    <xdr:clientData/>
  </xdr:twoCellAnchor>
  <xdr:twoCellAnchor editAs="oneCell">
    <xdr:from>
      <xdr:col>15</xdr:col>
      <xdr:colOff>66674</xdr:colOff>
      <xdr:row>17</xdr:row>
      <xdr:rowOff>50189</xdr:rowOff>
    </xdr:from>
    <xdr:to>
      <xdr:col>15</xdr:col>
      <xdr:colOff>1038225</xdr:colOff>
      <xdr:row>17</xdr:row>
      <xdr:rowOff>447685</xdr:rowOff>
    </xdr:to>
    <xdr:pic>
      <xdr:nvPicPr>
        <xdr:cNvPr id="17" name="Picture 16">
          <a:extLst>
            <a:ext uri="{FF2B5EF4-FFF2-40B4-BE49-F238E27FC236}">
              <a16:creationId xmlns:a16="http://schemas.microsoft.com/office/drawing/2014/main" id="{7D0E6D87-A365-FD68-1FEC-150BFE51FABA}"/>
            </a:ext>
          </a:extLst>
        </xdr:cNvPr>
        <xdr:cNvPicPr>
          <a:picLocks noChangeAspect="1"/>
        </xdr:cNvPicPr>
      </xdr:nvPicPr>
      <xdr:blipFill>
        <a:blip xmlns:r="http://schemas.openxmlformats.org/officeDocument/2006/relationships" r:embed="rId15"/>
        <a:stretch>
          <a:fillRect/>
        </a:stretch>
      </xdr:blipFill>
      <xdr:spPr>
        <a:xfrm>
          <a:off x="25365074" y="15518789"/>
          <a:ext cx="971551" cy="397496"/>
        </a:xfrm>
        <a:prstGeom prst="rect">
          <a:avLst/>
        </a:prstGeom>
      </xdr:spPr>
    </xdr:pic>
    <xdr:clientData/>
  </xdr:twoCellAnchor>
  <xdr:twoCellAnchor editAs="oneCell">
    <xdr:from>
      <xdr:col>15</xdr:col>
      <xdr:colOff>38100</xdr:colOff>
      <xdr:row>20</xdr:row>
      <xdr:rowOff>66675</xdr:rowOff>
    </xdr:from>
    <xdr:to>
      <xdr:col>15</xdr:col>
      <xdr:colOff>1352844</xdr:colOff>
      <xdr:row>20</xdr:row>
      <xdr:rowOff>800100</xdr:rowOff>
    </xdr:to>
    <xdr:pic>
      <xdr:nvPicPr>
        <xdr:cNvPr id="18" name="Picture 17">
          <a:extLst>
            <a:ext uri="{FF2B5EF4-FFF2-40B4-BE49-F238E27FC236}">
              <a16:creationId xmlns:a16="http://schemas.microsoft.com/office/drawing/2014/main" id="{A1A63F36-0330-D8B7-45E3-422714A808F9}"/>
            </a:ext>
          </a:extLst>
        </xdr:cNvPr>
        <xdr:cNvPicPr>
          <a:picLocks noChangeAspect="1"/>
        </xdr:cNvPicPr>
      </xdr:nvPicPr>
      <xdr:blipFill>
        <a:blip xmlns:r="http://schemas.openxmlformats.org/officeDocument/2006/relationships" r:embed="rId16"/>
        <a:stretch>
          <a:fillRect/>
        </a:stretch>
      </xdr:blipFill>
      <xdr:spPr>
        <a:xfrm>
          <a:off x="25336500" y="17478375"/>
          <a:ext cx="1314744" cy="733425"/>
        </a:xfrm>
        <a:prstGeom prst="rect">
          <a:avLst/>
        </a:prstGeom>
      </xdr:spPr>
    </xdr:pic>
    <xdr:clientData/>
  </xdr:twoCellAnchor>
  <xdr:twoCellAnchor editAs="oneCell">
    <xdr:from>
      <xdr:col>15</xdr:col>
      <xdr:colOff>57150</xdr:colOff>
      <xdr:row>25</xdr:row>
      <xdr:rowOff>55758</xdr:rowOff>
    </xdr:from>
    <xdr:to>
      <xdr:col>15</xdr:col>
      <xdr:colOff>495300</xdr:colOff>
      <xdr:row>25</xdr:row>
      <xdr:rowOff>448844</xdr:rowOff>
    </xdr:to>
    <xdr:pic>
      <xdr:nvPicPr>
        <xdr:cNvPr id="19" name="Picture 18">
          <a:extLst>
            <a:ext uri="{FF2B5EF4-FFF2-40B4-BE49-F238E27FC236}">
              <a16:creationId xmlns:a16="http://schemas.microsoft.com/office/drawing/2014/main" id="{413DE389-B038-EF81-BAA5-ACBAFB95CDD6}"/>
            </a:ext>
          </a:extLst>
        </xdr:cNvPr>
        <xdr:cNvPicPr>
          <a:picLocks noChangeAspect="1"/>
        </xdr:cNvPicPr>
      </xdr:nvPicPr>
      <xdr:blipFill>
        <a:blip xmlns:r="http://schemas.openxmlformats.org/officeDocument/2006/relationships" r:embed="rId17"/>
        <a:stretch>
          <a:fillRect/>
        </a:stretch>
      </xdr:blipFill>
      <xdr:spPr>
        <a:xfrm>
          <a:off x="25355550" y="20220183"/>
          <a:ext cx="438150" cy="393086"/>
        </a:xfrm>
        <a:prstGeom prst="rect">
          <a:avLst/>
        </a:prstGeom>
      </xdr:spPr>
    </xdr:pic>
    <xdr:clientData/>
  </xdr:twoCellAnchor>
  <xdr:twoCellAnchor editAs="oneCell">
    <xdr:from>
      <xdr:col>15</xdr:col>
      <xdr:colOff>47625</xdr:colOff>
      <xdr:row>26</xdr:row>
      <xdr:rowOff>23173</xdr:rowOff>
    </xdr:from>
    <xdr:to>
      <xdr:col>15</xdr:col>
      <xdr:colOff>552450</xdr:colOff>
      <xdr:row>26</xdr:row>
      <xdr:rowOff>448847</xdr:rowOff>
    </xdr:to>
    <xdr:pic>
      <xdr:nvPicPr>
        <xdr:cNvPr id="20" name="Picture 19">
          <a:extLst>
            <a:ext uri="{FF2B5EF4-FFF2-40B4-BE49-F238E27FC236}">
              <a16:creationId xmlns:a16="http://schemas.microsoft.com/office/drawing/2014/main" id="{36A5935C-E7EC-C1C4-5093-5ABE3DF6BD98}"/>
            </a:ext>
          </a:extLst>
        </xdr:cNvPr>
        <xdr:cNvPicPr>
          <a:picLocks noChangeAspect="1"/>
        </xdr:cNvPicPr>
      </xdr:nvPicPr>
      <xdr:blipFill>
        <a:blip xmlns:r="http://schemas.openxmlformats.org/officeDocument/2006/relationships" r:embed="rId18"/>
        <a:stretch>
          <a:fillRect/>
        </a:stretch>
      </xdr:blipFill>
      <xdr:spPr>
        <a:xfrm>
          <a:off x="25346025" y="20673373"/>
          <a:ext cx="504825" cy="425674"/>
        </a:xfrm>
        <a:prstGeom prst="rect">
          <a:avLst/>
        </a:prstGeom>
      </xdr:spPr>
    </xdr:pic>
    <xdr:clientData/>
  </xdr:twoCellAnchor>
  <xdr:twoCellAnchor editAs="oneCell">
    <xdr:from>
      <xdr:col>15</xdr:col>
      <xdr:colOff>28575</xdr:colOff>
      <xdr:row>28</xdr:row>
      <xdr:rowOff>26178</xdr:rowOff>
    </xdr:from>
    <xdr:to>
      <xdr:col>15</xdr:col>
      <xdr:colOff>953673</xdr:colOff>
      <xdr:row>28</xdr:row>
      <xdr:rowOff>410062</xdr:rowOff>
    </xdr:to>
    <xdr:pic>
      <xdr:nvPicPr>
        <xdr:cNvPr id="21" name="Picture 20">
          <a:extLst>
            <a:ext uri="{FF2B5EF4-FFF2-40B4-BE49-F238E27FC236}">
              <a16:creationId xmlns:a16="http://schemas.microsoft.com/office/drawing/2014/main" id="{6015A946-2805-323C-9A81-6E06F7686C35}"/>
            </a:ext>
          </a:extLst>
        </xdr:cNvPr>
        <xdr:cNvPicPr>
          <a:picLocks noChangeAspect="1"/>
        </xdr:cNvPicPr>
      </xdr:nvPicPr>
      <xdr:blipFill>
        <a:blip xmlns:r="http://schemas.openxmlformats.org/officeDocument/2006/relationships" r:embed="rId19"/>
        <a:stretch>
          <a:fillRect/>
        </a:stretch>
      </xdr:blipFill>
      <xdr:spPr>
        <a:xfrm>
          <a:off x="25326975" y="22781403"/>
          <a:ext cx="925098" cy="383884"/>
        </a:xfrm>
        <a:prstGeom prst="rect">
          <a:avLst/>
        </a:prstGeom>
      </xdr:spPr>
    </xdr:pic>
    <xdr:clientData/>
  </xdr:twoCellAnchor>
  <xdr:twoCellAnchor editAs="oneCell">
    <xdr:from>
      <xdr:col>15</xdr:col>
      <xdr:colOff>60498</xdr:colOff>
      <xdr:row>29</xdr:row>
      <xdr:rowOff>28575</xdr:rowOff>
    </xdr:from>
    <xdr:to>
      <xdr:col>15</xdr:col>
      <xdr:colOff>604080</xdr:colOff>
      <xdr:row>29</xdr:row>
      <xdr:rowOff>439035</xdr:rowOff>
    </xdr:to>
    <xdr:pic>
      <xdr:nvPicPr>
        <xdr:cNvPr id="23" name="Picture 22">
          <a:extLst>
            <a:ext uri="{FF2B5EF4-FFF2-40B4-BE49-F238E27FC236}">
              <a16:creationId xmlns:a16="http://schemas.microsoft.com/office/drawing/2014/main" id="{1B1A91E2-43AA-FE21-EE8C-BAA90BAD881F}"/>
            </a:ext>
          </a:extLst>
        </xdr:cNvPr>
        <xdr:cNvPicPr>
          <a:picLocks noChangeAspect="1"/>
        </xdr:cNvPicPr>
      </xdr:nvPicPr>
      <xdr:blipFill>
        <a:blip xmlns:r="http://schemas.openxmlformats.org/officeDocument/2006/relationships" r:embed="rId20"/>
        <a:stretch>
          <a:fillRect/>
        </a:stretch>
      </xdr:blipFill>
      <xdr:spPr>
        <a:xfrm>
          <a:off x="25358898" y="23269575"/>
          <a:ext cx="543582" cy="410460"/>
        </a:xfrm>
        <a:prstGeom prst="rect">
          <a:avLst/>
        </a:prstGeom>
      </xdr:spPr>
    </xdr:pic>
    <xdr:clientData/>
  </xdr:twoCellAnchor>
  <xdr:twoCellAnchor editAs="oneCell">
    <xdr:from>
      <xdr:col>15</xdr:col>
      <xdr:colOff>42723</xdr:colOff>
      <xdr:row>32</xdr:row>
      <xdr:rowOff>32178</xdr:rowOff>
    </xdr:from>
    <xdr:to>
      <xdr:col>15</xdr:col>
      <xdr:colOff>638175</xdr:colOff>
      <xdr:row>32</xdr:row>
      <xdr:rowOff>439222</xdr:rowOff>
    </xdr:to>
    <xdr:pic>
      <xdr:nvPicPr>
        <xdr:cNvPr id="24" name="Picture 23">
          <a:extLst>
            <a:ext uri="{FF2B5EF4-FFF2-40B4-BE49-F238E27FC236}">
              <a16:creationId xmlns:a16="http://schemas.microsoft.com/office/drawing/2014/main" id="{2593F80D-E5F1-FFB6-3172-FD3D36F8BCF0}"/>
            </a:ext>
          </a:extLst>
        </xdr:cNvPr>
        <xdr:cNvPicPr>
          <a:picLocks noChangeAspect="1"/>
        </xdr:cNvPicPr>
      </xdr:nvPicPr>
      <xdr:blipFill>
        <a:blip xmlns:r="http://schemas.openxmlformats.org/officeDocument/2006/relationships" r:embed="rId21"/>
        <a:stretch>
          <a:fillRect/>
        </a:stretch>
      </xdr:blipFill>
      <xdr:spPr>
        <a:xfrm>
          <a:off x="25341123" y="28292853"/>
          <a:ext cx="595452" cy="407044"/>
        </a:xfrm>
        <a:prstGeom prst="rect">
          <a:avLst/>
        </a:prstGeom>
      </xdr:spPr>
    </xdr:pic>
    <xdr:clientData/>
  </xdr:twoCellAnchor>
  <xdr:twoCellAnchor editAs="oneCell">
    <xdr:from>
      <xdr:col>15</xdr:col>
      <xdr:colOff>41307</xdr:colOff>
      <xdr:row>34</xdr:row>
      <xdr:rowOff>38100</xdr:rowOff>
    </xdr:from>
    <xdr:to>
      <xdr:col>15</xdr:col>
      <xdr:colOff>1626368</xdr:colOff>
      <xdr:row>34</xdr:row>
      <xdr:rowOff>781820</xdr:rowOff>
    </xdr:to>
    <xdr:pic>
      <xdr:nvPicPr>
        <xdr:cNvPr id="25" name="Picture 24">
          <a:extLst>
            <a:ext uri="{FF2B5EF4-FFF2-40B4-BE49-F238E27FC236}">
              <a16:creationId xmlns:a16="http://schemas.microsoft.com/office/drawing/2014/main" id="{10163AD5-FA92-2ECC-05BC-49AEA40ED8A8}"/>
            </a:ext>
          </a:extLst>
        </xdr:cNvPr>
        <xdr:cNvPicPr>
          <a:picLocks noChangeAspect="1"/>
        </xdr:cNvPicPr>
      </xdr:nvPicPr>
      <xdr:blipFill>
        <a:blip xmlns:r="http://schemas.openxmlformats.org/officeDocument/2006/relationships" r:embed="rId22"/>
        <a:stretch>
          <a:fillRect/>
        </a:stretch>
      </xdr:blipFill>
      <xdr:spPr>
        <a:xfrm>
          <a:off x="25339707" y="29432250"/>
          <a:ext cx="1585061" cy="743720"/>
        </a:xfrm>
        <a:prstGeom prst="rect">
          <a:avLst/>
        </a:prstGeom>
      </xdr:spPr>
    </xdr:pic>
    <xdr:clientData/>
  </xdr:twoCellAnchor>
  <xdr:twoCellAnchor editAs="oneCell">
    <xdr:from>
      <xdr:col>15</xdr:col>
      <xdr:colOff>38100</xdr:colOff>
      <xdr:row>36</xdr:row>
      <xdr:rowOff>443987</xdr:rowOff>
    </xdr:from>
    <xdr:to>
      <xdr:col>15</xdr:col>
      <xdr:colOff>1619250</xdr:colOff>
      <xdr:row>36</xdr:row>
      <xdr:rowOff>1324708</xdr:rowOff>
    </xdr:to>
    <xdr:pic>
      <xdr:nvPicPr>
        <xdr:cNvPr id="26" name="Picture 25">
          <a:extLst>
            <a:ext uri="{FF2B5EF4-FFF2-40B4-BE49-F238E27FC236}">
              <a16:creationId xmlns:a16="http://schemas.microsoft.com/office/drawing/2014/main" id="{89D51928-8E8C-EA9E-2206-6A67D48A96B5}"/>
            </a:ext>
          </a:extLst>
        </xdr:cNvPr>
        <xdr:cNvPicPr>
          <a:picLocks noChangeAspect="1"/>
        </xdr:cNvPicPr>
      </xdr:nvPicPr>
      <xdr:blipFill>
        <a:blip xmlns:r="http://schemas.openxmlformats.org/officeDocument/2006/relationships" r:embed="rId23"/>
        <a:stretch>
          <a:fillRect/>
        </a:stretch>
      </xdr:blipFill>
      <xdr:spPr>
        <a:xfrm>
          <a:off x="25336500" y="32105087"/>
          <a:ext cx="1581150" cy="880721"/>
        </a:xfrm>
        <a:prstGeom prst="rect">
          <a:avLst/>
        </a:prstGeom>
      </xdr:spPr>
    </xdr:pic>
    <xdr:clientData/>
  </xdr:twoCellAnchor>
  <xdr:twoCellAnchor editAs="oneCell">
    <xdr:from>
      <xdr:col>15</xdr:col>
      <xdr:colOff>42702</xdr:colOff>
      <xdr:row>37</xdr:row>
      <xdr:rowOff>268493</xdr:rowOff>
    </xdr:from>
    <xdr:to>
      <xdr:col>15</xdr:col>
      <xdr:colOff>1638300</xdr:colOff>
      <xdr:row>37</xdr:row>
      <xdr:rowOff>1019916</xdr:rowOff>
    </xdr:to>
    <xdr:pic>
      <xdr:nvPicPr>
        <xdr:cNvPr id="27" name="Picture 26">
          <a:extLst>
            <a:ext uri="{FF2B5EF4-FFF2-40B4-BE49-F238E27FC236}">
              <a16:creationId xmlns:a16="http://schemas.microsoft.com/office/drawing/2014/main" id="{ACBC8ACE-9464-47E6-AFC5-D82F9C830715}"/>
            </a:ext>
          </a:extLst>
        </xdr:cNvPr>
        <xdr:cNvPicPr>
          <a:picLocks noChangeAspect="1"/>
        </xdr:cNvPicPr>
      </xdr:nvPicPr>
      <xdr:blipFill>
        <a:blip xmlns:r="http://schemas.openxmlformats.org/officeDocument/2006/relationships" r:embed="rId24"/>
        <a:stretch>
          <a:fillRect/>
        </a:stretch>
      </xdr:blipFill>
      <xdr:spPr>
        <a:xfrm>
          <a:off x="25341102" y="33548843"/>
          <a:ext cx="1595598" cy="751423"/>
        </a:xfrm>
        <a:prstGeom prst="rect">
          <a:avLst/>
        </a:prstGeom>
      </xdr:spPr>
    </xdr:pic>
    <xdr:clientData/>
  </xdr:twoCellAnchor>
  <xdr:twoCellAnchor editAs="oneCell">
    <xdr:from>
      <xdr:col>15</xdr:col>
      <xdr:colOff>47625</xdr:colOff>
      <xdr:row>38</xdr:row>
      <xdr:rowOff>180437</xdr:rowOff>
    </xdr:from>
    <xdr:to>
      <xdr:col>15</xdr:col>
      <xdr:colOff>1638300</xdr:colOff>
      <xdr:row>38</xdr:row>
      <xdr:rowOff>1198610</xdr:rowOff>
    </xdr:to>
    <xdr:pic>
      <xdr:nvPicPr>
        <xdr:cNvPr id="28" name="Picture 27">
          <a:extLst>
            <a:ext uri="{FF2B5EF4-FFF2-40B4-BE49-F238E27FC236}">
              <a16:creationId xmlns:a16="http://schemas.microsoft.com/office/drawing/2014/main" id="{97255B7E-B782-1B3D-0185-434C164B0154}"/>
            </a:ext>
          </a:extLst>
        </xdr:cNvPr>
        <xdr:cNvPicPr>
          <a:picLocks noChangeAspect="1"/>
        </xdr:cNvPicPr>
      </xdr:nvPicPr>
      <xdr:blipFill>
        <a:blip xmlns:r="http://schemas.openxmlformats.org/officeDocument/2006/relationships" r:embed="rId25"/>
        <a:stretch>
          <a:fillRect/>
        </a:stretch>
      </xdr:blipFill>
      <xdr:spPr>
        <a:xfrm>
          <a:off x="25346025" y="34594262"/>
          <a:ext cx="1590675" cy="1018173"/>
        </a:xfrm>
        <a:prstGeom prst="rect">
          <a:avLst/>
        </a:prstGeom>
      </xdr:spPr>
    </xdr:pic>
    <xdr:clientData/>
  </xdr:twoCellAnchor>
  <xdr:twoCellAnchor editAs="oneCell">
    <xdr:from>
      <xdr:col>15</xdr:col>
      <xdr:colOff>47623</xdr:colOff>
      <xdr:row>39</xdr:row>
      <xdr:rowOff>59226</xdr:rowOff>
    </xdr:from>
    <xdr:to>
      <xdr:col>15</xdr:col>
      <xdr:colOff>1616977</xdr:colOff>
      <xdr:row>39</xdr:row>
      <xdr:rowOff>971550</xdr:rowOff>
    </xdr:to>
    <xdr:pic>
      <xdr:nvPicPr>
        <xdr:cNvPr id="29" name="Picture 28">
          <a:extLst>
            <a:ext uri="{FF2B5EF4-FFF2-40B4-BE49-F238E27FC236}">
              <a16:creationId xmlns:a16="http://schemas.microsoft.com/office/drawing/2014/main" id="{4DBC5718-9AF6-ED85-4D21-14E1EA904C1F}"/>
            </a:ext>
          </a:extLst>
        </xdr:cNvPr>
        <xdr:cNvPicPr>
          <a:picLocks noChangeAspect="1"/>
        </xdr:cNvPicPr>
      </xdr:nvPicPr>
      <xdr:blipFill>
        <a:blip xmlns:r="http://schemas.openxmlformats.org/officeDocument/2006/relationships" r:embed="rId26"/>
        <a:stretch>
          <a:fillRect/>
        </a:stretch>
      </xdr:blipFill>
      <xdr:spPr>
        <a:xfrm>
          <a:off x="25346023" y="35930376"/>
          <a:ext cx="1569354" cy="912324"/>
        </a:xfrm>
        <a:prstGeom prst="rect">
          <a:avLst/>
        </a:prstGeom>
      </xdr:spPr>
    </xdr:pic>
    <xdr:clientData/>
  </xdr:twoCellAnchor>
  <xdr:twoCellAnchor editAs="oneCell">
    <xdr:from>
      <xdr:col>15</xdr:col>
      <xdr:colOff>9524</xdr:colOff>
      <xdr:row>40</xdr:row>
      <xdr:rowOff>28575</xdr:rowOff>
    </xdr:from>
    <xdr:to>
      <xdr:col>15</xdr:col>
      <xdr:colOff>1444623</xdr:colOff>
      <xdr:row>40</xdr:row>
      <xdr:rowOff>1114425</xdr:rowOff>
    </xdr:to>
    <xdr:pic>
      <xdr:nvPicPr>
        <xdr:cNvPr id="30" name="Picture 29">
          <a:extLst>
            <a:ext uri="{FF2B5EF4-FFF2-40B4-BE49-F238E27FC236}">
              <a16:creationId xmlns:a16="http://schemas.microsoft.com/office/drawing/2014/main" id="{BF17CB61-AA4A-F1A0-AC83-6D955EC2A1E9}"/>
            </a:ext>
          </a:extLst>
        </xdr:cNvPr>
        <xdr:cNvPicPr>
          <a:picLocks noChangeAspect="1"/>
        </xdr:cNvPicPr>
      </xdr:nvPicPr>
      <xdr:blipFill>
        <a:blip xmlns:r="http://schemas.openxmlformats.org/officeDocument/2006/relationships" r:embed="rId27"/>
        <a:stretch>
          <a:fillRect/>
        </a:stretch>
      </xdr:blipFill>
      <xdr:spPr>
        <a:xfrm>
          <a:off x="25307924" y="37195125"/>
          <a:ext cx="1435099" cy="1085850"/>
        </a:xfrm>
        <a:prstGeom prst="rect">
          <a:avLst/>
        </a:prstGeom>
      </xdr:spPr>
    </xdr:pic>
    <xdr:clientData/>
  </xdr:twoCellAnchor>
  <xdr:twoCellAnchor editAs="oneCell">
    <xdr:from>
      <xdr:col>15</xdr:col>
      <xdr:colOff>38099</xdr:colOff>
      <xdr:row>41</xdr:row>
      <xdr:rowOff>29401</xdr:rowOff>
    </xdr:from>
    <xdr:to>
      <xdr:col>15</xdr:col>
      <xdr:colOff>876300</xdr:colOff>
      <xdr:row>41</xdr:row>
      <xdr:rowOff>448502</xdr:rowOff>
    </xdr:to>
    <xdr:pic>
      <xdr:nvPicPr>
        <xdr:cNvPr id="31" name="Picture 30">
          <a:extLst>
            <a:ext uri="{FF2B5EF4-FFF2-40B4-BE49-F238E27FC236}">
              <a16:creationId xmlns:a16="http://schemas.microsoft.com/office/drawing/2014/main" id="{6D97A8A3-5D36-8FD2-B137-D8D1F777E8DC}"/>
            </a:ext>
          </a:extLst>
        </xdr:cNvPr>
        <xdr:cNvPicPr>
          <a:picLocks noChangeAspect="1"/>
        </xdr:cNvPicPr>
      </xdr:nvPicPr>
      <xdr:blipFill>
        <a:blip xmlns:r="http://schemas.openxmlformats.org/officeDocument/2006/relationships" r:embed="rId28"/>
        <a:stretch>
          <a:fillRect/>
        </a:stretch>
      </xdr:blipFill>
      <xdr:spPr>
        <a:xfrm>
          <a:off x="25336499" y="38329426"/>
          <a:ext cx="838201" cy="419101"/>
        </a:xfrm>
        <a:prstGeom prst="rect">
          <a:avLst/>
        </a:prstGeom>
      </xdr:spPr>
    </xdr:pic>
    <xdr:clientData/>
  </xdr:twoCellAnchor>
  <xdr:twoCellAnchor editAs="oneCell">
    <xdr:from>
      <xdr:col>15</xdr:col>
      <xdr:colOff>73525</xdr:colOff>
      <xdr:row>42</xdr:row>
      <xdr:rowOff>28574</xdr:rowOff>
    </xdr:from>
    <xdr:to>
      <xdr:col>15</xdr:col>
      <xdr:colOff>791380</xdr:colOff>
      <xdr:row>42</xdr:row>
      <xdr:rowOff>934467</xdr:rowOff>
    </xdr:to>
    <xdr:pic>
      <xdr:nvPicPr>
        <xdr:cNvPr id="32" name="Picture 31">
          <a:extLst>
            <a:ext uri="{FF2B5EF4-FFF2-40B4-BE49-F238E27FC236}">
              <a16:creationId xmlns:a16="http://schemas.microsoft.com/office/drawing/2014/main" id="{E0128A61-FD40-4E27-2645-D0026662B244}"/>
            </a:ext>
          </a:extLst>
        </xdr:cNvPr>
        <xdr:cNvPicPr>
          <a:picLocks noChangeAspect="1"/>
        </xdr:cNvPicPr>
      </xdr:nvPicPr>
      <xdr:blipFill>
        <a:blip xmlns:r="http://schemas.openxmlformats.org/officeDocument/2006/relationships" r:embed="rId29"/>
        <a:stretch>
          <a:fillRect/>
        </a:stretch>
      </xdr:blipFill>
      <xdr:spPr>
        <a:xfrm>
          <a:off x="25371925" y="38814374"/>
          <a:ext cx="717855" cy="905893"/>
        </a:xfrm>
        <a:prstGeom prst="rect">
          <a:avLst/>
        </a:prstGeom>
      </xdr:spPr>
    </xdr:pic>
    <xdr:clientData/>
  </xdr:twoCellAnchor>
  <xdr:twoCellAnchor editAs="oneCell">
    <xdr:from>
      <xdr:col>15</xdr:col>
      <xdr:colOff>95232</xdr:colOff>
      <xdr:row>44</xdr:row>
      <xdr:rowOff>47625</xdr:rowOff>
    </xdr:from>
    <xdr:to>
      <xdr:col>15</xdr:col>
      <xdr:colOff>700254</xdr:colOff>
      <xdr:row>44</xdr:row>
      <xdr:rowOff>424376</xdr:rowOff>
    </xdr:to>
    <xdr:pic>
      <xdr:nvPicPr>
        <xdr:cNvPr id="33" name="Picture 32">
          <a:extLst>
            <a:ext uri="{FF2B5EF4-FFF2-40B4-BE49-F238E27FC236}">
              <a16:creationId xmlns:a16="http://schemas.microsoft.com/office/drawing/2014/main" id="{D0D79EFF-34B6-0EA8-1768-FBDA55C67271}"/>
            </a:ext>
          </a:extLst>
        </xdr:cNvPr>
        <xdr:cNvPicPr>
          <a:picLocks noChangeAspect="1"/>
        </xdr:cNvPicPr>
      </xdr:nvPicPr>
      <xdr:blipFill>
        <a:blip xmlns:r="http://schemas.openxmlformats.org/officeDocument/2006/relationships" r:embed="rId30"/>
        <a:stretch>
          <a:fillRect/>
        </a:stretch>
      </xdr:blipFill>
      <xdr:spPr>
        <a:xfrm>
          <a:off x="25393632" y="40290750"/>
          <a:ext cx="605022" cy="376751"/>
        </a:xfrm>
        <a:prstGeom prst="rect">
          <a:avLst/>
        </a:prstGeom>
      </xdr:spPr>
    </xdr:pic>
    <xdr:clientData/>
  </xdr:twoCellAnchor>
  <xdr:twoCellAnchor editAs="oneCell">
    <xdr:from>
      <xdr:col>15</xdr:col>
      <xdr:colOff>73588</xdr:colOff>
      <xdr:row>45</xdr:row>
      <xdr:rowOff>66674</xdr:rowOff>
    </xdr:from>
    <xdr:to>
      <xdr:col>15</xdr:col>
      <xdr:colOff>405603</xdr:colOff>
      <xdr:row>45</xdr:row>
      <xdr:rowOff>304799</xdr:rowOff>
    </xdr:to>
    <xdr:pic>
      <xdr:nvPicPr>
        <xdr:cNvPr id="34" name="Picture 33">
          <a:extLst>
            <a:ext uri="{FF2B5EF4-FFF2-40B4-BE49-F238E27FC236}">
              <a16:creationId xmlns:a16="http://schemas.microsoft.com/office/drawing/2014/main" id="{9D95D5C5-F979-D581-9F28-D51506B08AD4}"/>
            </a:ext>
          </a:extLst>
        </xdr:cNvPr>
        <xdr:cNvPicPr>
          <a:picLocks noChangeAspect="1"/>
        </xdr:cNvPicPr>
      </xdr:nvPicPr>
      <xdr:blipFill>
        <a:blip xmlns:r="http://schemas.openxmlformats.org/officeDocument/2006/relationships" r:embed="rId31"/>
        <a:stretch>
          <a:fillRect/>
        </a:stretch>
      </xdr:blipFill>
      <xdr:spPr>
        <a:xfrm>
          <a:off x="25371988" y="40795574"/>
          <a:ext cx="332015" cy="238125"/>
        </a:xfrm>
        <a:prstGeom prst="rect">
          <a:avLst/>
        </a:prstGeom>
      </xdr:spPr>
    </xdr:pic>
    <xdr:clientData/>
  </xdr:twoCellAnchor>
  <xdr:twoCellAnchor editAs="oneCell">
    <xdr:from>
      <xdr:col>15</xdr:col>
      <xdr:colOff>38100</xdr:colOff>
      <xdr:row>46</xdr:row>
      <xdr:rowOff>57150</xdr:rowOff>
    </xdr:from>
    <xdr:to>
      <xdr:col>15</xdr:col>
      <xdr:colOff>1038226</xdr:colOff>
      <xdr:row>46</xdr:row>
      <xdr:rowOff>794031</xdr:rowOff>
    </xdr:to>
    <xdr:pic>
      <xdr:nvPicPr>
        <xdr:cNvPr id="35" name="Picture 34">
          <a:extLst>
            <a:ext uri="{FF2B5EF4-FFF2-40B4-BE49-F238E27FC236}">
              <a16:creationId xmlns:a16="http://schemas.microsoft.com/office/drawing/2014/main" id="{6D5B3CF8-B3B8-607A-71B9-5F9004584DCC}"/>
            </a:ext>
          </a:extLst>
        </xdr:cNvPr>
        <xdr:cNvPicPr>
          <a:picLocks noChangeAspect="1"/>
        </xdr:cNvPicPr>
      </xdr:nvPicPr>
      <xdr:blipFill>
        <a:blip xmlns:r="http://schemas.openxmlformats.org/officeDocument/2006/relationships" r:embed="rId32"/>
        <a:stretch>
          <a:fillRect/>
        </a:stretch>
      </xdr:blipFill>
      <xdr:spPr>
        <a:xfrm>
          <a:off x="25336500" y="41109900"/>
          <a:ext cx="1000126" cy="736881"/>
        </a:xfrm>
        <a:prstGeom prst="rect">
          <a:avLst/>
        </a:prstGeom>
      </xdr:spPr>
    </xdr:pic>
    <xdr:clientData/>
  </xdr:twoCellAnchor>
  <xdr:twoCellAnchor editAs="oneCell">
    <xdr:from>
      <xdr:col>15</xdr:col>
      <xdr:colOff>57149</xdr:colOff>
      <xdr:row>50</xdr:row>
      <xdr:rowOff>76200</xdr:rowOff>
    </xdr:from>
    <xdr:to>
      <xdr:col>15</xdr:col>
      <xdr:colOff>1660286</xdr:colOff>
      <xdr:row>50</xdr:row>
      <xdr:rowOff>1077143</xdr:rowOff>
    </xdr:to>
    <xdr:pic>
      <xdr:nvPicPr>
        <xdr:cNvPr id="36" name="Picture 35">
          <a:extLst>
            <a:ext uri="{FF2B5EF4-FFF2-40B4-BE49-F238E27FC236}">
              <a16:creationId xmlns:a16="http://schemas.microsoft.com/office/drawing/2014/main" id="{2EA4D03A-E44B-D90C-1FBA-B14AB5317F99}"/>
            </a:ext>
          </a:extLst>
        </xdr:cNvPr>
        <xdr:cNvPicPr>
          <a:picLocks noChangeAspect="1"/>
        </xdr:cNvPicPr>
      </xdr:nvPicPr>
      <xdr:blipFill>
        <a:blip xmlns:r="http://schemas.openxmlformats.org/officeDocument/2006/relationships" r:embed="rId33"/>
        <a:stretch>
          <a:fillRect/>
        </a:stretch>
      </xdr:blipFill>
      <xdr:spPr>
        <a:xfrm>
          <a:off x="25355549" y="44043600"/>
          <a:ext cx="1603137" cy="1000943"/>
        </a:xfrm>
        <a:prstGeom prst="rect">
          <a:avLst/>
        </a:prstGeom>
      </xdr:spPr>
    </xdr:pic>
    <xdr:clientData/>
  </xdr:twoCellAnchor>
  <xdr:twoCellAnchor editAs="oneCell">
    <xdr:from>
      <xdr:col>15</xdr:col>
      <xdr:colOff>57149</xdr:colOff>
      <xdr:row>49</xdr:row>
      <xdr:rowOff>67684</xdr:rowOff>
    </xdr:from>
    <xdr:to>
      <xdr:col>15</xdr:col>
      <xdr:colOff>1533524</xdr:colOff>
      <xdr:row>50</xdr:row>
      <xdr:rowOff>10291</xdr:rowOff>
    </xdr:to>
    <xdr:pic>
      <xdr:nvPicPr>
        <xdr:cNvPr id="38" name="Picture 37">
          <a:extLst>
            <a:ext uri="{FF2B5EF4-FFF2-40B4-BE49-F238E27FC236}">
              <a16:creationId xmlns:a16="http://schemas.microsoft.com/office/drawing/2014/main" id="{5B115AFB-A3A0-5C48-4E90-2A0AA6605931}"/>
            </a:ext>
          </a:extLst>
        </xdr:cNvPr>
        <xdr:cNvPicPr>
          <a:picLocks noChangeAspect="1"/>
        </xdr:cNvPicPr>
      </xdr:nvPicPr>
      <xdr:blipFill>
        <a:blip xmlns:r="http://schemas.openxmlformats.org/officeDocument/2006/relationships" r:embed="rId34"/>
        <a:stretch>
          <a:fillRect/>
        </a:stretch>
      </xdr:blipFill>
      <xdr:spPr>
        <a:xfrm>
          <a:off x="25355549" y="43387384"/>
          <a:ext cx="1476375" cy="704607"/>
        </a:xfrm>
        <a:prstGeom prst="rect">
          <a:avLst/>
        </a:prstGeom>
      </xdr:spPr>
    </xdr:pic>
    <xdr:clientData/>
  </xdr:twoCellAnchor>
  <xdr:twoCellAnchor editAs="oneCell">
    <xdr:from>
      <xdr:col>15</xdr:col>
      <xdr:colOff>99706</xdr:colOff>
      <xdr:row>48</xdr:row>
      <xdr:rowOff>514350</xdr:rowOff>
    </xdr:from>
    <xdr:to>
      <xdr:col>15</xdr:col>
      <xdr:colOff>1658149</xdr:colOff>
      <xdr:row>48</xdr:row>
      <xdr:rowOff>1152960</xdr:rowOff>
    </xdr:to>
    <xdr:pic>
      <xdr:nvPicPr>
        <xdr:cNvPr id="39" name="Picture 38">
          <a:extLst>
            <a:ext uri="{FF2B5EF4-FFF2-40B4-BE49-F238E27FC236}">
              <a16:creationId xmlns:a16="http://schemas.microsoft.com/office/drawing/2014/main" id="{878F8F6D-ACF0-2E64-4FF3-95B8B01A15B5}"/>
            </a:ext>
          </a:extLst>
        </xdr:cNvPr>
        <xdr:cNvPicPr>
          <a:picLocks noChangeAspect="1"/>
        </xdr:cNvPicPr>
      </xdr:nvPicPr>
      <xdr:blipFill>
        <a:blip xmlns:r="http://schemas.openxmlformats.org/officeDocument/2006/relationships" r:embed="rId35"/>
        <a:stretch>
          <a:fillRect/>
        </a:stretch>
      </xdr:blipFill>
      <xdr:spPr>
        <a:xfrm>
          <a:off x="25398106" y="42538650"/>
          <a:ext cx="1558443" cy="6386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571500</xdr:colOff>
      <xdr:row>32</xdr:row>
      <xdr:rowOff>10936</xdr:rowOff>
    </xdr:from>
    <xdr:to>
      <xdr:col>17</xdr:col>
      <xdr:colOff>398988</xdr:colOff>
      <xdr:row>47</xdr:row>
      <xdr:rowOff>56512</xdr:rowOff>
    </xdr:to>
    <xdr:pic>
      <xdr:nvPicPr>
        <xdr:cNvPr id="2" name="Picture 1" descr="A white rectangular table with black text&#10;&#10;Description automatically generated with medium confidence">
          <a:extLst>
            <a:ext uri="{FF2B5EF4-FFF2-40B4-BE49-F238E27FC236}">
              <a16:creationId xmlns:a16="http://schemas.microsoft.com/office/drawing/2014/main" id="{32858CD8-21F3-480D-BFDA-6A50BDE7E296}"/>
            </a:ext>
          </a:extLst>
        </xdr:cNvPr>
        <xdr:cNvPicPr>
          <a:picLocks noChangeAspect="1"/>
        </xdr:cNvPicPr>
      </xdr:nvPicPr>
      <xdr:blipFill>
        <a:blip xmlns:r="http://schemas.openxmlformats.org/officeDocument/2006/relationships" r:embed="rId1"/>
        <a:stretch>
          <a:fillRect/>
        </a:stretch>
      </xdr:blipFill>
      <xdr:spPr>
        <a:xfrm>
          <a:off x="9112250" y="6373636"/>
          <a:ext cx="6425138" cy="3258677"/>
        </a:xfrm>
        <a:prstGeom prst="rect">
          <a:avLst/>
        </a:prstGeom>
      </xdr:spPr>
    </xdr:pic>
    <xdr:clientData/>
  </xdr:twoCellAnchor>
  <xdr:twoCellAnchor editAs="oneCell">
    <xdr:from>
      <xdr:col>0</xdr:col>
      <xdr:colOff>95250</xdr:colOff>
      <xdr:row>80</xdr:row>
      <xdr:rowOff>33304</xdr:rowOff>
    </xdr:from>
    <xdr:to>
      <xdr:col>3</xdr:col>
      <xdr:colOff>266700</xdr:colOff>
      <xdr:row>93</xdr:row>
      <xdr:rowOff>2397</xdr:rowOff>
    </xdr:to>
    <xdr:pic>
      <xdr:nvPicPr>
        <xdr:cNvPr id="3" name="Picture 2" descr="A table with numbers and symbols&#10;&#10;Description automatically generated">
          <a:extLst>
            <a:ext uri="{FF2B5EF4-FFF2-40B4-BE49-F238E27FC236}">
              <a16:creationId xmlns:a16="http://schemas.microsoft.com/office/drawing/2014/main" id="{2DD99865-3A88-43E5-8898-EEC8F87EA907}"/>
            </a:ext>
          </a:extLst>
        </xdr:cNvPr>
        <xdr:cNvPicPr>
          <a:picLocks noChangeAspect="1"/>
        </xdr:cNvPicPr>
      </xdr:nvPicPr>
      <xdr:blipFill>
        <a:blip xmlns:r="http://schemas.openxmlformats.org/officeDocument/2006/relationships" r:embed="rId2"/>
        <a:stretch>
          <a:fillRect/>
        </a:stretch>
      </xdr:blipFill>
      <xdr:spPr>
        <a:xfrm>
          <a:off x="95250" y="20918454"/>
          <a:ext cx="3435350" cy="2354296"/>
        </a:xfrm>
        <a:prstGeom prst="rect">
          <a:avLst/>
        </a:prstGeom>
      </xdr:spPr>
    </xdr:pic>
    <xdr:clientData/>
  </xdr:twoCellAnchor>
  <xdr:twoCellAnchor editAs="oneCell">
    <xdr:from>
      <xdr:col>3</xdr:col>
      <xdr:colOff>768350</xdr:colOff>
      <xdr:row>80</xdr:row>
      <xdr:rowOff>81756</xdr:rowOff>
    </xdr:from>
    <xdr:to>
      <xdr:col>7</xdr:col>
      <xdr:colOff>615950</xdr:colOff>
      <xdr:row>92</xdr:row>
      <xdr:rowOff>164306</xdr:rowOff>
    </xdr:to>
    <xdr:pic>
      <xdr:nvPicPr>
        <xdr:cNvPr id="4" name="Picture 3" descr="A table with numbers and text&#10;&#10;Description automatically generated">
          <a:extLst>
            <a:ext uri="{FF2B5EF4-FFF2-40B4-BE49-F238E27FC236}">
              <a16:creationId xmlns:a16="http://schemas.microsoft.com/office/drawing/2014/main" id="{3470CFBA-F0F4-461B-A30F-642C97C5E7D1}"/>
            </a:ext>
          </a:extLst>
        </xdr:cNvPr>
        <xdr:cNvPicPr>
          <a:picLocks noChangeAspect="1"/>
        </xdr:cNvPicPr>
      </xdr:nvPicPr>
      <xdr:blipFill>
        <a:blip xmlns:r="http://schemas.openxmlformats.org/officeDocument/2006/relationships" r:embed="rId3"/>
        <a:stretch>
          <a:fillRect/>
        </a:stretch>
      </xdr:blipFill>
      <xdr:spPr>
        <a:xfrm>
          <a:off x="3575050" y="20966906"/>
          <a:ext cx="3657600" cy="2286000"/>
        </a:xfrm>
        <a:prstGeom prst="rect">
          <a:avLst/>
        </a:prstGeom>
      </xdr:spPr>
    </xdr:pic>
    <xdr:clientData/>
  </xdr:twoCellAnchor>
  <xdr:twoCellAnchor>
    <xdr:from>
      <xdr:col>8</xdr:col>
      <xdr:colOff>9525</xdr:colOff>
      <xdr:row>80</xdr:row>
      <xdr:rowOff>66675</xdr:rowOff>
    </xdr:from>
    <xdr:to>
      <xdr:col>10</xdr:col>
      <xdr:colOff>1524000</xdr:colOff>
      <xdr:row>92</xdr:row>
      <xdr:rowOff>171038</xdr:rowOff>
    </xdr:to>
    <xdr:grpSp>
      <xdr:nvGrpSpPr>
        <xdr:cNvPr id="5" name="Group 4">
          <a:extLst>
            <a:ext uri="{FF2B5EF4-FFF2-40B4-BE49-F238E27FC236}">
              <a16:creationId xmlns:a16="http://schemas.microsoft.com/office/drawing/2014/main" id="{BFC3D798-4EB4-4B2A-B1C3-5674784B4AA3}"/>
            </a:ext>
          </a:extLst>
        </xdr:cNvPr>
        <xdr:cNvGrpSpPr/>
      </xdr:nvGrpSpPr>
      <xdr:grpSpPr>
        <a:xfrm>
          <a:off x="8094793" y="16138889"/>
          <a:ext cx="2611775" cy="2262374"/>
          <a:chOff x="7480300" y="19183350"/>
          <a:chExt cx="5615874" cy="3834988"/>
        </a:xfrm>
      </xdr:grpSpPr>
      <xdr:pic>
        <xdr:nvPicPr>
          <xdr:cNvPr id="6" name="Picture 5">
            <a:extLst>
              <a:ext uri="{FF2B5EF4-FFF2-40B4-BE49-F238E27FC236}">
                <a16:creationId xmlns:a16="http://schemas.microsoft.com/office/drawing/2014/main" id="{EB3DA883-7F95-BCF4-514E-34ABE294677D}"/>
              </a:ext>
            </a:extLst>
          </xdr:cNvPr>
          <xdr:cNvPicPr>
            <a:picLocks noChangeAspect="1"/>
          </xdr:cNvPicPr>
        </xdr:nvPicPr>
        <xdr:blipFill>
          <a:blip xmlns:r="http://schemas.openxmlformats.org/officeDocument/2006/relationships" r:embed="rId4"/>
          <a:stretch>
            <a:fillRect/>
          </a:stretch>
        </xdr:blipFill>
        <xdr:spPr>
          <a:xfrm>
            <a:off x="7486650" y="19183350"/>
            <a:ext cx="5609524" cy="590476"/>
          </a:xfrm>
          <a:prstGeom prst="rect">
            <a:avLst/>
          </a:prstGeom>
        </xdr:spPr>
      </xdr:pic>
      <xdr:pic>
        <xdr:nvPicPr>
          <xdr:cNvPr id="7" name="Picture 6">
            <a:extLst>
              <a:ext uri="{FF2B5EF4-FFF2-40B4-BE49-F238E27FC236}">
                <a16:creationId xmlns:a16="http://schemas.microsoft.com/office/drawing/2014/main" id="{13221545-7F4C-AC30-7814-F64F29DA9BDE}"/>
              </a:ext>
            </a:extLst>
          </xdr:cNvPr>
          <xdr:cNvPicPr>
            <a:picLocks noChangeAspect="1"/>
          </xdr:cNvPicPr>
        </xdr:nvPicPr>
        <xdr:blipFill>
          <a:blip xmlns:r="http://schemas.openxmlformats.org/officeDocument/2006/relationships" r:embed="rId5"/>
          <a:stretch>
            <a:fillRect/>
          </a:stretch>
        </xdr:blipFill>
        <xdr:spPr>
          <a:xfrm>
            <a:off x="7480300" y="19723100"/>
            <a:ext cx="5542857" cy="3295238"/>
          </a:xfrm>
          <a:prstGeom prst="rect">
            <a:avLst/>
          </a:prstGeom>
        </xdr:spPr>
      </xdr:pic>
    </xdr:grpSp>
    <xdr:clientData/>
  </xdr:twoCellAnchor>
  <xdr:twoCellAnchor editAs="oneCell">
    <xdr:from>
      <xdr:col>7</xdr:col>
      <xdr:colOff>501650</xdr:colOff>
      <xdr:row>115</xdr:row>
      <xdr:rowOff>50800</xdr:rowOff>
    </xdr:from>
    <xdr:to>
      <xdr:col>14</xdr:col>
      <xdr:colOff>197551</xdr:colOff>
      <xdr:row>123</xdr:row>
      <xdr:rowOff>149285</xdr:rowOff>
    </xdr:to>
    <xdr:pic>
      <xdr:nvPicPr>
        <xdr:cNvPr id="8" name="Picture 7" descr="A screenshot of a computer&#10;&#10;Description automatically generated">
          <a:extLst>
            <a:ext uri="{FF2B5EF4-FFF2-40B4-BE49-F238E27FC236}">
              <a16:creationId xmlns:a16="http://schemas.microsoft.com/office/drawing/2014/main" id="{853633C5-5B0A-4060-ADF8-2379D7D8BDC0}"/>
            </a:ext>
          </a:extLst>
        </xdr:cNvPr>
        <xdr:cNvPicPr>
          <a:picLocks noChangeAspect="1"/>
        </xdr:cNvPicPr>
      </xdr:nvPicPr>
      <xdr:blipFill>
        <a:blip xmlns:r="http://schemas.openxmlformats.org/officeDocument/2006/relationships" r:embed="rId6"/>
        <a:stretch>
          <a:fillRect/>
        </a:stretch>
      </xdr:blipFill>
      <xdr:spPr>
        <a:xfrm>
          <a:off x="7569200" y="32156400"/>
          <a:ext cx="6649151" cy="2873436"/>
        </a:xfrm>
        <a:prstGeom prst="rect">
          <a:avLst/>
        </a:prstGeom>
      </xdr:spPr>
    </xdr:pic>
    <xdr:clientData/>
  </xdr:twoCellAnchor>
  <xdr:twoCellAnchor editAs="oneCell">
    <xdr:from>
      <xdr:col>6</xdr:col>
      <xdr:colOff>508000</xdr:colOff>
      <xdr:row>124</xdr:row>
      <xdr:rowOff>152400</xdr:rowOff>
    </xdr:from>
    <xdr:to>
      <xdr:col>10</xdr:col>
      <xdr:colOff>378392</xdr:colOff>
      <xdr:row>137</xdr:row>
      <xdr:rowOff>68696</xdr:rowOff>
    </xdr:to>
    <xdr:pic>
      <xdr:nvPicPr>
        <xdr:cNvPr id="9" name="Picture 8" descr="A screenshot of a website&#10;&#10;Description automatically generated">
          <a:extLst>
            <a:ext uri="{FF2B5EF4-FFF2-40B4-BE49-F238E27FC236}">
              <a16:creationId xmlns:a16="http://schemas.microsoft.com/office/drawing/2014/main" id="{029D6CFC-F84A-4636-91E6-D924B3A58D1A}"/>
            </a:ext>
          </a:extLst>
        </xdr:cNvPr>
        <xdr:cNvPicPr>
          <a:picLocks noChangeAspect="1"/>
        </xdr:cNvPicPr>
      </xdr:nvPicPr>
      <xdr:blipFill>
        <a:blip xmlns:r="http://schemas.openxmlformats.org/officeDocument/2006/relationships" r:embed="rId7"/>
        <a:stretch>
          <a:fillRect/>
        </a:stretch>
      </xdr:blipFill>
      <xdr:spPr>
        <a:xfrm>
          <a:off x="6610350" y="34480500"/>
          <a:ext cx="3801042" cy="3250046"/>
        </a:xfrm>
        <a:prstGeom prst="rect">
          <a:avLst/>
        </a:prstGeom>
      </xdr:spPr>
    </xdr:pic>
    <xdr:clientData/>
  </xdr:twoCellAnchor>
  <xdr:twoCellAnchor editAs="oneCell">
    <xdr:from>
      <xdr:col>10</xdr:col>
      <xdr:colOff>793750</xdr:colOff>
      <xdr:row>124</xdr:row>
      <xdr:rowOff>127000</xdr:rowOff>
    </xdr:from>
    <xdr:to>
      <xdr:col>19</xdr:col>
      <xdr:colOff>258857</xdr:colOff>
      <xdr:row>136</xdr:row>
      <xdr:rowOff>35920</xdr:rowOff>
    </xdr:to>
    <xdr:pic>
      <xdr:nvPicPr>
        <xdr:cNvPr id="10" name="Picture 9" descr="A close-up of a document&#10;&#10;Description automatically generated">
          <a:extLst>
            <a:ext uri="{FF2B5EF4-FFF2-40B4-BE49-F238E27FC236}">
              <a16:creationId xmlns:a16="http://schemas.microsoft.com/office/drawing/2014/main" id="{5BB1CB64-1114-4578-A15A-565F5B65ED80}"/>
            </a:ext>
          </a:extLst>
        </xdr:cNvPr>
        <xdr:cNvPicPr>
          <a:picLocks noChangeAspect="1"/>
        </xdr:cNvPicPr>
      </xdr:nvPicPr>
      <xdr:blipFill>
        <a:blip xmlns:r="http://schemas.openxmlformats.org/officeDocument/2006/relationships" r:embed="rId8"/>
        <a:stretch>
          <a:fillRect/>
        </a:stretch>
      </xdr:blipFill>
      <xdr:spPr>
        <a:xfrm>
          <a:off x="10572750" y="34455100"/>
          <a:ext cx="6500907" cy="3064871"/>
        </a:xfrm>
        <a:prstGeom prst="rect">
          <a:avLst/>
        </a:prstGeom>
      </xdr:spPr>
    </xdr:pic>
    <xdr:clientData/>
  </xdr:twoCellAnchor>
  <xdr:oneCellAnchor>
    <xdr:from>
      <xdr:col>8</xdr:col>
      <xdr:colOff>558800</xdr:colOff>
      <xdr:row>98</xdr:row>
      <xdr:rowOff>298450</xdr:rowOff>
    </xdr:from>
    <xdr:ext cx="7261615" cy="2642819"/>
    <xdr:pic>
      <xdr:nvPicPr>
        <xdr:cNvPr id="11" name="Picture 10" descr="A screenshot of a computer&#10;&#10;Description automatically generated">
          <a:extLst>
            <a:ext uri="{FF2B5EF4-FFF2-40B4-BE49-F238E27FC236}">
              <a16:creationId xmlns:a16="http://schemas.microsoft.com/office/drawing/2014/main" id="{49A9AF56-E6D1-4C7D-8936-A30241F2D966}"/>
            </a:ext>
          </a:extLst>
        </xdr:cNvPr>
        <xdr:cNvPicPr>
          <a:picLocks noChangeAspect="1"/>
        </xdr:cNvPicPr>
      </xdr:nvPicPr>
      <xdr:blipFill>
        <a:blip xmlns:r="http://schemas.openxmlformats.org/officeDocument/2006/relationships" r:embed="rId9"/>
        <a:stretch>
          <a:fillRect/>
        </a:stretch>
      </xdr:blipFill>
      <xdr:spPr>
        <a:xfrm>
          <a:off x="8623300" y="19983450"/>
          <a:ext cx="7261615" cy="2642819"/>
        </a:xfrm>
        <a:prstGeom prst="rect">
          <a:avLst/>
        </a:prstGeom>
      </xdr:spPr>
    </xdr:pic>
    <xdr:clientData/>
  </xdr:oneCellAnchor>
  <xdr:oneCellAnchor>
    <xdr:from>
      <xdr:col>0</xdr:col>
      <xdr:colOff>19050</xdr:colOff>
      <xdr:row>156</xdr:row>
      <xdr:rowOff>171450</xdr:rowOff>
    </xdr:from>
    <xdr:ext cx="5272520" cy="4638635"/>
    <xdr:pic>
      <xdr:nvPicPr>
        <xdr:cNvPr id="14" name="Picture 11" descr="A table with numbers and letters&#10;&#10;Description automatically generated">
          <a:extLst>
            <a:ext uri="{FF2B5EF4-FFF2-40B4-BE49-F238E27FC236}">
              <a16:creationId xmlns:a16="http://schemas.microsoft.com/office/drawing/2014/main" id="{C08B76BC-9DD5-446D-BB4C-48862A72DB73}"/>
            </a:ext>
          </a:extLst>
        </xdr:cNvPr>
        <xdr:cNvPicPr>
          <a:picLocks noChangeAspect="1"/>
        </xdr:cNvPicPr>
      </xdr:nvPicPr>
      <xdr:blipFill>
        <a:blip xmlns:r="http://schemas.openxmlformats.org/officeDocument/2006/relationships" r:embed="rId10"/>
        <a:stretch>
          <a:fillRect/>
        </a:stretch>
      </xdr:blipFill>
      <xdr:spPr>
        <a:xfrm>
          <a:off x="19050" y="39833550"/>
          <a:ext cx="5272520" cy="4638635"/>
        </a:xfrm>
        <a:prstGeom prst="rect">
          <a:avLst/>
        </a:prstGeom>
      </xdr:spPr>
    </xdr:pic>
    <xdr:clientData/>
  </xdr:oneCellAnchor>
  <xdr:oneCellAnchor>
    <xdr:from>
      <xdr:col>5</xdr:col>
      <xdr:colOff>304800</xdr:colOff>
      <xdr:row>156</xdr:row>
      <xdr:rowOff>152400</xdr:rowOff>
    </xdr:from>
    <xdr:ext cx="5294430" cy="2330632"/>
    <xdr:pic>
      <xdr:nvPicPr>
        <xdr:cNvPr id="16" name="Picture 12" descr="A table with numbers and a few letters&#10;&#10;Description automatically generated with medium confidence">
          <a:extLst>
            <a:ext uri="{FF2B5EF4-FFF2-40B4-BE49-F238E27FC236}">
              <a16:creationId xmlns:a16="http://schemas.microsoft.com/office/drawing/2014/main" id="{7F8FB4F8-F66A-4572-8DA7-E2F99DD6CD2F}"/>
            </a:ext>
          </a:extLst>
        </xdr:cNvPr>
        <xdr:cNvPicPr>
          <a:picLocks noChangeAspect="1"/>
        </xdr:cNvPicPr>
      </xdr:nvPicPr>
      <xdr:blipFill>
        <a:blip xmlns:r="http://schemas.openxmlformats.org/officeDocument/2006/relationships" r:embed="rId11"/>
        <a:stretch>
          <a:fillRect/>
        </a:stretch>
      </xdr:blipFill>
      <xdr:spPr>
        <a:xfrm>
          <a:off x="5495925" y="39814500"/>
          <a:ext cx="5294430" cy="233063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165101</xdr:colOff>
      <xdr:row>6</xdr:row>
      <xdr:rowOff>100995</xdr:rowOff>
    </xdr:from>
    <xdr:to>
      <xdr:col>6</xdr:col>
      <xdr:colOff>315441</xdr:colOff>
      <xdr:row>22</xdr:row>
      <xdr:rowOff>183005</xdr:rowOff>
    </xdr:to>
    <xdr:pic>
      <xdr:nvPicPr>
        <xdr:cNvPr id="2" name="Picture 1">
          <a:extLst>
            <a:ext uri="{FF2B5EF4-FFF2-40B4-BE49-F238E27FC236}">
              <a16:creationId xmlns:a16="http://schemas.microsoft.com/office/drawing/2014/main" id="{0A541EFC-5E2B-4E86-BEF2-89B43EFA5BB1}"/>
            </a:ext>
          </a:extLst>
        </xdr:cNvPr>
        <xdr:cNvPicPr>
          <a:picLocks noChangeAspect="1"/>
        </xdr:cNvPicPr>
      </xdr:nvPicPr>
      <xdr:blipFill>
        <a:blip xmlns:r="http://schemas.openxmlformats.org/officeDocument/2006/relationships" r:embed="rId1"/>
        <a:stretch>
          <a:fillRect/>
        </a:stretch>
      </xdr:blipFill>
      <xdr:spPr>
        <a:xfrm>
          <a:off x="165101" y="1650395"/>
          <a:ext cx="3807940" cy="2971260"/>
        </a:xfrm>
        <a:prstGeom prst="rect">
          <a:avLst/>
        </a:prstGeom>
      </xdr:spPr>
    </xdr:pic>
    <xdr:clientData/>
  </xdr:twoCellAnchor>
  <xdr:twoCellAnchor editAs="oneCell">
    <xdr:from>
      <xdr:col>0</xdr:col>
      <xdr:colOff>0</xdr:colOff>
      <xdr:row>1</xdr:row>
      <xdr:rowOff>152400</xdr:rowOff>
    </xdr:from>
    <xdr:to>
      <xdr:col>9</xdr:col>
      <xdr:colOff>6608</xdr:colOff>
      <xdr:row>6</xdr:row>
      <xdr:rowOff>29224</xdr:rowOff>
    </xdr:to>
    <xdr:pic>
      <xdr:nvPicPr>
        <xdr:cNvPr id="3" name="Picture 2">
          <a:extLst>
            <a:ext uri="{FF2B5EF4-FFF2-40B4-BE49-F238E27FC236}">
              <a16:creationId xmlns:a16="http://schemas.microsoft.com/office/drawing/2014/main" id="{E9E47B68-D5CF-48D3-9063-DDC6E81201E8}"/>
            </a:ext>
          </a:extLst>
        </xdr:cNvPr>
        <xdr:cNvPicPr>
          <a:picLocks noChangeAspect="1"/>
        </xdr:cNvPicPr>
      </xdr:nvPicPr>
      <xdr:blipFill>
        <a:blip xmlns:r="http://schemas.openxmlformats.org/officeDocument/2006/relationships" r:embed="rId2"/>
        <a:stretch>
          <a:fillRect/>
        </a:stretch>
      </xdr:blipFill>
      <xdr:spPr>
        <a:xfrm>
          <a:off x="0" y="387350"/>
          <a:ext cx="5489833" cy="775349"/>
        </a:xfrm>
        <a:prstGeom prst="rect">
          <a:avLst/>
        </a:prstGeom>
      </xdr:spPr>
    </xdr:pic>
    <xdr:clientData/>
  </xdr:twoCellAnchor>
  <xdr:twoCellAnchor editAs="oneCell">
    <xdr:from>
      <xdr:col>0</xdr:col>
      <xdr:colOff>63500</xdr:colOff>
      <xdr:row>30</xdr:row>
      <xdr:rowOff>100173</xdr:rowOff>
    </xdr:from>
    <xdr:to>
      <xdr:col>12</xdr:col>
      <xdr:colOff>139860</xdr:colOff>
      <xdr:row>40</xdr:row>
      <xdr:rowOff>49015</xdr:rowOff>
    </xdr:to>
    <xdr:pic>
      <xdr:nvPicPr>
        <xdr:cNvPr id="4" name="Picture 3">
          <a:extLst>
            <a:ext uri="{FF2B5EF4-FFF2-40B4-BE49-F238E27FC236}">
              <a16:creationId xmlns:a16="http://schemas.microsoft.com/office/drawing/2014/main" id="{4A9299B8-2F60-4716-8EB9-1274D55052FA}"/>
            </a:ext>
          </a:extLst>
        </xdr:cNvPr>
        <xdr:cNvPicPr>
          <a:picLocks noChangeAspect="1"/>
        </xdr:cNvPicPr>
      </xdr:nvPicPr>
      <xdr:blipFill>
        <a:blip xmlns:r="http://schemas.openxmlformats.org/officeDocument/2006/relationships" r:embed="rId3"/>
        <a:stretch>
          <a:fillRect/>
        </a:stretch>
      </xdr:blipFill>
      <xdr:spPr>
        <a:xfrm>
          <a:off x="63500" y="6405723"/>
          <a:ext cx="7534435" cy="1752242"/>
        </a:xfrm>
        <a:prstGeom prst="rect">
          <a:avLst/>
        </a:prstGeom>
      </xdr:spPr>
    </xdr:pic>
    <xdr:clientData/>
  </xdr:twoCellAnchor>
  <xdr:twoCellAnchor editAs="oneCell">
    <xdr:from>
      <xdr:col>0</xdr:col>
      <xdr:colOff>0</xdr:colOff>
      <xdr:row>25</xdr:row>
      <xdr:rowOff>26562</xdr:rowOff>
    </xdr:from>
    <xdr:to>
      <xdr:col>16</xdr:col>
      <xdr:colOff>172044</xdr:colOff>
      <xdr:row>31</xdr:row>
      <xdr:rowOff>1476</xdr:rowOff>
    </xdr:to>
    <xdr:pic>
      <xdr:nvPicPr>
        <xdr:cNvPr id="5" name="Picture 4">
          <a:extLst>
            <a:ext uri="{FF2B5EF4-FFF2-40B4-BE49-F238E27FC236}">
              <a16:creationId xmlns:a16="http://schemas.microsoft.com/office/drawing/2014/main" id="{8602A14C-A3C3-4DD6-8E12-7EEAA219D767}"/>
            </a:ext>
          </a:extLst>
        </xdr:cNvPr>
        <xdr:cNvPicPr>
          <a:picLocks noChangeAspect="1"/>
        </xdr:cNvPicPr>
      </xdr:nvPicPr>
      <xdr:blipFill>
        <a:blip xmlns:r="http://schemas.openxmlformats.org/officeDocument/2006/relationships" r:embed="rId4"/>
        <a:stretch>
          <a:fillRect/>
        </a:stretch>
      </xdr:blipFill>
      <xdr:spPr>
        <a:xfrm>
          <a:off x="0" y="5347862"/>
          <a:ext cx="11128969" cy="1054414"/>
        </a:xfrm>
        <a:prstGeom prst="rect">
          <a:avLst/>
        </a:prstGeom>
      </xdr:spPr>
    </xdr:pic>
    <xdr:clientData/>
  </xdr:twoCellAnchor>
  <xdr:twoCellAnchor editAs="oneCell">
    <xdr:from>
      <xdr:col>0</xdr:col>
      <xdr:colOff>35775</xdr:colOff>
      <xdr:row>42</xdr:row>
      <xdr:rowOff>1</xdr:rowOff>
    </xdr:from>
    <xdr:to>
      <xdr:col>15</xdr:col>
      <xdr:colOff>59876</xdr:colOff>
      <xdr:row>56</xdr:row>
      <xdr:rowOff>73683</xdr:rowOff>
    </xdr:to>
    <xdr:pic>
      <xdr:nvPicPr>
        <xdr:cNvPr id="6" name="Picture 5">
          <a:extLst>
            <a:ext uri="{FF2B5EF4-FFF2-40B4-BE49-F238E27FC236}">
              <a16:creationId xmlns:a16="http://schemas.microsoft.com/office/drawing/2014/main" id="{5D968FA3-65CC-4702-8807-86D9FCEA2861}"/>
            </a:ext>
          </a:extLst>
        </xdr:cNvPr>
        <xdr:cNvPicPr>
          <a:picLocks noChangeAspect="1"/>
        </xdr:cNvPicPr>
      </xdr:nvPicPr>
      <xdr:blipFill>
        <a:blip xmlns:r="http://schemas.openxmlformats.org/officeDocument/2006/relationships" r:embed="rId5"/>
        <a:stretch>
          <a:fillRect/>
        </a:stretch>
      </xdr:blipFill>
      <xdr:spPr>
        <a:xfrm>
          <a:off x="35775" y="8566151"/>
          <a:ext cx="10111076" cy="2607332"/>
        </a:xfrm>
        <a:prstGeom prst="rect">
          <a:avLst/>
        </a:prstGeom>
      </xdr:spPr>
    </xdr:pic>
    <xdr:clientData/>
  </xdr:twoCellAnchor>
  <xdr:twoCellAnchor editAs="oneCell">
    <xdr:from>
      <xdr:col>0</xdr:col>
      <xdr:colOff>9621</xdr:colOff>
      <xdr:row>62</xdr:row>
      <xdr:rowOff>147686</xdr:rowOff>
    </xdr:from>
    <xdr:to>
      <xdr:col>12</xdr:col>
      <xdr:colOff>381577</xdr:colOff>
      <xdr:row>82</xdr:row>
      <xdr:rowOff>150880</xdr:rowOff>
    </xdr:to>
    <xdr:pic>
      <xdr:nvPicPr>
        <xdr:cNvPr id="7" name="Picture 6">
          <a:extLst>
            <a:ext uri="{FF2B5EF4-FFF2-40B4-BE49-F238E27FC236}">
              <a16:creationId xmlns:a16="http://schemas.microsoft.com/office/drawing/2014/main" id="{8667D6FC-C4E2-4FEF-8B7A-2D31F81FAAA4}"/>
            </a:ext>
          </a:extLst>
        </xdr:cNvPr>
        <xdr:cNvPicPr>
          <a:picLocks noChangeAspect="1"/>
        </xdr:cNvPicPr>
      </xdr:nvPicPr>
      <xdr:blipFill>
        <a:blip xmlns:r="http://schemas.openxmlformats.org/officeDocument/2006/relationships" r:embed="rId6"/>
        <a:stretch>
          <a:fillRect/>
        </a:stretch>
      </xdr:blipFill>
      <xdr:spPr>
        <a:xfrm>
          <a:off x="9621" y="12695286"/>
          <a:ext cx="7826856" cy="3629044"/>
        </a:xfrm>
        <a:prstGeom prst="rect">
          <a:avLst/>
        </a:prstGeom>
      </xdr:spPr>
    </xdr:pic>
    <xdr:clientData/>
  </xdr:twoCellAnchor>
  <xdr:twoCellAnchor editAs="oneCell">
    <xdr:from>
      <xdr:col>0</xdr:col>
      <xdr:colOff>0</xdr:colOff>
      <xdr:row>86</xdr:row>
      <xdr:rowOff>89178</xdr:rowOff>
    </xdr:from>
    <xdr:to>
      <xdr:col>11</xdr:col>
      <xdr:colOff>645938</xdr:colOff>
      <xdr:row>100</xdr:row>
      <xdr:rowOff>145005</xdr:rowOff>
    </xdr:to>
    <xdr:pic>
      <xdr:nvPicPr>
        <xdr:cNvPr id="8" name="Picture 7">
          <a:extLst>
            <a:ext uri="{FF2B5EF4-FFF2-40B4-BE49-F238E27FC236}">
              <a16:creationId xmlns:a16="http://schemas.microsoft.com/office/drawing/2014/main" id="{07AA3A31-12D8-47A1-AB7B-4798DC93AC69}"/>
            </a:ext>
          </a:extLst>
        </xdr:cNvPr>
        <xdr:cNvPicPr>
          <a:picLocks noChangeAspect="1"/>
        </xdr:cNvPicPr>
      </xdr:nvPicPr>
      <xdr:blipFill>
        <a:blip xmlns:r="http://schemas.openxmlformats.org/officeDocument/2006/relationships" r:embed="rId7"/>
        <a:stretch>
          <a:fillRect/>
        </a:stretch>
      </xdr:blipFill>
      <xdr:spPr>
        <a:xfrm>
          <a:off x="0" y="17170678"/>
          <a:ext cx="7234063" cy="2592652"/>
        </a:xfrm>
        <a:prstGeom prst="rect">
          <a:avLst/>
        </a:prstGeom>
      </xdr:spPr>
    </xdr:pic>
    <xdr:clientData/>
  </xdr:twoCellAnchor>
  <xdr:twoCellAnchor editAs="oneCell">
    <xdr:from>
      <xdr:col>0</xdr:col>
      <xdr:colOff>0</xdr:colOff>
      <xdr:row>119</xdr:row>
      <xdr:rowOff>1</xdr:rowOff>
    </xdr:from>
    <xdr:to>
      <xdr:col>7</xdr:col>
      <xdr:colOff>151019</xdr:colOff>
      <xdr:row>134</xdr:row>
      <xdr:rowOff>65359</xdr:rowOff>
    </xdr:to>
    <xdr:pic>
      <xdr:nvPicPr>
        <xdr:cNvPr id="9" name="Picture 8">
          <a:extLst>
            <a:ext uri="{FF2B5EF4-FFF2-40B4-BE49-F238E27FC236}">
              <a16:creationId xmlns:a16="http://schemas.microsoft.com/office/drawing/2014/main" id="{4464B23F-4179-4A00-8A18-B4AD38627771}"/>
            </a:ext>
          </a:extLst>
        </xdr:cNvPr>
        <xdr:cNvPicPr>
          <a:picLocks noChangeAspect="1"/>
        </xdr:cNvPicPr>
      </xdr:nvPicPr>
      <xdr:blipFill>
        <a:blip xmlns:r="http://schemas.openxmlformats.org/officeDocument/2006/relationships" r:embed="rId8"/>
        <a:stretch>
          <a:fillRect/>
        </a:stretch>
      </xdr:blipFill>
      <xdr:spPr>
        <a:xfrm>
          <a:off x="0" y="21374101"/>
          <a:ext cx="4418219" cy="27799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80818</xdr:colOff>
      <xdr:row>9</xdr:row>
      <xdr:rowOff>57728</xdr:rowOff>
    </xdr:from>
    <xdr:to>
      <xdr:col>25</xdr:col>
      <xdr:colOff>222095</xdr:colOff>
      <xdr:row>60</xdr:row>
      <xdr:rowOff>134942</xdr:rowOff>
    </xdr:to>
    <xdr:pic>
      <xdr:nvPicPr>
        <xdr:cNvPr id="2" name="Picture 1">
          <a:extLst>
            <a:ext uri="{FF2B5EF4-FFF2-40B4-BE49-F238E27FC236}">
              <a16:creationId xmlns:a16="http://schemas.microsoft.com/office/drawing/2014/main" id="{6A92CFD7-BC41-4170-AF80-2720C2EFECFD}"/>
            </a:ext>
          </a:extLst>
        </xdr:cNvPr>
        <xdr:cNvPicPr>
          <a:picLocks noChangeAspect="1"/>
        </xdr:cNvPicPr>
      </xdr:nvPicPr>
      <xdr:blipFill>
        <a:blip xmlns:r="http://schemas.openxmlformats.org/officeDocument/2006/relationships" r:embed="rId1"/>
        <a:stretch>
          <a:fillRect/>
        </a:stretch>
      </xdr:blipFill>
      <xdr:spPr>
        <a:xfrm>
          <a:off x="80818" y="1715078"/>
          <a:ext cx="15374927" cy="93069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5931958" cy="761729"/>
    <xdr:pic>
      <xdr:nvPicPr>
        <xdr:cNvPr id="2" name="Picture 1">
          <a:extLst>
            <a:ext uri="{FF2B5EF4-FFF2-40B4-BE49-F238E27FC236}">
              <a16:creationId xmlns:a16="http://schemas.microsoft.com/office/drawing/2014/main" id="{CA59542E-D8EE-4B32-9C79-4AAD0393F742}"/>
            </a:ext>
          </a:extLst>
        </xdr:cNvPr>
        <xdr:cNvPicPr>
          <a:picLocks noChangeAspect="1"/>
        </xdr:cNvPicPr>
      </xdr:nvPicPr>
      <xdr:blipFill>
        <a:blip xmlns:r="http://schemas.openxmlformats.org/officeDocument/2006/relationships" r:embed="rId1"/>
        <a:stretch>
          <a:fillRect/>
        </a:stretch>
      </xdr:blipFill>
      <xdr:spPr>
        <a:xfrm>
          <a:off x="0" y="0"/>
          <a:ext cx="5935133" cy="761729"/>
        </a:xfrm>
        <a:prstGeom prst="rect">
          <a:avLst/>
        </a:prstGeom>
      </xdr:spPr>
    </xdr:pic>
    <xdr:clientData/>
  </xdr:oneCellAnchor>
  <xdr:oneCellAnchor>
    <xdr:from>
      <xdr:col>0</xdr:col>
      <xdr:colOff>0</xdr:colOff>
      <xdr:row>4</xdr:row>
      <xdr:rowOff>159797</xdr:rowOff>
    </xdr:from>
    <xdr:ext cx="4646083" cy="2723821"/>
    <xdr:pic>
      <xdr:nvPicPr>
        <xdr:cNvPr id="3" name="Picture 2">
          <a:extLst>
            <a:ext uri="{FF2B5EF4-FFF2-40B4-BE49-F238E27FC236}">
              <a16:creationId xmlns:a16="http://schemas.microsoft.com/office/drawing/2014/main" id="{245C349D-4531-45B4-A907-BDAD45A087B0}"/>
            </a:ext>
          </a:extLst>
        </xdr:cNvPr>
        <xdr:cNvPicPr>
          <a:picLocks noChangeAspect="1"/>
        </xdr:cNvPicPr>
      </xdr:nvPicPr>
      <xdr:blipFill>
        <a:blip xmlns:r="http://schemas.openxmlformats.org/officeDocument/2006/relationships" r:embed="rId2"/>
        <a:stretch>
          <a:fillRect/>
        </a:stretch>
      </xdr:blipFill>
      <xdr:spPr>
        <a:xfrm>
          <a:off x="0" y="893222"/>
          <a:ext cx="4646083" cy="272382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usepa.sharepoint.com/sites/ocspp_Work/wpc/TSCA%20Scoping%20Next%2020%20HPS%20Review/Phthalates/DEHP/RE%20Documents/Supplemental%20Files%20for%20DEHP/Staging%20for%20Public%20Release/20.%20DEHP%20.%20Draft%20Occupational%20Risk%20Calculator%20.%20Public%20Release%20.%20May%202025.xlsx" TargetMode="External"/><Relationship Id="rId2" Type="http://schemas.microsoft.com/office/2019/04/relationships/externalLinkLongPath" Target="20.%20DEHP%20.%20Draft%20Occupational%20Risk%20Calculator%20.%20Public%20Release%20.%20May%202025.xlsx?563C0909" TargetMode="External"/><Relationship Id="rId1" Type="http://schemas.openxmlformats.org/officeDocument/2006/relationships/externalLinkPath" Target="file:///\\563C0909\20.%20DEHP%20.%20Draft%20Occupational%20Risk%20Calculator%20.%20Public%20Release%20.%20May%20202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61902\Desktop\Projects\OPPT%20Risk%20Assessments\Pthalates\DEHP\DEHP%20COU_Product_Scenario%20Crosswalk.xlsx" TargetMode="External"/><Relationship Id="rId1" Type="http://schemas.openxmlformats.org/officeDocument/2006/relationships/externalLinkPath" Target="DEHP%20COU_Product_Scenario%20Crosswal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ver Page"/>
      <sheetName val="Read Me"/>
      <sheetName val="Calculation Summary"/>
      <sheetName val="Dashboard"/>
      <sheetName val="Aggregate RR"/>
      <sheetName val="RR"/>
      <sheetName val="Inhalation Exposure"/>
      <sheetName val="Dermal Exposure"/>
      <sheetName val="Tables for RE (Risk only)"/>
      <sheetName val="Tables for RE"/>
      <sheetName val="Tables for Report"/>
      <sheetName val="Hazard Values"/>
      <sheetName val="List Values"/>
      <sheetName val="Exposure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6">
          <cell r="H6">
            <v>8</v>
          </cell>
        </row>
        <row r="11">
          <cell r="H11">
            <v>22</v>
          </cell>
        </row>
        <row r="12">
          <cell r="H12">
            <v>30</v>
          </cell>
        </row>
        <row r="13">
          <cell r="H13">
            <v>31</v>
          </cell>
        </row>
        <row r="14">
          <cell r="H14">
            <v>40</v>
          </cell>
        </row>
        <row r="15">
          <cell r="H15">
            <v>78</v>
          </cell>
        </row>
      </sheetData>
      <sheetData sheetId="13">
        <row r="4">
          <cell r="C4">
            <v>80</v>
          </cell>
          <cell r="D4">
            <v>72.425000000000011</v>
          </cell>
        </row>
        <row r="10">
          <cell r="C10">
            <v>1.25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OC"/>
      <sheetName val="COU DEHP"/>
      <sheetName val="P Chem"/>
      <sheetName val="DEHP Crosswalk"/>
      <sheetName val="DEHP literature Vals"/>
      <sheetName val="DEHP Product Review"/>
    </sheetNames>
    <sheetDataSet>
      <sheetData sheetId="0"/>
      <sheetData sheetId="1"/>
      <sheetData sheetId="2"/>
      <sheetData sheetId="3"/>
      <sheetData sheetId="4">
        <row r="4">
          <cell r="K4">
            <v>7.2999999999999996E-4</v>
          </cell>
          <cell r="L4">
            <v>0.29002875000000006</v>
          </cell>
          <cell r="M4">
            <v>0.70200000000000007</v>
          </cell>
        </row>
        <row r="18">
          <cell r="K18">
            <v>3.0000000000000001E-5</v>
          </cell>
          <cell r="L18">
            <v>8.1667000000000003E-2</v>
          </cell>
          <cell r="M18">
            <v>0.30399999999999999</v>
          </cell>
        </row>
        <row r="27">
          <cell r="K27">
            <v>2.0000000000000002E-5</v>
          </cell>
          <cell r="L27">
            <v>0.12293833333333333</v>
          </cell>
          <cell r="M27">
            <v>0.39200000000000002</v>
          </cell>
        </row>
      </sheetData>
      <sheetData sheetId="5"/>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doi.org/10.1038%2Fs41370-021-00354-0" TargetMode="External"/><Relationship Id="rId1" Type="http://schemas.openxmlformats.org/officeDocument/2006/relationships/hyperlink" Target="https://doi.org/10.1111/ina.12395"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3" Type="http://schemas.openxmlformats.org/officeDocument/2006/relationships/hyperlink" Target="https://www.restek.com/p/31850" TargetMode="External"/><Relationship Id="rId18" Type="http://schemas.openxmlformats.org/officeDocument/2006/relationships/hyperlink" Target="https://www.restek.com/p/31626" TargetMode="External"/><Relationship Id="rId26" Type="http://schemas.openxmlformats.org/officeDocument/2006/relationships/hyperlink" Target="https://www.amazon.com/stores/Stamp-Ever/page/EFCEC1DB-DD83-4D93-9422-D013229FB026?ref_=ast_bln&amp;store_ref=bl_ast_dp_brandLogo_sto" TargetMode="External"/><Relationship Id="rId39" Type="http://schemas.openxmlformats.org/officeDocument/2006/relationships/hyperlink" Target="https://selectsurfacesoln.com/product/cureseal-100-plus/" TargetMode="External"/><Relationship Id="rId21" Type="http://schemas.openxmlformats.org/officeDocument/2006/relationships/hyperlink" Target="http://solutions.tmi-pvc.com/pvc-film/" TargetMode="External"/><Relationship Id="rId34" Type="http://schemas.openxmlformats.org/officeDocument/2006/relationships/hyperlink" Target="https://www.spex.com/Product/Detail/Polyethylene-(PE)-Standards/b153dcca-af93-44f2-9f4a-94cd37a992a1/9-Regulated-Phthalates-and-BPA-Standard" TargetMode="External"/><Relationship Id="rId42" Type="http://schemas.openxmlformats.org/officeDocument/2006/relationships/hyperlink" Target="https://nabco2.myshopify.com/products/anchor-brand-dotted-canvas-gloves" TargetMode="External"/><Relationship Id="rId47" Type="http://schemas.openxmlformats.org/officeDocument/2006/relationships/drawing" Target="../drawings/drawing2.xml"/><Relationship Id="rId7" Type="http://schemas.openxmlformats.org/officeDocument/2006/relationships/hyperlink" Target="https://www.amazon.com/1400C-Economy-Tape-Vinyl-Electrical/dp/B00TK8THZ2?th=1" TargetMode="External"/><Relationship Id="rId2" Type="http://schemas.openxmlformats.org/officeDocument/2006/relationships/hyperlink" Target="https://www.amazon.com/s?k=Scotchcast" TargetMode="External"/><Relationship Id="rId16" Type="http://schemas.openxmlformats.org/officeDocument/2006/relationships/hyperlink" Target="https://www.phenova.com/Product/CalibrationStandards" TargetMode="External"/><Relationship Id="rId29" Type="http://schemas.openxmlformats.org/officeDocument/2006/relationships/hyperlink" Target="https://www.phenova.com/Product/CalibrationStandards" TargetMode="External"/><Relationship Id="rId1" Type="http://schemas.openxmlformats.org/officeDocument/2006/relationships/hyperlink" Target="https://www.valero.com/refining/specialty-products" TargetMode="External"/><Relationship Id="rId6" Type="http://schemas.openxmlformats.org/officeDocument/2006/relationships/hyperlink" Target="https://flexiblewiringconduits.anacondasealtite.com/viewitems/sealtite-non-ul/l-conduit-liquid-tight-flexible-metal-conduit-lfmc" TargetMode="External"/><Relationship Id="rId11" Type="http://schemas.openxmlformats.org/officeDocument/2006/relationships/hyperlink" Target="https://www.restek.com/p/31621" TargetMode="External"/><Relationship Id="rId24" Type="http://schemas.openxmlformats.org/officeDocument/2006/relationships/hyperlink" Target="https://www.eaglesealer.com/product-page/paver-sealer" TargetMode="External"/><Relationship Id="rId32" Type="http://schemas.openxmlformats.org/officeDocument/2006/relationships/hyperlink" Target="https://www.spex.com/Product/Detail/Semivolatiles/b5bf05ac-4db1-4d28-9420-16495e9d808d/EPA-Method-625-8270-Base-Neutrals-Mix-1" TargetMode="External"/><Relationship Id="rId37" Type="http://schemas.openxmlformats.org/officeDocument/2006/relationships/hyperlink" Target="https://www.hbchemical.com/products/synthetic-polymers" TargetMode="External"/><Relationship Id="rId40" Type="http://schemas.openxmlformats.org/officeDocument/2006/relationships/hyperlink" Target="https://www.3m.com/3M/en_US/p/d/b40071580/" TargetMode="External"/><Relationship Id="rId45" Type="http://schemas.openxmlformats.org/officeDocument/2006/relationships/hyperlink" Target="https://www.autobodytoolmart.com/product/atd-100-pc-8-black-uv-stabilized-nylon-cable-ties-20408/nylon-cable-ties" TargetMode="External"/><Relationship Id="rId5" Type="http://schemas.openxmlformats.org/officeDocument/2006/relationships/hyperlink" Target="https://www.hbchemical.com/products/dispersions" TargetMode="External"/><Relationship Id="rId15" Type="http://schemas.openxmlformats.org/officeDocument/2006/relationships/hyperlink" Target="https://www.restek.com/p/33227" TargetMode="External"/><Relationship Id="rId23" Type="http://schemas.openxmlformats.org/officeDocument/2006/relationships/hyperlink" Target="https://usa.sika.com/en/construction/concrete/decorative-concrete/sealers/scofield-cureseal-w.html" TargetMode="External"/><Relationship Id="rId28" Type="http://schemas.openxmlformats.org/officeDocument/2006/relationships/hyperlink" Target="https://www.phenova.com/Product/CalibrationStandards" TargetMode="External"/><Relationship Id="rId36" Type="http://schemas.openxmlformats.org/officeDocument/2006/relationships/hyperlink" Target="https://www.geon.com/materials/synplast-mxp" TargetMode="External"/><Relationship Id="rId10" Type="http://schemas.openxmlformats.org/officeDocument/2006/relationships/hyperlink" Target="https://www.restek.com/p/31420" TargetMode="External"/><Relationship Id="rId19" Type="http://schemas.openxmlformats.org/officeDocument/2006/relationships/hyperlink" Target="https://www.ennisflint.com/products/traffic-paint/solvent" TargetMode="External"/><Relationship Id="rId31" Type="http://schemas.openxmlformats.org/officeDocument/2006/relationships/hyperlink" Target="https://www.laddresearch.com/apertures-microholes-filaments-screens/mercox/mercox-resin" TargetMode="External"/><Relationship Id="rId44" Type="http://schemas.openxmlformats.org/officeDocument/2006/relationships/hyperlink" Target="https://www.daystarsafety.com/duo-safety-full-brim-helmets--3" TargetMode="External"/><Relationship Id="rId4" Type="http://schemas.openxmlformats.org/officeDocument/2006/relationships/hyperlink" Target="https://www.durodynecanada.com/products/flexible-duct-connector/durolon-flexible-duct-connector/" TargetMode="External"/><Relationship Id="rId9" Type="http://schemas.openxmlformats.org/officeDocument/2006/relationships/hyperlink" Target="https://www.amazon.com/Ready-Use-Red-Glazing-Putty/dp/B000AMOEH8/ref=sr_1_1?adgrpid=1337006701782262&amp;dib=eyJ2IjoiMSJ9.hPPiBh9rmwc8o3gGK-TRWD9Ndk_FS1DTPKUR4s9CuWCNG_lDpw8Cu3aUy4jnqU0t7TRnjYjwEQNK3nPbG5rnItRitKfJaTnsSz_O2J9capINbygfPuMegaa6WF0Q7vkOYSUfFWIwDicUxwA_yQTd0Ah5ceJb43THOUsj5nAkfnX907bQczFPiRPix93WkkvSJsnFP-6N6doXityV4z3HcCatWwMic_px7owHDWMQm3NWHXq3P5Mc5FuEukW8MacszcGceLDawR524jVKJAYP0pwWI1IUTC-g-jFJwOKWjnw.Z7n4vMTh-gu3RJnutRekSQAP4pJmeEkMWlfWrEg8kSA&amp;dib_tag=se&amp;hvadid=83563262189233&amp;hvbmt=bp&amp;hvdev=c&amp;hvlocphy=83797&amp;hvnetw=o&amp;hvqmt=p&amp;hvtargid=kwd-83563258142093%3Aloc-190&amp;hydadcr=7485_13291154&amp;keywords=red+glazing+putty&amp;qid=1716475144&amp;sr=8-1" TargetMode="External"/><Relationship Id="rId14" Type="http://schemas.openxmlformats.org/officeDocument/2006/relationships/hyperlink" Target="https://www.restek.com/p/31903" TargetMode="External"/><Relationship Id="rId22" Type="http://schemas.openxmlformats.org/officeDocument/2006/relationships/hyperlink" Target="https://bdloops.com/bd-ls-loop-sealant/" TargetMode="External"/><Relationship Id="rId27" Type="http://schemas.openxmlformats.org/officeDocument/2006/relationships/hyperlink" Target="https://www.carltonfloors.com/products" TargetMode="External"/><Relationship Id="rId30" Type="http://schemas.openxmlformats.org/officeDocument/2006/relationships/hyperlink" Target="https://www.phenova.com/Product/CalibrationStandards" TargetMode="External"/><Relationship Id="rId35" Type="http://schemas.openxmlformats.org/officeDocument/2006/relationships/hyperlink" Target="https://www.morganbrazealloys.com/en-gb/products/brazing-alloys/" TargetMode="External"/><Relationship Id="rId43" Type="http://schemas.openxmlformats.org/officeDocument/2006/relationships/hyperlink" Target="https://www.amazon.com/SPYPOINT-LIT-10-LIT-10-SPP/dp/B086TYQQBG" TargetMode="External"/><Relationship Id="rId8" Type="http://schemas.openxmlformats.org/officeDocument/2006/relationships/hyperlink" Target="https://wellingtonfragrance.com/products/chocolate-fragrance-oil?variant=45886490738979" TargetMode="External"/><Relationship Id="rId3" Type="http://schemas.openxmlformats.org/officeDocument/2006/relationships/hyperlink" Target="https://www.tremcosealants.com/markets/commercial/sealants-adhesives/" TargetMode="External"/><Relationship Id="rId12" Type="http://schemas.openxmlformats.org/officeDocument/2006/relationships/hyperlink" Target="https://www.restek.com/p/33227" TargetMode="External"/><Relationship Id="rId17" Type="http://schemas.openxmlformats.org/officeDocument/2006/relationships/hyperlink" Target="https://www.delta-sci.com/products/111558-01-method-8061-phthalates-mix-15-1558-1000-mgl-1-ml" TargetMode="External"/><Relationship Id="rId25" Type="http://schemas.openxmlformats.org/officeDocument/2006/relationships/hyperlink" Target="https://www.eaglesealer.com/supreme-seal" TargetMode="External"/><Relationship Id="rId33" Type="http://schemas.openxmlformats.org/officeDocument/2006/relationships/hyperlink" Target="https://www.spex.com/Product/Detail/Polyethylene-(PE)-Standards/e1867bc7-a15f-41bf-a4ae-be9888de9b49/Phthalates-Polyethylene-Standard" TargetMode="External"/><Relationship Id="rId38" Type="http://schemas.openxmlformats.org/officeDocument/2006/relationships/hyperlink" Target="https://www.amazon.com/U-S-Chemical-Plastics-Pronto-USC-32046/dp/B00H2WEH80/ref=sr_1_1_mod_primary_new?adgrpid=1340305235796713&amp;dib=eyJ2IjoiMSJ9.9NB8HYleytQq7KkIzUMVvV0WPmzCFRCZAuCVcJ5KU9wHmxoMETVnJjAYtFykD7psExltMzetb-qU2lq1uvRg6zm9JSfu6l8nX3Ws9itlpXw.pR4aUOGdbi427iGgQslWOpXKaYxxMPIoeaFO9LICGFk&amp;dib_tag=se&amp;hvadid=83769226926406&amp;hvbmt=be&amp;hvdev=c&amp;hvlocphy=97202&amp;hvnetw=o&amp;hvqmt=e&amp;hvtargid=kwd-83769413050646%3Aloc-190&amp;hydadcr=24631_13493291&amp;keywords=pronto+kombi+spot+putty&amp;msclkid=f62516a89faa169a555b70cb88b5f24c&amp;qid=1717770168&amp;sbo=RZvfv%2F%2FHxDF%2BO5021pAnSA%3D%3D&amp;sr=8-1" TargetMode="External"/><Relationship Id="rId46" Type="http://schemas.openxmlformats.org/officeDocument/2006/relationships/printerSettings" Target="../printerSettings/printerSettings4.bin"/><Relationship Id="rId20" Type="http://schemas.openxmlformats.org/officeDocument/2006/relationships/hyperlink" Target="https://www.rogerscorp.com/elastomer-components/endur-elastomer-components" TargetMode="External"/><Relationship Id="rId41" Type="http://schemas.openxmlformats.org/officeDocument/2006/relationships/hyperlink" Target="https://www.grainger.com/product/DUPLI-COLOR-Automotive-Coating-Black-801H01?gucid=N:N:PS:Paid:MS:CSM-2296:LC5DTN:20500731&amp;gclid=50dda9d4bdeb1d44d9aacfbc2cb0d773&amp;gclsrc=3p.ds&amp;msclkid=50dda9d4bdeb1d44d9aacfbc2cb0d77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ecocenter.org/sites/default/files/2022-04/DS_SPSSoutput_byretailer.pdf" TargetMode="External"/><Relationship Id="rId3" Type="http://schemas.openxmlformats.org/officeDocument/2006/relationships/hyperlink" Target="https://www.ecocenter.org/sites/default/files/2022-04/DS_SPSSoutput_byretailer.pdf" TargetMode="External"/><Relationship Id="rId7" Type="http://schemas.openxmlformats.org/officeDocument/2006/relationships/hyperlink" Target="https://www.ecocenter.org/sites/default/files/2022-04/DS_SPSSoutput_byretailer.pdf" TargetMode="External"/><Relationship Id="rId2" Type="http://schemas.openxmlformats.org/officeDocument/2006/relationships/hyperlink" Target="https://www.ecocenter.org/sites/default/files/2022-04/DS_SPSSoutput_byretailer.pdf" TargetMode="External"/><Relationship Id="rId1" Type="http://schemas.openxmlformats.org/officeDocument/2006/relationships/hyperlink" Target="https://www.ecocenter.org/sites/default/files/2022-04/DS_SPSSoutput_byretailer.pdf" TargetMode="External"/><Relationship Id="rId6" Type="http://schemas.openxmlformats.org/officeDocument/2006/relationships/hyperlink" Target="https://www.ecocenter.org/sites/default/files/2022-04/DS_SPSSoutput_byretailer.pdf" TargetMode="External"/><Relationship Id="rId5" Type="http://schemas.openxmlformats.org/officeDocument/2006/relationships/hyperlink" Target="https://www.ecocenter.org/sites/default/files/2022-04/DS_SPSSoutput_byretailer.pdf" TargetMode="External"/><Relationship Id="rId10" Type="http://schemas.openxmlformats.org/officeDocument/2006/relationships/printerSettings" Target="../printerSettings/printerSettings5.bin"/><Relationship Id="rId4" Type="http://schemas.openxmlformats.org/officeDocument/2006/relationships/hyperlink" Target="https://www.ecocenter.org/sites/default/files/2022-04/DS_SPSSoutput_byretailer.pdf" TargetMode="External"/><Relationship Id="rId9" Type="http://schemas.openxmlformats.org/officeDocument/2006/relationships/hyperlink" Target="https://www.ecocenter.org/sites/default/files/2022-04/DS_SPSSoutput_byretailer.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cocenter.org/sites/default/files/2022-04/DS_SPSSoutput_byretailer.pdf" TargetMode="External"/><Relationship Id="rId1" Type="http://schemas.openxmlformats.org/officeDocument/2006/relationships/hyperlink" Target="https://www.ecocenter.org/sites/default/files/2022-04/DS_SPSSoutput_byretailer.pdf" TargetMode="External"/></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ipolymer.com/pdf/PVC.pdf" TargetMode="External"/><Relationship Id="rId7" Type="http://schemas.openxmlformats.org/officeDocument/2006/relationships/printerSettings" Target="../printerSettings/printerSettings8.bin"/><Relationship Id="rId2" Type="http://schemas.openxmlformats.org/officeDocument/2006/relationships/hyperlink" Target="https://www.nature.com/articles/s41370-021-00354-0" TargetMode="External"/><Relationship Id="rId1" Type="http://schemas.openxmlformats.org/officeDocument/2006/relationships/hyperlink" Target="https://www.ansys.com/content/dam/amp/2021/august/webpage-requests/education-resources-dam-upload-batch-2/material-property-data-for-eng-materials-BOKENGEN21.pdf" TargetMode="External"/><Relationship Id="rId6" Type="http://schemas.openxmlformats.org/officeDocument/2006/relationships/hyperlink" Target="https://www.scientific.net/AMM.672-674.2165" TargetMode="External"/><Relationship Id="rId5" Type="http://schemas.openxmlformats.org/officeDocument/2006/relationships/hyperlink" Target="https://www.bobrick.com/wp-content/uploads/204-2-3_td.pdf" TargetMode="External"/><Relationship Id="rId4" Type="http://schemas.openxmlformats.org/officeDocument/2006/relationships/hyperlink" Target="https://www.matec-conferences.org/articles/matecconf/pdf/2018/34/matecconf_ifcae-iot2018_03014.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48B89-0344-4628-B11A-9FF7B653207D}">
  <sheetPr codeName="Sheet16"/>
  <dimension ref="A1:P36"/>
  <sheetViews>
    <sheetView tabSelected="1" workbookViewId="0"/>
  </sheetViews>
  <sheetFormatPr defaultColWidth="0" defaultRowHeight="14.5" zeroHeight="1"/>
  <cols>
    <col min="1" max="16" width="8.7265625" style="671" customWidth="1"/>
    <col min="17" max="16384" width="8.7265625" style="671" hidden="1"/>
  </cols>
  <sheetData>
    <row r="1" spans="1:16">
      <c r="A1" s="919"/>
      <c r="B1" s="919"/>
      <c r="C1" s="919"/>
      <c r="D1" s="919"/>
      <c r="E1" s="919"/>
      <c r="F1" s="919"/>
      <c r="G1" s="919"/>
      <c r="H1" s="919"/>
      <c r="I1" s="920"/>
      <c r="J1" s="920"/>
      <c r="K1" s="920"/>
      <c r="L1" s="920"/>
      <c r="M1" s="920"/>
      <c r="N1" s="920"/>
      <c r="O1" s="920"/>
      <c r="P1" s="920"/>
    </row>
    <row r="2" spans="1:16" ht="15.5">
      <c r="A2" s="919"/>
      <c r="B2" s="921" t="s">
        <v>1496</v>
      </c>
      <c r="C2" s="921"/>
      <c r="D2" s="921"/>
      <c r="E2" s="921"/>
      <c r="F2" s="921"/>
      <c r="G2" s="919"/>
      <c r="H2" s="919"/>
      <c r="I2" s="920"/>
      <c r="J2" s="920"/>
      <c r="K2" s="920"/>
      <c r="L2" s="920"/>
      <c r="M2" s="920"/>
      <c r="N2" s="920"/>
      <c r="O2" s="920"/>
      <c r="P2" s="920"/>
    </row>
    <row r="3" spans="1:16" ht="15.5">
      <c r="A3" s="919"/>
      <c r="B3" s="919"/>
      <c r="C3" s="922" t="s">
        <v>1497</v>
      </c>
      <c r="D3" s="922"/>
      <c r="E3" s="922"/>
      <c r="F3" s="919"/>
      <c r="G3" s="919"/>
      <c r="H3" s="919"/>
      <c r="I3" s="920"/>
      <c r="J3" s="920"/>
      <c r="K3" s="920"/>
      <c r="L3" s="920"/>
      <c r="M3" s="920"/>
      <c r="N3" s="920"/>
      <c r="O3" s="920"/>
      <c r="P3" s="920"/>
    </row>
    <row r="4" spans="1:16">
      <c r="A4" s="919"/>
      <c r="B4" s="919"/>
      <c r="C4" s="919"/>
      <c r="D4" s="919"/>
      <c r="E4" s="919"/>
      <c r="F4" s="919"/>
      <c r="G4" s="919"/>
      <c r="H4" s="919"/>
      <c r="I4" s="920"/>
      <c r="J4" s="920"/>
      <c r="K4" s="920"/>
      <c r="L4" s="920"/>
      <c r="M4" s="920"/>
      <c r="N4" s="920"/>
      <c r="O4" s="920"/>
      <c r="P4" s="920"/>
    </row>
    <row r="5" spans="1:16">
      <c r="A5" s="919"/>
      <c r="B5" s="919"/>
      <c r="C5" s="919"/>
      <c r="D5" s="919"/>
      <c r="E5" s="919"/>
      <c r="F5" s="919"/>
      <c r="G5" s="919"/>
      <c r="H5" s="919"/>
      <c r="I5" s="920"/>
      <c r="J5" s="920"/>
      <c r="K5" s="920"/>
      <c r="L5" s="920"/>
      <c r="M5" s="920"/>
      <c r="N5" s="920"/>
      <c r="O5" s="920"/>
      <c r="P5" s="920"/>
    </row>
    <row r="6" spans="1:16">
      <c r="A6" s="919"/>
      <c r="B6" s="923" t="s">
        <v>1414</v>
      </c>
      <c r="C6" s="923"/>
      <c r="D6" s="923"/>
      <c r="E6" s="923"/>
      <c r="F6" s="923"/>
      <c r="G6" s="919"/>
      <c r="H6" s="919"/>
      <c r="I6" s="920"/>
      <c r="J6" s="920"/>
      <c r="K6" s="920"/>
      <c r="L6" s="920"/>
      <c r="M6" s="920"/>
      <c r="N6" s="920"/>
      <c r="O6" s="920"/>
      <c r="P6" s="920"/>
    </row>
    <row r="7" spans="1:16" ht="66.5" customHeight="1">
      <c r="A7" s="919"/>
      <c r="B7" s="923"/>
      <c r="C7" s="923"/>
      <c r="D7" s="923"/>
      <c r="E7" s="923"/>
      <c r="F7" s="923"/>
      <c r="G7" s="919"/>
      <c r="H7" s="919"/>
      <c r="I7" s="920"/>
      <c r="J7" s="920"/>
      <c r="K7" s="920"/>
      <c r="L7" s="920"/>
      <c r="M7" s="920"/>
      <c r="N7" s="920"/>
      <c r="O7" s="920"/>
      <c r="P7" s="920"/>
    </row>
    <row r="8" spans="1:16" ht="20">
      <c r="A8" s="919"/>
      <c r="B8" s="924"/>
      <c r="C8" s="924"/>
      <c r="D8" s="924"/>
      <c r="E8" s="924"/>
      <c r="F8" s="924"/>
      <c r="G8" s="919"/>
      <c r="H8" s="919"/>
      <c r="I8" s="920"/>
      <c r="J8" s="920"/>
      <c r="K8" s="920"/>
      <c r="L8" s="920"/>
      <c r="M8" s="920"/>
      <c r="N8" s="920"/>
      <c r="O8" s="920"/>
      <c r="P8" s="920"/>
    </row>
    <row r="9" spans="1:16">
      <c r="A9" s="919"/>
      <c r="B9" s="919"/>
      <c r="C9" s="919"/>
      <c r="D9" s="919"/>
      <c r="E9" s="919"/>
      <c r="F9" s="919"/>
      <c r="G9" s="919"/>
      <c r="H9" s="919"/>
      <c r="I9" s="920"/>
      <c r="J9" s="920"/>
      <c r="K9" s="920"/>
      <c r="L9" s="920"/>
      <c r="M9" s="920"/>
      <c r="N9" s="920"/>
      <c r="O9" s="920"/>
      <c r="P9" s="920"/>
    </row>
    <row r="10" spans="1:16" ht="22.5">
      <c r="A10" s="919"/>
      <c r="B10" s="923" t="s">
        <v>0</v>
      </c>
      <c r="C10" s="923"/>
      <c r="D10" s="923"/>
      <c r="E10" s="923"/>
      <c r="F10" s="923"/>
      <c r="G10" s="919"/>
      <c r="H10" s="919"/>
      <c r="I10" s="920"/>
      <c r="J10" s="920"/>
      <c r="K10" s="920"/>
      <c r="L10" s="920"/>
      <c r="M10" s="920"/>
      <c r="N10" s="920"/>
      <c r="O10" s="920"/>
      <c r="P10" s="920"/>
    </row>
    <row r="11" spans="1:16">
      <c r="A11" s="919"/>
      <c r="B11" s="919"/>
      <c r="C11" s="919"/>
      <c r="D11" s="919"/>
      <c r="E11" s="919"/>
      <c r="F11" s="919"/>
      <c r="G11" s="919"/>
      <c r="H11" s="919"/>
      <c r="I11" s="920"/>
      <c r="J11" s="920"/>
      <c r="K11" s="920"/>
      <c r="L11" s="920"/>
      <c r="M11" s="920"/>
      <c r="N11" s="920"/>
      <c r="O11" s="920"/>
      <c r="P11" s="920"/>
    </row>
    <row r="12" spans="1:16">
      <c r="A12" s="919"/>
      <c r="B12" s="919"/>
      <c r="C12" s="919"/>
      <c r="D12" s="919"/>
      <c r="E12" s="919"/>
      <c r="F12" s="919"/>
      <c r="G12" s="919"/>
      <c r="H12" s="919"/>
      <c r="I12" s="920"/>
      <c r="J12" s="920"/>
      <c r="K12" s="920"/>
      <c r="L12" s="920"/>
      <c r="M12" s="920"/>
      <c r="N12" s="920"/>
      <c r="O12" s="920"/>
      <c r="P12" s="920"/>
    </row>
    <row r="13" spans="1:16" ht="17.5">
      <c r="A13" s="919"/>
      <c r="B13" s="925" t="s">
        <v>1</v>
      </c>
      <c r="C13" s="925"/>
      <c r="D13" s="925"/>
      <c r="E13" s="925"/>
      <c r="F13" s="925"/>
      <c r="G13" s="919"/>
      <c r="H13" s="919"/>
      <c r="I13" s="920"/>
      <c r="J13" s="920"/>
      <c r="K13" s="920"/>
      <c r="L13" s="920"/>
      <c r="M13" s="920"/>
      <c r="N13" s="920"/>
      <c r="O13" s="920"/>
      <c r="P13" s="920"/>
    </row>
    <row r="14" spans="1:16">
      <c r="A14" s="919"/>
      <c r="B14" s="919"/>
      <c r="C14" s="919"/>
      <c r="D14" s="919"/>
      <c r="E14" s="919"/>
      <c r="F14" s="919"/>
      <c r="G14" s="919"/>
      <c r="H14" s="919"/>
      <c r="I14" s="920"/>
      <c r="J14" s="920"/>
      <c r="K14" s="920"/>
      <c r="L14" s="920"/>
      <c r="M14" s="920"/>
      <c r="N14" s="920"/>
      <c r="O14" s="920"/>
      <c r="P14" s="920"/>
    </row>
    <row r="15" spans="1:16">
      <c r="A15" s="919"/>
      <c r="B15" s="919"/>
      <c r="C15" s="919"/>
      <c r="D15" s="919"/>
      <c r="E15" s="919"/>
      <c r="F15" s="919"/>
      <c r="G15" s="919"/>
      <c r="H15" s="919"/>
      <c r="I15" s="920"/>
      <c r="J15" s="920"/>
      <c r="K15" s="920"/>
      <c r="L15" s="920"/>
      <c r="M15" s="920"/>
      <c r="N15" s="920"/>
      <c r="O15" s="920"/>
      <c r="P15" s="920"/>
    </row>
    <row r="16" spans="1:16">
      <c r="A16" s="919"/>
      <c r="B16" s="919"/>
      <c r="C16" s="919"/>
      <c r="D16" s="919"/>
      <c r="E16" s="919"/>
      <c r="F16" s="919"/>
      <c r="G16" s="919"/>
      <c r="H16" s="919"/>
      <c r="I16" s="920"/>
      <c r="J16" s="920"/>
      <c r="K16" s="920"/>
      <c r="L16" s="920"/>
      <c r="M16" s="920"/>
      <c r="N16" s="920"/>
      <c r="O16" s="920"/>
      <c r="P16" s="920"/>
    </row>
    <row r="17" spans="1:16">
      <c r="A17" s="919"/>
      <c r="B17" s="919"/>
      <c r="C17" s="919"/>
      <c r="D17" s="919"/>
      <c r="E17" s="919"/>
      <c r="F17" s="919"/>
      <c r="G17" s="919"/>
      <c r="H17" s="919"/>
      <c r="I17" s="920"/>
      <c r="J17" s="920"/>
      <c r="K17" s="920"/>
      <c r="L17" s="920"/>
      <c r="M17" s="920"/>
      <c r="N17" s="920"/>
      <c r="O17" s="920"/>
      <c r="P17" s="920"/>
    </row>
    <row r="18" spans="1:16">
      <c r="A18" s="919"/>
      <c r="B18" s="919"/>
      <c r="C18" s="919"/>
      <c r="D18" s="919"/>
      <c r="E18" s="919"/>
      <c r="F18" s="919"/>
      <c r="G18" s="919"/>
      <c r="H18" s="919"/>
      <c r="I18" s="920"/>
      <c r="J18" s="920"/>
      <c r="K18" s="920"/>
      <c r="L18" s="920"/>
      <c r="M18" s="920"/>
      <c r="N18" s="920"/>
      <c r="O18" s="920"/>
      <c r="P18" s="920"/>
    </row>
    <row r="19" spans="1:16">
      <c r="A19" s="919"/>
      <c r="B19" s="919"/>
      <c r="C19" s="919"/>
      <c r="D19" s="919"/>
      <c r="E19" s="919"/>
      <c r="F19" s="919"/>
      <c r="G19" s="919"/>
      <c r="H19" s="919"/>
      <c r="I19" s="920"/>
      <c r="J19" s="920"/>
      <c r="K19" s="920"/>
      <c r="L19" s="920"/>
      <c r="M19" s="920"/>
      <c r="N19" s="920"/>
      <c r="O19" s="920"/>
      <c r="P19" s="920"/>
    </row>
    <row r="20" spans="1:16">
      <c r="A20" s="919"/>
      <c r="B20" s="919"/>
      <c r="C20" s="919"/>
      <c r="D20" s="919"/>
      <c r="E20" s="919"/>
      <c r="F20" s="919"/>
      <c r="G20" s="919"/>
      <c r="H20" s="919"/>
      <c r="I20" s="920"/>
      <c r="J20" s="920"/>
      <c r="K20" s="920"/>
      <c r="L20" s="920"/>
      <c r="M20" s="920"/>
      <c r="N20" s="920"/>
      <c r="O20" s="920"/>
      <c r="P20" s="920"/>
    </row>
    <row r="21" spans="1:16">
      <c r="A21" s="919"/>
      <c r="B21" s="919"/>
      <c r="C21" s="919"/>
      <c r="D21" s="919"/>
      <c r="E21" s="919"/>
      <c r="F21" s="919"/>
      <c r="G21" s="919"/>
      <c r="H21" s="919"/>
      <c r="I21" s="920"/>
      <c r="J21" s="920"/>
      <c r="K21" s="920"/>
      <c r="L21" s="920"/>
      <c r="M21" s="920"/>
      <c r="N21" s="920"/>
      <c r="O21" s="920"/>
      <c r="P21" s="920"/>
    </row>
    <row r="22" spans="1:16">
      <c r="A22" s="919"/>
      <c r="B22" s="919"/>
      <c r="C22" s="919"/>
      <c r="D22" s="919"/>
      <c r="E22" s="919"/>
      <c r="F22" s="919"/>
      <c r="G22" s="919"/>
      <c r="H22" s="919"/>
      <c r="I22" s="920"/>
      <c r="J22" s="920"/>
      <c r="K22" s="920"/>
      <c r="L22" s="920"/>
      <c r="M22" s="920"/>
      <c r="N22" s="920"/>
      <c r="O22" s="920"/>
      <c r="P22" s="920"/>
    </row>
    <row r="23" spans="1:16">
      <c r="A23" s="919"/>
      <c r="B23" s="919"/>
      <c r="C23" s="919"/>
      <c r="D23" s="919"/>
      <c r="E23" s="919"/>
      <c r="F23" s="919"/>
      <c r="G23" s="919"/>
      <c r="H23" s="919"/>
      <c r="I23" s="920"/>
      <c r="J23" s="920"/>
      <c r="K23" s="920"/>
      <c r="L23" s="920"/>
      <c r="M23" s="920"/>
      <c r="N23" s="920"/>
      <c r="O23" s="920"/>
      <c r="P23" s="920"/>
    </row>
    <row r="24" spans="1:16">
      <c r="A24" s="919"/>
      <c r="B24" s="919"/>
      <c r="C24" s="919"/>
      <c r="D24" s="919"/>
      <c r="E24" s="919"/>
      <c r="F24" s="919"/>
      <c r="G24" s="919"/>
      <c r="H24" s="919"/>
      <c r="I24" s="920"/>
      <c r="J24" s="920"/>
      <c r="K24" s="920"/>
      <c r="L24" s="920"/>
      <c r="M24" s="920"/>
      <c r="N24" s="920"/>
      <c r="O24" s="920"/>
      <c r="P24" s="920"/>
    </row>
    <row r="25" spans="1:16">
      <c r="A25" s="919"/>
      <c r="B25" s="919"/>
      <c r="C25" s="919"/>
      <c r="D25" s="919"/>
      <c r="E25" s="919"/>
      <c r="F25" s="919"/>
      <c r="G25" s="919"/>
      <c r="H25" s="919"/>
      <c r="I25" s="920"/>
      <c r="J25" s="920"/>
      <c r="K25" s="920"/>
      <c r="L25" s="920"/>
      <c r="M25" s="920"/>
      <c r="N25" s="920"/>
      <c r="O25" s="920"/>
      <c r="P25" s="920"/>
    </row>
    <row r="26" spans="1:16">
      <c r="A26" s="919"/>
      <c r="B26" s="919"/>
      <c r="C26" s="919"/>
      <c r="D26" s="919"/>
      <c r="E26" s="919"/>
      <c r="F26" s="919"/>
      <c r="G26" s="919"/>
      <c r="H26" s="919"/>
      <c r="I26" s="920"/>
      <c r="J26" s="920"/>
      <c r="K26" s="920"/>
      <c r="L26" s="920"/>
      <c r="M26" s="920"/>
      <c r="N26" s="920"/>
      <c r="O26" s="920"/>
      <c r="P26" s="920"/>
    </row>
    <row r="27" spans="1:16">
      <c r="A27" s="919"/>
      <c r="B27" s="919"/>
      <c r="C27" s="919"/>
      <c r="D27" s="919"/>
      <c r="E27" s="919"/>
      <c r="F27" s="919"/>
      <c r="G27" s="919"/>
      <c r="H27" s="919"/>
      <c r="I27" s="920"/>
      <c r="J27" s="920"/>
      <c r="K27" s="920"/>
      <c r="L27" s="920"/>
      <c r="M27" s="920"/>
      <c r="N27" s="920"/>
      <c r="O27" s="920"/>
      <c r="P27" s="920"/>
    </row>
    <row r="28" spans="1:16">
      <c r="A28" s="919"/>
      <c r="B28" s="919"/>
      <c r="C28" s="919"/>
      <c r="D28" s="919"/>
      <c r="E28" s="919"/>
      <c r="F28" s="919"/>
      <c r="G28" s="919"/>
      <c r="H28" s="919"/>
      <c r="I28" s="920"/>
      <c r="J28" s="920"/>
      <c r="K28" s="920"/>
      <c r="L28" s="920"/>
      <c r="M28" s="920"/>
      <c r="N28" s="920"/>
      <c r="O28" s="920"/>
      <c r="P28" s="920"/>
    </row>
    <row r="29" spans="1:16">
      <c r="A29" s="919"/>
      <c r="B29" s="919"/>
      <c r="C29" s="919"/>
      <c r="D29" s="919"/>
      <c r="E29" s="919"/>
      <c r="F29" s="919"/>
      <c r="G29" s="919"/>
      <c r="H29" s="919"/>
      <c r="I29" s="920"/>
      <c r="J29" s="920"/>
      <c r="K29" s="920"/>
      <c r="L29" s="920"/>
      <c r="M29" s="920"/>
      <c r="N29" s="920"/>
      <c r="O29" s="920"/>
      <c r="P29" s="920"/>
    </row>
    <row r="30" spans="1:16">
      <c r="A30" s="919"/>
      <c r="B30" s="919"/>
      <c r="C30" s="919"/>
      <c r="D30" s="919"/>
      <c r="E30" s="919"/>
      <c r="F30" s="919"/>
      <c r="G30" s="919"/>
      <c r="H30" s="919"/>
      <c r="I30" s="920"/>
      <c r="J30" s="920"/>
      <c r="K30" s="920"/>
      <c r="L30" s="920"/>
      <c r="M30" s="920"/>
      <c r="N30" s="920"/>
      <c r="O30" s="920"/>
      <c r="P30" s="920"/>
    </row>
    <row r="31" spans="1:16">
      <c r="A31" s="919"/>
      <c r="B31" s="919"/>
      <c r="C31" s="919"/>
      <c r="D31" s="919"/>
      <c r="E31" s="919"/>
      <c r="F31" s="919"/>
      <c r="G31" s="919"/>
      <c r="H31" s="919"/>
      <c r="I31" s="920"/>
      <c r="J31" s="920"/>
      <c r="K31" s="920"/>
      <c r="L31" s="920"/>
      <c r="M31" s="920"/>
      <c r="N31" s="920"/>
      <c r="O31" s="920"/>
      <c r="P31" s="920"/>
    </row>
    <row r="32" spans="1:16">
      <c r="A32" s="919"/>
      <c r="B32" s="919"/>
      <c r="C32" s="919"/>
      <c r="D32" s="919"/>
      <c r="E32" s="919"/>
      <c r="F32" s="919"/>
      <c r="G32" s="919"/>
      <c r="H32" s="919"/>
      <c r="I32" s="920"/>
      <c r="J32" s="920"/>
      <c r="K32" s="920"/>
      <c r="L32" s="920"/>
      <c r="M32" s="920"/>
      <c r="N32" s="920"/>
      <c r="O32" s="920"/>
      <c r="P32" s="920"/>
    </row>
    <row r="33" spans="1:16">
      <c r="A33" s="919"/>
      <c r="B33" s="919"/>
      <c r="C33" s="919"/>
      <c r="D33" s="919"/>
      <c r="E33" s="919"/>
      <c r="F33" s="919"/>
      <c r="G33" s="919"/>
      <c r="H33" s="919"/>
      <c r="I33" s="920"/>
      <c r="J33" s="920"/>
      <c r="K33" s="920"/>
      <c r="L33" s="920"/>
      <c r="M33" s="920"/>
      <c r="N33" s="920"/>
      <c r="O33" s="920"/>
      <c r="P33" s="920"/>
    </row>
    <row r="34" spans="1:16">
      <c r="A34" s="919"/>
      <c r="B34" s="919"/>
      <c r="C34" s="919"/>
      <c r="D34" s="919"/>
      <c r="E34" s="919"/>
      <c r="F34" s="919"/>
      <c r="G34" s="919"/>
      <c r="H34" s="919"/>
      <c r="I34" s="920"/>
      <c r="J34" s="920"/>
      <c r="K34" s="920"/>
      <c r="L34" s="920"/>
      <c r="M34" s="920"/>
      <c r="N34" s="920"/>
      <c r="O34" s="920"/>
      <c r="P34" s="920"/>
    </row>
    <row r="35" spans="1:16">
      <c r="A35" s="919"/>
      <c r="B35" s="919"/>
      <c r="C35" s="919"/>
      <c r="D35" s="919"/>
      <c r="E35" s="919"/>
      <c r="F35" s="919"/>
      <c r="G35" s="919"/>
      <c r="H35" s="919"/>
      <c r="I35" s="920"/>
      <c r="J35" s="920"/>
      <c r="K35" s="920"/>
      <c r="L35" s="920"/>
      <c r="M35" s="920"/>
      <c r="N35" s="920"/>
      <c r="O35" s="920"/>
      <c r="P35" s="920"/>
    </row>
    <row r="36" spans="1:16">
      <c r="A36" s="919"/>
      <c r="B36" s="919"/>
      <c r="C36" s="919"/>
      <c r="D36" s="919"/>
      <c r="E36" s="919"/>
      <c r="F36" s="919"/>
      <c r="G36" s="919"/>
      <c r="H36" s="919"/>
      <c r="I36" s="920"/>
      <c r="J36" s="920"/>
      <c r="K36" s="920"/>
      <c r="L36" s="920"/>
      <c r="M36" s="920"/>
      <c r="N36" s="920"/>
      <c r="O36" s="920"/>
      <c r="P36" s="920"/>
    </row>
  </sheetData>
  <sheetProtection sheet="1" objects="1" scenarios="1" formatCells="0" formatColumns="0" formatRows="0" sort="0" autoFilter="0"/>
  <mergeCells count="5">
    <mergeCell ref="B2:F2"/>
    <mergeCell ref="C3:E3"/>
    <mergeCell ref="B6:F7"/>
    <mergeCell ref="B10:F10"/>
    <mergeCell ref="B13:F1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06680-0B38-4163-8870-02034BC131B3}">
  <sheetPr codeName="Sheet10"/>
  <dimension ref="A1:BX133"/>
  <sheetViews>
    <sheetView topLeftCell="A6" zoomScale="80" zoomScaleNormal="81" workbookViewId="0">
      <pane ySplit="1" topLeftCell="A7" activePane="bottomLeft" state="frozen"/>
      <selection activeCell="O16" sqref="N16:P17"/>
      <selection pane="bottomLeft" activeCell="A6" sqref="A6:B6"/>
    </sheetView>
  </sheetViews>
  <sheetFormatPr defaultRowHeight="14.5"/>
  <cols>
    <col min="1" max="1" width="36.54296875" style="229" customWidth="1"/>
    <col min="2" max="2" width="11.453125" style="667" customWidth="1"/>
    <col min="3" max="3" width="8.54296875" style="229" customWidth="1"/>
    <col min="4" max="4" width="23.453125" style="617" customWidth="1"/>
    <col min="5" max="5" width="21.1796875" style="618" customWidth="1"/>
    <col min="6" max="6" width="23.453125" style="617" customWidth="1"/>
    <col min="7" max="7" width="22.54296875" style="617" customWidth="1"/>
    <col min="8" max="8" width="23" style="617" customWidth="1"/>
    <col min="9" max="10" width="18.81640625" style="671" customWidth="1"/>
    <col min="11" max="11" width="20.1796875" style="671" customWidth="1"/>
    <col min="12" max="12" width="20" style="667" customWidth="1"/>
    <col min="13" max="13" width="20.54296875" style="667" customWidth="1"/>
    <col min="14" max="15" width="24" style="667" customWidth="1"/>
    <col min="16" max="16" width="21.1796875" style="618" customWidth="1"/>
    <col min="17" max="17" width="28.81640625" style="671" customWidth="1"/>
    <col min="18" max="18" width="24" style="667" customWidth="1"/>
    <col min="19" max="19" width="20.1796875" style="667" customWidth="1"/>
    <col min="20" max="28" width="8.7265625" style="671"/>
    <col min="29" max="29" width="11.453125" style="671" customWidth="1"/>
    <col min="30" max="30" width="8.7265625" style="671"/>
    <col min="31" max="31" width="8.81640625" style="671" bestFit="1" customWidth="1"/>
    <col min="32" max="32" width="10.54296875" style="671" bestFit="1" customWidth="1"/>
    <col min="33" max="37" width="8.81640625" style="671" bestFit="1" customWidth="1"/>
    <col min="38" max="44" width="8.7265625" style="671"/>
    <col min="45" max="46" width="10.54296875" style="671" bestFit="1" customWidth="1"/>
    <col min="47" max="51" width="8.81640625" style="671" bestFit="1" customWidth="1"/>
    <col min="52" max="16384" width="8.7265625" style="671"/>
  </cols>
  <sheetData>
    <row r="1" spans="1:76" s="300" customFormat="1" ht="18" customHeight="1">
      <c r="A1" s="454" t="s">
        <v>1308</v>
      </c>
      <c r="B1" s="455"/>
      <c r="C1" s="456"/>
      <c r="D1" s="456"/>
      <c r="E1" s="457"/>
      <c r="F1" s="458" t="s">
        <v>1309</v>
      </c>
      <c r="G1" s="459"/>
      <c r="H1" s="459"/>
      <c r="L1" s="459"/>
      <c r="M1" s="460"/>
      <c r="P1" s="457"/>
      <c r="S1" s="461"/>
    </row>
    <row r="2" spans="1:76" s="300" customFormat="1" ht="13" customHeight="1">
      <c r="A2" s="462" t="s">
        <v>1310</v>
      </c>
      <c r="B2" s="463"/>
      <c r="C2" s="464"/>
      <c r="D2" s="464"/>
      <c r="E2" s="457"/>
      <c r="F2" s="465" t="s">
        <v>1311</v>
      </c>
      <c r="G2" s="466" t="s">
        <v>1312</v>
      </c>
      <c r="H2" s="467"/>
      <c r="L2" s="466"/>
      <c r="M2" s="468"/>
      <c r="P2" s="457"/>
      <c r="S2" s="461"/>
    </row>
    <row r="3" spans="1:76" s="300" customFormat="1" ht="13" customHeight="1">
      <c r="A3" s="462"/>
      <c r="B3" s="463"/>
      <c r="C3" s="464"/>
      <c r="D3" s="464"/>
      <c r="E3" s="457"/>
      <c r="F3" s="465" t="s">
        <v>1313</v>
      </c>
      <c r="G3" s="466" t="s">
        <v>1314</v>
      </c>
      <c r="H3" s="467"/>
      <c r="L3" s="466"/>
      <c r="M3" s="468"/>
      <c r="P3" s="457"/>
      <c r="S3" s="461"/>
    </row>
    <row r="4" spans="1:76" s="300" customFormat="1" ht="13" customHeight="1" thickBot="1">
      <c r="B4" s="469"/>
      <c r="E4" s="457"/>
      <c r="F4" s="470" t="s">
        <v>1315</v>
      </c>
      <c r="G4" s="471"/>
      <c r="H4" s="471"/>
      <c r="L4" s="471"/>
      <c r="M4" s="472"/>
      <c r="P4" s="457"/>
      <c r="S4" s="461"/>
    </row>
    <row r="5" spans="1:76" s="300" customFormat="1" ht="13" customHeight="1">
      <c r="A5" s="462"/>
      <c r="B5" s="463"/>
      <c r="C5" s="464"/>
      <c r="D5" s="464"/>
      <c r="E5" s="457"/>
      <c r="F5" s="464"/>
      <c r="G5" s="464"/>
      <c r="H5" s="464"/>
      <c r="L5" s="464"/>
      <c r="M5" s="464"/>
      <c r="N5" s="464"/>
      <c r="O5" s="464"/>
      <c r="P5" s="457"/>
      <c r="R5" s="464"/>
      <c r="S5" s="461"/>
    </row>
    <row r="6" spans="1:76" s="618" customFormat="1" ht="43.5">
      <c r="A6" s="869" t="s">
        <v>1014</v>
      </c>
      <c r="B6" s="870"/>
      <c r="C6" s="659"/>
      <c r="D6" s="473" t="str">
        <f>'DEHP Crosswalk'!R2</f>
        <v>Adult Toys</v>
      </c>
      <c r="E6" s="474" t="str">
        <f>'DEHP Crosswalk'!S2</f>
        <v>Air Beds</v>
      </c>
      <c r="F6" s="473" t="str">
        <f>'DEHP Crosswalk'!T2</f>
        <v>Car Mats</v>
      </c>
      <c r="G6" s="473" t="str">
        <f>'DEHP Crosswalk'!U2</f>
        <v>Children's Toys (Legacy)</v>
      </c>
      <c r="H6" s="473" t="str">
        <f>'DEHP Crosswalk'!V2</f>
        <v>Children's Toys (New)</v>
      </c>
      <c r="I6" s="473" t="str">
        <f>'DEHP Crosswalk'!W2</f>
        <v>Clothing</v>
      </c>
      <c r="J6" s="473" t="str">
        <f>'DEHP Crosswalk'!X2</f>
        <v>Erasers</v>
      </c>
      <c r="K6" s="473" t="str">
        <f>'DEHP Crosswalk'!Y2</f>
        <v>Furniture Components (Textile)</v>
      </c>
      <c r="L6" s="473" t="str">
        <f>'DEHP Crosswalk'!Z2</f>
        <v>Insulated Cords</v>
      </c>
      <c r="M6" s="474" t="str">
        <f>'DEHP Crosswalk'!AA2</f>
        <v>Mobile Phone Covers</v>
      </c>
      <c r="N6" s="473" t="str">
        <f>'DEHP Crosswalk'!AB2</f>
        <v>Shower Curtains</v>
      </c>
      <c r="O6" s="473" t="s">
        <v>1316</v>
      </c>
      <c r="P6" s="473" t="str">
        <f>'DEHP Crosswalk'!AC2</f>
        <v>Vinyl Flooring</v>
      </c>
      <c r="Q6" s="473" t="s">
        <v>1317</v>
      </c>
      <c r="R6" s="473" t="s">
        <v>1318</v>
      </c>
    </row>
    <row r="7" spans="1:76" s="618" customFormat="1" ht="43.5">
      <c r="A7" s="668" t="s">
        <v>1140</v>
      </c>
      <c r="B7" s="668"/>
      <c r="C7" s="668"/>
      <c r="D7" s="668" t="s">
        <v>988</v>
      </c>
      <c r="E7" s="668" t="s">
        <v>1319</v>
      </c>
      <c r="F7" s="668" t="s">
        <v>1319</v>
      </c>
      <c r="G7" s="668" t="s">
        <v>1320</v>
      </c>
      <c r="H7" s="668" t="s">
        <v>1320</v>
      </c>
      <c r="I7" s="668" t="s">
        <v>983</v>
      </c>
      <c r="J7" s="668" t="s">
        <v>988</v>
      </c>
      <c r="K7" s="668" t="s">
        <v>1320</v>
      </c>
      <c r="L7" s="668" t="s">
        <v>1320</v>
      </c>
      <c r="M7" s="668" t="s">
        <v>983</v>
      </c>
      <c r="N7" s="668" t="s">
        <v>1319</v>
      </c>
      <c r="O7" s="668" t="s">
        <v>983</v>
      </c>
      <c r="P7" s="668" t="s">
        <v>1319</v>
      </c>
      <c r="Q7" s="668" t="s">
        <v>1319</v>
      </c>
      <c r="R7" s="668" t="s">
        <v>983</v>
      </c>
    </row>
    <row r="8" spans="1:76" s="418" customFormat="1" ht="29">
      <c r="A8" s="414" t="s">
        <v>1142</v>
      </c>
      <c r="B8" s="415" t="s">
        <v>1143</v>
      </c>
      <c r="C8" s="415" t="s">
        <v>1058</v>
      </c>
      <c r="D8" s="415" t="s">
        <v>644</v>
      </c>
      <c r="E8" s="415" t="s">
        <v>644</v>
      </c>
      <c r="F8" s="415" t="s">
        <v>644</v>
      </c>
      <c r="G8" s="415" t="s">
        <v>644</v>
      </c>
      <c r="H8" s="415" t="s">
        <v>644</v>
      </c>
      <c r="I8" s="415" t="s">
        <v>644</v>
      </c>
      <c r="J8" s="415" t="s">
        <v>644</v>
      </c>
      <c r="K8" s="415" t="s">
        <v>644</v>
      </c>
      <c r="L8" s="415" t="s">
        <v>787</v>
      </c>
      <c r="M8" s="415"/>
      <c r="N8" s="415" t="s">
        <v>644</v>
      </c>
      <c r="O8" s="415"/>
      <c r="P8" s="415" t="s">
        <v>644</v>
      </c>
      <c r="Q8" s="415" t="s">
        <v>644</v>
      </c>
      <c r="R8" s="415" t="s">
        <v>644</v>
      </c>
      <c r="T8" s="671"/>
      <c r="U8" s="671"/>
      <c r="V8" s="671"/>
      <c r="W8" s="671"/>
      <c r="X8" s="671"/>
      <c r="Y8" s="671"/>
      <c r="Z8" s="671"/>
      <c r="AA8" s="671"/>
      <c r="AB8" s="671"/>
      <c r="AC8" s="671"/>
      <c r="AD8" s="671"/>
      <c r="AE8" s="671"/>
      <c r="AF8" s="671"/>
      <c r="AG8" s="671"/>
      <c r="AH8" s="671"/>
      <c r="AI8" s="671"/>
      <c r="AJ8" s="671"/>
      <c r="AK8" s="671"/>
      <c r="AL8" s="671"/>
      <c r="AM8" s="671"/>
      <c r="AN8" s="671"/>
      <c r="AO8" s="671"/>
      <c r="AP8" s="671"/>
      <c r="AQ8" s="671"/>
      <c r="AR8" s="671"/>
      <c r="AS8" s="671"/>
      <c r="AT8" s="671"/>
      <c r="AU8" s="671"/>
      <c r="AV8" s="671"/>
      <c r="AW8" s="671"/>
      <c r="AX8" s="671"/>
      <c r="AY8" s="671"/>
      <c r="AZ8" s="671"/>
      <c r="BA8" s="671"/>
      <c r="BB8" s="671"/>
      <c r="BC8" s="671"/>
      <c r="BD8" s="671"/>
      <c r="BE8" s="671"/>
      <c r="BF8" s="671"/>
      <c r="BG8" s="671"/>
      <c r="BH8" s="671"/>
      <c r="BI8" s="671"/>
      <c r="BJ8" s="671"/>
      <c r="BK8" s="671"/>
      <c r="BL8" s="671"/>
      <c r="BM8" s="671"/>
      <c r="BN8" s="671"/>
      <c r="BO8" s="671"/>
      <c r="BP8" s="671"/>
      <c r="BQ8" s="671"/>
      <c r="BR8" s="671"/>
      <c r="BS8" s="671"/>
      <c r="BT8" s="671"/>
      <c r="BU8" s="671"/>
      <c r="BV8" s="671"/>
      <c r="BW8" s="671"/>
      <c r="BX8" s="671"/>
    </row>
    <row r="9" spans="1:76" s="618" customFormat="1" ht="40.5" customHeight="1">
      <c r="A9" s="817" t="s">
        <v>1144</v>
      </c>
      <c r="B9" s="818"/>
      <c r="C9" s="475"/>
      <c r="D9" s="235" t="s">
        <v>1321</v>
      </c>
      <c r="E9" s="235" t="s">
        <v>1178</v>
      </c>
      <c r="F9" s="235" t="s">
        <v>1321</v>
      </c>
      <c r="G9" s="235" t="s">
        <v>1322</v>
      </c>
      <c r="H9" s="235" t="s">
        <v>1322</v>
      </c>
      <c r="I9" s="235" t="s">
        <v>1321</v>
      </c>
      <c r="J9" s="235" t="s">
        <v>1178</v>
      </c>
      <c r="K9" s="235" t="s">
        <v>1178</v>
      </c>
      <c r="L9" s="235" t="s">
        <v>1178</v>
      </c>
      <c r="M9" s="235" t="s">
        <v>1178</v>
      </c>
      <c r="N9" s="235" t="s">
        <v>1178</v>
      </c>
      <c r="O9" s="235" t="s">
        <v>1178</v>
      </c>
      <c r="P9" s="235" t="s">
        <v>1178</v>
      </c>
      <c r="Q9" s="235" t="s">
        <v>1322</v>
      </c>
      <c r="R9" s="235" t="s">
        <v>1321</v>
      </c>
    </row>
    <row r="10" spans="1:76" s="618" customFormat="1" ht="40.5" customHeight="1">
      <c r="A10" s="653" t="s">
        <v>1239</v>
      </c>
      <c r="B10" s="421" t="s">
        <v>1148</v>
      </c>
      <c r="C10" s="475"/>
      <c r="D10" s="235">
        <v>1</v>
      </c>
      <c r="E10" s="235">
        <v>1</v>
      </c>
      <c r="F10" s="235">
        <v>1</v>
      </c>
      <c r="G10" s="235">
        <v>1</v>
      </c>
      <c r="H10" s="235">
        <v>1</v>
      </c>
      <c r="I10" s="235">
        <v>1</v>
      </c>
      <c r="J10" s="235">
        <v>1</v>
      </c>
      <c r="K10" s="235">
        <v>1</v>
      </c>
      <c r="L10" s="235">
        <v>1</v>
      </c>
      <c r="M10" s="235">
        <v>1</v>
      </c>
      <c r="N10" s="235">
        <v>1</v>
      </c>
      <c r="O10" s="235">
        <v>1</v>
      </c>
      <c r="P10" s="235">
        <v>1</v>
      </c>
      <c r="Q10" s="235">
        <v>1</v>
      </c>
      <c r="R10" s="235">
        <v>1</v>
      </c>
    </row>
    <row r="11" spans="1:76" s="618" customFormat="1" ht="40.5" customHeight="1">
      <c r="A11" s="653" t="s">
        <v>1239</v>
      </c>
      <c r="B11" s="421" t="s">
        <v>1149</v>
      </c>
      <c r="C11" s="475"/>
      <c r="D11" s="235">
        <v>365</v>
      </c>
      <c r="E11" s="422">
        <f>12*3</f>
        <v>36</v>
      </c>
      <c r="F11" s="235">
        <v>52</v>
      </c>
      <c r="G11" s="235">
        <v>365</v>
      </c>
      <c r="H11" s="235">
        <v>365</v>
      </c>
      <c r="I11" s="235">
        <v>52</v>
      </c>
      <c r="J11" s="235">
        <v>365</v>
      </c>
      <c r="K11" s="235">
        <v>365</v>
      </c>
      <c r="L11" s="235">
        <v>365</v>
      </c>
      <c r="M11" s="235">
        <v>365</v>
      </c>
      <c r="N11" s="235">
        <v>365</v>
      </c>
      <c r="O11" s="235">
        <v>365</v>
      </c>
      <c r="P11" s="235">
        <v>365</v>
      </c>
      <c r="Q11" s="235">
        <v>365</v>
      </c>
      <c r="R11" s="235">
        <v>1</v>
      </c>
    </row>
    <row r="12" spans="1:76" s="618" customFormat="1" ht="19.5" customHeight="1">
      <c r="A12" s="819" t="s">
        <v>1198</v>
      </c>
      <c r="B12" s="821" t="s">
        <v>1151</v>
      </c>
      <c r="C12" s="655" t="s">
        <v>69</v>
      </c>
      <c r="D12" s="423">
        <v>60</v>
      </c>
      <c r="E12" s="476">
        <v>857</v>
      </c>
      <c r="F12" s="477">
        <v>60</v>
      </c>
      <c r="G12" s="423">
        <v>137</v>
      </c>
      <c r="H12" s="423">
        <v>137</v>
      </c>
      <c r="I12" s="423">
        <v>480</v>
      </c>
      <c r="J12" s="423">
        <v>60</v>
      </c>
      <c r="K12" s="423">
        <v>480</v>
      </c>
      <c r="L12" s="423">
        <v>60</v>
      </c>
      <c r="M12" s="477">
        <f>6*60</f>
        <v>360</v>
      </c>
      <c r="N12" s="423">
        <v>60</v>
      </c>
      <c r="O12" s="477">
        <v>120</v>
      </c>
      <c r="P12" s="423">
        <v>120</v>
      </c>
      <c r="Q12" s="423">
        <v>60</v>
      </c>
      <c r="R12" s="477">
        <v>480</v>
      </c>
    </row>
    <row r="13" spans="1:76" s="618" customFormat="1" ht="18.649999999999999" customHeight="1">
      <c r="A13" s="820"/>
      <c r="B13" s="822"/>
      <c r="C13" s="655" t="s">
        <v>67</v>
      </c>
      <c r="D13" s="423">
        <v>30</v>
      </c>
      <c r="E13" s="478">
        <f>8*60</f>
        <v>480</v>
      </c>
      <c r="F13" s="477">
        <v>30</v>
      </c>
      <c r="G13" s="423">
        <v>88</v>
      </c>
      <c r="H13" s="423">
        <v>88</v>
      </c>
      <c r="I13" s="423">
        <v>240</v>
      </c>
      <c r="J13" s="423">
        <v>30</v>
      </c>
      <c r="K13" s="423">
        <v>240</v>
      </c>
      <c r="L13" s="423">
        <v>30</v>
      </c>
      <c r="M13" s="477">
        <f>0.5*M12</f>
        <v>180</v>
      </c>
      <c r="N13" s="423">
        <v>30</v>
      </c>
      <c r="O13" s="477">
        <v>60</v>
      </c>
      <c r="P13" s="423">
        <v>60</v>
      </c>
      <c r="Q13" s="423">
        <v>30</v>
      </c>
      <c r="R13" s="477">
        <v>240</v>
      </c>
    </row>
    <row r="14" spans="1:76" s="618" customFormat="1" ht="15" customHeight="1">
      <c r="A14" s="820"/>
      <c r="B14" s="822"/>
      <c r="C14" s="655" t="s">
        <v>65</v>
      </c>
      <c r="D14" s="423">
        <v>15</v>
      </c>
      <c r="E14" s="478">
        <f>2*60</f>
        <v>120</v>
      </c>
      <c r="F14" s="477">
        <v>15</v>
      </c>
      <c r="G14" s="423">
        <v>24</v>
      </c>
      <c r="H14" s="423">
        <v>24</v>
      </c>
      <c r="I14" s="423">
        <v>120</v>
      </c>
      <c r="J14" s="423">
        <v>15</v>
      </c>
      <c r="K14" s="423">
        <v>120</v>
      </c>
      <c r="L14" s="423">
        <v>15</v>
      </c>
      <c r="M14" s="477">
        <f>0.5*M13</f>
        <v>90</v>
      </c>
      <c r="N14" s="423">
        <v>15</v>
      </c>
      <c r="O14" s="477">
        <v>30</v>
      </c>
      <c r="P14" s="423">
        <v>30</v>
      </c>
      <c r="Q14" s="423">
        <v>15</v>
      </c>
      <c r="R14" s="477">
        <v>120</v>
      </c>
    </row>
    <row r="15" spans="1:76" s="428" customFormat="1" ht="20.149999999999999" customHeight="1">
      <c r="A15" s="424" t="s">
        <v>1152</v>
      </c>
      <c r="B15" s="425"/>
      <c r="C15" s="479"/>
      <c r="D15" s="426"/>
      <c r="E15" s="426"/>
      <c r="F15" s="480"/>
      <c r="G15" s="426"/>
      <c r="H15" s="426"/>
      <c r="I15" s="426"/>
      <c r="J15" s="426"/>
      <c r="K15" s="426"/>
      <c r="L15" s="426"/>
      <c r="M15" s="426"/>
      <c r="N15" s="426"/>
      <c r="O15" s="426"/>
      <c r="P15" s="426"/>
      <c r="Q15" s="426"/>
      <c r="R15" s="480"/>
      <c r="T15" s="618"/>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c r="AT15" s="618"/>
      <c r="AU15" s="618"/>
      <c r="AV15" s="618"/>
      <c r="AW15" s="618"/>
      <c r="AX15" s="618"/>
      <c r="AY15" s="618"/>
      <c r="AZ15" s="618"/>
      <c r="BA15" s="618"/>
      <c r="BB15" s="618"/>
      <c r="BC15" s="618"/>
      <c r="BD15" s="618"/>
      <c r="BE15" s="618"/>
      <c r="BF15" s="618"/>
      <c r="BG15" s="618"/>
      <c r="BH15" s="618"/>
      <c r="BI15" s="618"/>
      <c r="BJ15" s="618"/>
      <c r="BK15" s="618"/>
      <c r="BL15" s="618"/>
      <c r="BM15" s="618"/>
      <c r="BN15" s="618"/>
      <c r="BO15" s="618"/>
      <c r="BP15" s="618"/>
      <c r="BQ15" s="618"/>
      <c r="BR15" s="618"/>
      <c r="BS15" s="618"/>
      <c r="BT15" s="618"/>
      <c r="BU15" s="618"/>
      <c r="BV15" s="618"/>
      <c r="BW15" s="618"/>
      <c r="BX15" s="618"/>
    </row>
    <row r="16" spans="1:76" s="618" customFormat="1" ht="32.15" customHeight="1">
      <c r="A16" s="872" t="s">
        <v>1153</v>
      </c>
      <c r="B16" s="873"/>
      <c r="C16" s="874"/>
      <c r="D16" s="235" t="s">
        <v>1323</v>
      </c>
      <c r="E16" s="235" t="s">
        <v>1324</v>
      </c>
      <c r="F16" s="235" t="s">
        <v>1324</v>
      </c>
      <c r="G16" s="235" t="s">
        <v>1325</v>
      </c>
      <c r="H16" s="235" t="s">
        <v>1325</v>
      </c>
      <c r="I16" s="871" t="s">
        <v>1155</v>
      </c>
      <c r="J16" s="235" t="s">
        <v>1323</v>
      </c>
      <c r="K16" s="632" t="s">
        <v>1325</v>
      </c>
      <c r="L16" s="632" t="s">
        <v>1325</v>
      </c>
      <c r="M16" s="807" t="s">
        <v>1155</v>
      </c>
      <c r="N16" s="235" t="s">
        <v>1324</v>
      </c>
      <c r="O16" s="807" t="s">
        <v>1155</v>
      </c>
      <c r="P16" s="235" t="s">
        <v>1324</v>
      </c>
      <c r="Q16" s="632" t="s">
        <v>1324</v>
      </c>
      <c r="R16" s="807" t="s">
        <v>1155</v>
      </c>
    </row>
    <row r="17" spans="1:76" s="618" customFormat="1" ht="65.5" customHeight="1">
      <c r="A17" s="875" t="s">
        <v>1158</v>
      </c>
      <c r="B17" s="876"/>
      <c r="C17" s="877"/>
      <c r="D17" s="235" t="s">
        <v>1326</v>
      </c>
      <c r="E17" s="235" t="s">
        <v>1327</v>
      </c>
      <c r="F17" s="235" t="s">
        <v>1326</v>
      </c>
      <c r="G17" s="235" t="s">
        <v>1326</v>
      </c>
      <c r="H17" s="235" t="s">
        <v>1326</v>
      </c>
      <c r="I17" s="871"/>
      <c r="J17" s="235" t="s">
        <v>1326</v>
      </c>
      <c r="K17" s="632" t="s">
        <v>1328</v>
      </c>
      <c r="L17" s="632" t="s">
        <v>1329</v>
      </c>
      <c r="M17" s="808"/>
      <c r="N17" s="235" t="s">
        <v>1329</v>
      </c>
      <c r="O17" s="808"/>
      <c r="P17" s="235" t="s">
        <v>1327</v>
      </c>
      <c r="Q17" s="632" t="s">
        <v>1330</v>
      </c>
      <c r="R17" s="808"/>
    </row>
    <row r="18" spans="1:76" s="55" customFormat="1" ht="30.65" customHeight="1">
      <c r="A18" s="415" t="s">
        <v>1331</v>
      </c>
      <c r="B18" s="415" t="s">
        <v>1143</v>
      </c>
      <c r="C18" s="415" t="s">
        <v>1058</v>
      </c>
      <c r="D18" s="415" t="s">
        <v>644</v>
      </c>
      <c r="E18" s="415" t="s">
        <v>644</v>
      </c>
      <c r="F18" s="415" t="s">
        <v>644</v>
      </c>
      <c r="G18" s="415" t="s">
        <v>644</v>
      </c>
      <c r="H18" s="415" t="s">
        <v>644</v>
      </c>
      <c r="I18" s="415" t="s">
        <v>644</v>
      </c>
      <c r="J18" s="415" t="s">
        <v>644</v>
      </c>
      <c r="K18" s="415" t="s">
        <v>644</v>
      </c>
      <c r="L18" s="415" t="s">
        <v>644</v>
      </c>
      <c r="M18" s="415"/>
      <c r="N18" s="415" t="s">
        <v>644</v>
      </c>
      <c r="O18" s="415"/>
      <c r="P18" s="415" t="s">
        <v>644</v>
      </c>
      <c r="Q18" s="415" t="s">
        <v>644</v>
      </c>
      <c r="R18" s="415" t="s">
        <v>644</v>
      </c>
    </row>
    <row r="19" spans="1:76">
      <c r="A19" s="481" t="s">
        <v>1163</v>
      </c>
      <c r="B19" s="433"/>
      <c r="C19" s="482"/>
      <c r="D19" s="434"/>
      <c r="E19" s="434"/>
      <c r="F19" s="434"/>
      <c r="G19" s="434"/>
      <c r="H19" s="434"/>
      <c r="I19" s="434"/>
      <c r="J19" s="433"/>
      <c r="K19" s="434"/>
      <c r="L19" s="434"/>
      <c r="M19" s="433"/>
      <c r="N19" s="433"/>
      <c r="O19" s="433"/>
      <c r="P19" s="434"/>
      <c r="Q19" s="434"/>
      <c r="R19" s="433"/>
    </row>
    <row r="20" spans="1:76">
      <c r="A20" s="878" t="s">
        <v>450</v>
      </c>
      <c r="B20" s="879" t="s">
        <v>1165</v>
      </c>
      <c r="C20" s="661" t="s">
        <v>69</v>
      </c>
      <c r="D20" s="632" t="s">
        <v>768</v>
      </c>
      <c r="E20" s="483">
        <f>'DEHP Crosswalk'!S3</f>
        <v>0.30399999999999999</v>
      </c>
      <c r="F20" s="483">
        <f>'DEHP Crosswalk'!T3</f>
        <v>0.128</v>
      </c>
      <c r="G20" s="661">
        <f>'DEHP Crosswalk'!U3</f>
        <v>0.33</v>
      </c>
      <c r="H20" s="661">
        <f>'DEHP Crosswalk'!V3</f>
        <v>1E-4</v>
      </c>
      <c r="I20" s="438" t="s">
        <v>768</v>
      </c>
      <c r="J20" s="632" t="s">
        <v>768</v>
      </c>
      <c r="K20" s="483">
        <f>'DEHP Crosswalk'!Y3</f>
        <v>0.39200000000000002</v>
      </c>
      <c r="L20" s="483">
        <f>'DEHP Crosswalk'!Z3</f>
        <v>0.13692599999999999</v>
      </c>
      <c r="M20" s="438" t="s">
        <v>768</v>
      </c>
      <c r="N20" s="661">
        <f>'DEHP Crosswalk'!AB3</f>
        <v>0.48</v>
      </c>
      <c r="O20" s="438" t="s">
        <v>768</v>
      </c>
      <c r="P20" s="484">
        <f>'DEHP Crosswalk'!AC3</f>
        <v>2.8136999999999999E-2</v>
      </c>
      <c r="Q20" s="661">
        <f>'DEHP Crosswalk'!AD3</f>
        <v>4.0000000000000003E-5</v>
      </c>
      <c r="R20" s="438" t="s">
        <v>768</v>
      </c>
    </row>
    <row r="21" spans="1:76" ht="15" thickBot="1">
      <c r="A21" s="878"/>
      <c r="B21" s="879"/>
      <c r="C21" s="661" t="s">
        <v>67</v>
      </c>
      <c r="D21" s="632" t="s">
        <v>768</v>
      </c>
      <c r="E21" s="483">
        <f>'DEHP Crosswalk'!S4</f>
        <v>0.1108335</v>
      </c>
      <c r="F21" s="483">
        <f>'DEHP Crosswalk'!T4</f>
        <v>0.1075</v>
      </c>
      <c r="G21" s="484">
        <f>'DEHP Crosswalk'!U4</f>
        <v>2.3138427777777779E-2</v>
      </c>
      <c r="H21" s="661">
        <f>'DEHP Crosswalk'!V4</f>
        <v>1E-4</v>
      </c>
      <c r="I21" s="438" t="s">
        <v>768</v>
      </c>
      <c r="J21" s="632" t="s">
        <v>768</v>
      </c>
      <c r="K21" s="483">
        <f>'DEHP Crosswalk'!Y4</f>
        <v>0.12293833333333333</v>
      </c>
      <c r="L21" s="483">
        <f>'DEHP Crosswalk'!Z4</f>
        <v>0.13692599999999999</v>
      </c>
      <c r="M21" s="438" t="s">
        <v>768</v>
      </c>
      <c r="N21" s="483">
        <f>'DEHP Crosswalk'!AB4</f>
        <v>0.1795525</v>
      </c>
      <c r="O21" s="438" t="s">
        <v>768</v>
      </c>
      <c r="P21" s="484">
        <f>'DEHP Crosswalk'!AC4</f>
        <v>1.4161874999999999E-2</v>
      </c>
      <c r="Q21" s="661">
        <f>'DEHP Crosswalk'!AD4</f>
        <v>2.5000000000000001E-5</v>
      </c>
      <c r="R21" s="438" t="s">
        <v>768</v>
      </c>
    </row>
    <row r="22" spans="1:76" ht="16" customHeight="1" thickBot="1">
      <c r="A22" s="878"/>
      <c r="B22" s="879"/>
      <c r="C22" s="661" t="s">
        <v>65</v>
      </c>
      <c r="D22" s="632" t="s">
        <v>768</v>
      </c>
      <c r="E22" s="661">
        <f>'DEHP Crosswalk'!S5</f>
        <v>3.0000000000000001E-5</v>
      </c>
      <c r="F22" s="661">
        <f>'DEHP Crosswalk'!T5</f>
        <v>8.6999999999999994E-2</v>
      </c>
      <c r="G22" s="661">
        <f>'DEHP Crosswalk'!U5</f>
        <v>8.3000000000000002E-6</v>
      </c>
      <c r="H22" s="661">
        <f>'DEHP Crosswalk'!V5</f>
        <v>1E-4</v>
      </c>
      <c r="I22" s="438" t="s">
        <v>768</v>
      </c>
      <c r="J22" s="632" t="s">
        <v>768</v>
      </c>
      <c r="K22" s="661">
        <f>'DEHP Crosswalk'!Y5</f>
        <v>2.0000000000000002E-5</v>
      </c>
      <c r="L22" s="483">
        <f>'DEHP Crosswalk'!Z5</f>
        <v>0.13692599999999999</v>
      </c>
      <c r="M22" s="438" t="s">
        <v>768</v>
      </c>
      <c r="N22" s="661">
        <f>'DEHP Crosswalk'!AB5</f>
        <v>5.0000000000000001E-4</v>
      </c>
      <c r="O22" s="438" t="s">
        <v>768</v>
      </c>
      <c r="P22" s="485">
        <f>'DEHP Crosswalk'!AC5</f>
        <v>4.85E-5</v>
      </c>
      <c r="Q22" s="661">
        <f>'DEHP Crosswalk'!AD5</f>
        <v>1.0000000000000001E-5</v>
      </c>
      <c r="R22" s="438" t="s">
        <v>768</v>
      </c>
      <c r="AC22" s="486" t="s">
        <v>1014</v>
      </c>
      <c r="AD22" s="487" t="s">
        <v>1332</v>
      </c>
      <c r="AE22" s="487" t="s">
        <v>1333</v>
      </c>
      <c r="AF22" s="487" t="s">
        <v>1334</v>
      </c>
      <c r="AG22" s="487" t="s">
        <v>1335</v>
      </c>
      <c r="AH22" s="487" t="s">
        <v>1336</v>
      </c>
      <c r="AI22" s="487" t="s">
        <v>1337</v>
      </c>
      <c r="AJ22" s="487" t="s">
        <v>1338</v>
      </c>
      <c r="AK22" s="487" t="s">
        <v>1339</v>
      </c>
      <c r="AQ22" s="486" t="s">
        <v>1014</v>
      </c>
      <c r="AR22" s="487" t="s">
        <v>1332</v>
      </c>
      <c r="AS22" s="487" t="s">
        <v>1333</v>
      </c>
      <c r="AT22" s="487" t="s">
        <v>1334</v>
      </c>
      <c r="AU22" s="487" t="s">
        <v>1335</v>
      </c>
      <c r="AV22" s="488" t="s">
        <v>1336</v>
      </c>
      <c r="AW22" s="487" t="s">
        <v>1337</v>
      </c>
      <c r="AX22" s="487" t="s">
        <v>1338</v>
      </c>
      <c r="AY22" s="487" t="s">
        <v>1339</v>
      </c>
    </row>
    <row r="23" spans="1:76" ht="15.65" customHeight="1" thickTop="1" thickBot="1">
      <c r="A23" s="489" t="s">
        <v>1166</v>
      </c>
      <c r="B23" s="642" t="s">
        <v>1167</v>
      </c>
      <c r="C23" s="661" t="s">
        <v>69</v>
      </c>
      <c r="D23" s="632" t="s">
        <v>768</v>
      </c>
      <c r="E23" s="490">
        <v>0.22399999999999998</v>
      </c>
      <c r="F23" s="490">
        <v>5.1800000000000006E-2</v>
      </c>
      <c r="G23" s="490">
        <v>0.5865999999999999</v>
      </c>
      <c r="H23" s="490">
        <v>1.3999999999999999E-2</v>
      </c>
      <c r="I23" s="438" t="s">
        <v>768</v>
      </c>
      <c r="J23" s="632" t="s">
        <v>768</v>
      </c>
      <c r="K23" s="490">
        <v>0.48999999999999994</v>
      </c>
      <c r="L23" s="490">
        <v>0.7</v>
      </c>
      <c r="M23" s="438" t="s">
        <v>768</v>
      </c>
      <c r="N23" s="490">
        <v>0.14279999999999998</v>
      </c>
      <c r="O23" s="438" t="s">
        <v>768</v>
      </c>
      <c r="P23" s="490">
        <v>0.35</v>
      </c>
      <c r="Q23" s="490">
        <v>0.36399999999999999</v>
      </c>
      <c r="R23" s="438" t="s">
        <v>768</v>
      </c>
      <c r="AC23" s="828" t="str">
        <f>D6</f>
        <v>Adult Toys</v>
      </c>
      <c r="AD23" s="663" t="s">
        <v>69</v>
      </c>
      <c r="AE23" s="658" t="str">
        <f>D20</f>
        <v>n/a</v>
      </c>
      <c r="AF23" s="658" t="e">
        <f>AE23*1.4*1000</f>
        <v>#VALUE!</v>
      </c>
      <c r="AG23" s="658">
        <v>1.4</v>
      </c>
      <c r="AH23" s="658" t="str">
        <f>D38</f>
        <v>n/a</v>
      </c>
      <c r="AI23" s="863" t="str">
        <f>D41</f>
        <v>n/a</v>
      </c>
      <c r="AJ23" s="863" t="str">
        <f>D69</f>
        <v>n/a</v>
      </c>
      <c r="AK23" s="863" t="str">
        <f>D73</f>
        <v>n/a</v>
      </c>
      <c r="AQ23" s="828" t="s">
        <v>941</v>
      </c>
      <c r="AR23" s="663" t="s">
        <v>69</v>
      </c>
      <c r="AS23" s="491">
        <v>0.30399999999999999</v>
      </c>
      <c r="AT23" s="663">
        <v>425.59999999999997</v>
      </c>
      <c r="AU23" s="843">
        <v>1.4</v>
      </c>
      <c r="AV23" s="665">
        <v>7.2</v>
      </c>
      <c r="AW23" s="853">
        <v>0.01</v>
      </c>
      <c r="AX23" s="828">
        <v>492</v>
      </c>
      <c r="AY23" s="860">
        <v>1.0000000000000001E-30</v>
      </c>
    </row>
    <row r="24" spans="1:76" ht="15" thickBot="1">
      <c r="A24" s="492" t="s">
        <v>1168</v>
      </c>
      <c r="B24" s="239" t="s">
        <v>1169</v>
      </c>
      <c r="C24" s="639"/>
      <c r="D24" s="632" t="s">
        <v>768</v>
      </c>
      <c r="E24" s="632">
        <v>0</v>
      </c>
      <c r="F24" s="632" t="s">
        <v>768</v>
      </c>
      <c r="G24" s="632">
        <v>0</v>
      </c>
      <c r="H24" s="632">
        <v>0</v>
      </c>
      <c r="I24" s="438" t="s">
        <v>768</v>
      </c>
      <c r="J24" s="632" t="s">
        <v>768</v>
      </c>
      <c r="K24" s="632">
        <v>0</v>
      </c>
      <c r="L24" s="632">
        <v>0</v>
      </c>
      <c r="M24" s="439">
        <v>0</v>
      </c>
      <c r="N24" s="632">
        <v>0</v>
      </c>
      <c r="O24" s="439">
        <v>0</v>
      </c>
      <c r="P24" s="632">
        <v>0</v>
      </c>
      <c r="Q24" s="632">
        <v>0</v>
      </c>
      <c r="R24" s="439">
        <v>0</v>
      </c>
      <c r="AC24" s="829"/>
      <c r="AD24" s="663" t="s">
        <v>1065</v>
      </c>
      <c r="AE24" s="658" t="str">
        <f t="shared" ref="AE24:AE25" si="0">D21</f>
        <v>n/a</v>
      </c>
      <c r="AF24" s="658" t="e">
        <f t="shared" ref="AF24:AF25" si="1">AE24*1.4*1000</f>
        <v>#VALUE!</v>
      </c>
      <c r="AG24" s="656"/>
      <c r="AH24" s="656"/>
      <c r="AI24" s="829"/>
      <c r="AJ24" s="829"/>
      <c r="AK24" s="829"/>
      <c r="AQ24" s="829"/>
      <c r="AR24" s="663" t="s">
        <v>1065</v>
      </c>
      <c r="AS24" s="491">
        <v>0.1108335</v>
      </c>
      <c r="AT24" s="493">
        <v>155.1669</v>
      </c>
      <c r="AU24" s="844"/>
      <c r="AV24" s="665">
        <v>5.9</v>
      </c>
      <c r="AW24" s="854"/>
      <c r="AX24" s="829"/>
      <c r="AY24" s="861"/>
    </row>
    <row r="25" spans="1:76" ht="15" thickBot="1">
      <c r="A25" s="492" t="s">
        <v>1170</v>
      </c>
      <c r="B25" s="239" t="s">
        <v>1171</v>
      </c>
      <c r="C25" s="639"/>
      <c r="D25" s="632" t="s">
        <v>768</v>
      </c>
      <c r="E25" s="632">
        <v>0</v>
      </c>
      <c r="F25" s="632" t="s">
        <v>768</v>
      </c>
      <c r="G25" s="632">
        <v>0</v>
      </c>
      <c r="H25" s="632">
        <v>0</v>
      </c>
      <c r="I25" s="438" t="s">
        <v>768</v>
      </c>
      <c r="J25" s="632" t="s">
        <v>768</v>
      </c>
      <c r="K25" s="632">
        <v>0</v>
      </c>
      <c r="L25" s="632">
        <v>0</v>
      </c>
      <c r="M25" s="439">
        <v>0</v>
      </c>
      <c r="N25" s="632">
        <v>0</v>
      </c>
      <c r="O25" s="439">
        <v>0</v>
      </c>
      <c r="P25" s="632">
        <v>0</v>
      </c>
      <c r="Q25" s="632">
        <v>0</v>
      </c>
      <c r="R25" s="439">
        <v>0</v>
      </c>
      <c r="AC25" s="841"/>
      <c r="AD25" s="663" t="s">
        <v>65</v>
      </c>
      <c r="AE25" s="658" t="str">
        <f t="shared" si="0"/>
        <v>n/a</v>
      </c>
      <c r="AF25" s="658" t="e">
        <f t="shared" si="1"/>
        <v>#VALUE!</v>
      </c>
      <c r="AG25" s="657"/>
      <c r="AH25" s="657"/>
      <c r="AI25" s="841"/>
      <c r="AJ25" s="841"/>
      <c r="AK25" s="841"/>
      <c r="AQ25" s="841"/>
      <c r="AR25" s="663" t="s">
        <v>65</v>
      </c>
      <c r="AS25" s="658">
        <v>3.0000000000000001E-5</v>
      </c>
      <c r="AT25" s="663">
        <v>4.1999999999999996E-2</v>
      </c>
      <c r="AU25" s="845"/>
      <c r="AV25" s="665">
        <v>3.9</v>
      </c>
      <c r="AW25" s="855"/>
      <c r="AX25" s="841"/>
      <c r="AY25" s="862"/>
    </row>
    <row r="26" spans="1:76" ht="15" thickBot="1">
      <c r="A26" s="492" t="s">
        <v>1172</v>
      </c>
      <c r="B26" s="239" t="s">
        <v>768</v>
      </c>
      <c r="C26" s="639"/>
      <c r="D26" s="632" t="s">
        <v>768</v>
      </c>
      <c r="E26" s="632" t="s">
        <v>782</v>
      </c>
      <c r="F26" s="632" t="s">
        <v>768</v>
      </c>
      <c r="G26" s="632" t="s">
        <v>883</v>
      </c>
      <c r="H26" s="632" t="s">
        <v>883</v>
      </c>
      <c r="I26" s="438" t="s">
        <v>768</v>
      </c>
      <c r="J26" s="632" t="s">
        <v>768</v>
      </c>
      <c r="K26" s="632" t="s">
        <v>833</v>
      </c>
      <c r="L26" s="632" t="s">
        <v>782</v>
      </c>
      <c r="M26" s="439">
        <v>0</v>
      </c>
      <c r="N26" s="632" t="s">
        <v>688</v>
      </c>
      <c r="O26" s="439">
        <v>0</v>
      </c>
      <c r="P26" s="632" t="s">
        <v>782</v>
      </c>
      <c r="Q26" s="632" t="s">
        <v>782</v>
      </c>
      <c r="R26" s="439">
        <v>0</v>
      </c>
      <c r="AC26" s="828" t="str">
        <f>E6</f>
        <v>Air Beds</v>
      </c>
      <c r="AD26" s="663" t="s">
        <v>69</v>
      </c>
      <c r="AE26" s="494">
        <f>E20</f>
        <v>0.30399999999999999</v>
      </c>
      <c r="AF26" s="663">
        <f>AE26*1.4*1000</f>
        <v>425.59999999999997</v>
      </c>
      <c r="AG26" s="828">
        <v>1.4</v>
      </c>
      <c r="AH26" s="663">
        <f>E38</f>
        <v>7.2</v>
      </c>
      <c r="AI26" s="828">
        <f>E41</f>
        <v>0.01</v>
      </c>
      <c r="AJ26" s="828">
        <f>E69</f>
        <v>492</v>
      </c>
      <c r="AK26" s="846">
        <f>E73</f>
        <v>1.0000000000000001E-30</v>
      </c>
      <c r="AQ26" s="828" t="s">
        <v>876</v>
      </c>
      <c r="AR26" s="663" t="s">
        <v>69</v>
      </c>
      <c r="AS26" s="491">
        <v>0.128</v>
      </c>
      <c r="AT26" s="658">
        <v>179.2</v>
      </c>
      <c r="AU26" s="843">
        <v>1.4</v>
      </c>
      <c r="AV26" s="825">
        <v>1.29</v>
      </c>
      <c r="AW26" s="853">
        <v>0.01</v>
      </c>
      <c r="AX26" s="828">
        <v>2.4</v>
      </c>
      <c r="AY26" s="857">
        <v>9.4871999999999996</v>
      </c>
    </row>
    <row r="27" spans="1:76" ht="15" thickBot="1">
      <c r="A27" s="492" t="s">
        <v>1175</v>
      </c>
      <c r="B27" s="239" t="s">
        <v>768</v>
      </c>
      <c r="C27" s="639"/>
      <c r="D27" s="632" t="s">
        <v>768</v>
      </c>
      <c r="E27" s="632" t="s">
        <v>1340</v>
      </c>
      <c r="F27" s="632" t="s">
        <v>768</v>
      </c>
      <c r="G27" s="632" t="s">
        <v>1340</v>
      </c>
      <c r="H27" s="632" t="s">
        <v>1340</v>
      </c>
      <c r="I27" s="438" t="s">
        <v>768</v>
      </c>
      <c r="J27" s="632" t="s">
        <v>1341</v>
      </c>
      <c r="K27" s="632" t="s">
        <v>1340</v>
      </c>
      <c r="L27" s="632" t="s">
        <v>1340</v>
      </c>
      <c r="M27" s="439">
        <v>0</v>
      </c>
      <c r="N27" s="632" t="s">
        <v>1340</v>
      </c>
      <c r="O27" s="439">
        <v>0</v>
      </c>
      <c r="P27" s="632" t="s">
        <v>1340</v>
      </c>
      <c r="Q27" s="632" t="s">
        <v>1340</v>
      </c>
      <c r="R27" s="439">
        <v>0</v>
      </c>
      <c r="AC27" s="829"/>
      <c r="AD27" s="663" t="s">
        <v>1065</v>
      </c>
      <c r="AE27" s="494">
        <f t="shared" ref="AE27:AE28" si="2">E21</f>
        <v>0.1108335</v>
      </c>
      <c r="AF27" s="663">
        <f>AE27*1.4*1000</f>
        <v>155.1669</v>
      </c>
      <c r="AG27" s="829"/>
      <c r="AH27" s="663">
        <f t="shared" ref="AH27:AH28" si="3">E39</f>
        <v>5.9</v>
      </c>
      <c r="AI27" s="829"/>
      <c r="AJ27" s="829"/>
      <c r="AK27" s="847"/>
      <c r="AQ27" s="829"/>
      <c r="AR27" s="663" t="s">
        <v>1065</v>
      </c>
      <c r="AS27" s="491">
        <v>0.1075</v>
      </c>
      <c r="AT27" s="658">
        <v>150.5</v>
      </c>
      <c r="AU27" s="844"/>
      <c r="AV27" s="826"/>
      <c r="AW27" s="854"/>
      <c r="AX27" s="829"/>
      <c r="AY27" s="858"/>
    </row>
    <row r="28" spans="1:76" ht="29.5" thickBot="1">
      <c r="A28" s="302" t="s">
        <v>1342</v>
      </c>
      <c r="B28" s="239" t="s">
        <v>768</v>
      </c>
      <c r="C28" s="639"/>
      <c r="D28" s="632" t="s">
        <v>1145</v>
      </c>
      <c r="E28" s="632" t="s">
        <v>1146</v>
      </c>
      <c r="F28" s="632" t="s">
        <v>1146</v>
      </c>
      <c r="G28" s="632" t="s">
        <v>1343</v>
      </c>
      <c r="H28" s="632" t="s">
        <v>1343</v>
      </c>
      <c r="I28" s="438" t="s">
        <v>768</v>
      </c>
      <c r="J28" s="632" t="s">
        <v>1344</v>
      </c>
      <c r="K28" s="632" t="s">
        <v>1146</v>
      </c>
      <c r="L28" s="632" t="s">
        <v>1146</v>
      </c>
      <c r="M28" s="439" t="s">
        <v>768</v>
      </c>
      <c r="N28" s="632" t="s">
        <v>1146</v>
      </c>
      <c r="O28" s="439" t="s">
        <v>768</v>
      </c>
      <c r="P28" s="632" t="s">
        <v>1146</v>
      </c>
      <c r="Q28" s="632" t="s">
        <v>1146</v>
      </c>
      <c r="R28" s="439" t="s">
        <v>768</v>
      </c>
      <c r="AC28" s="841"/>
      <c r="AD28" s="663" t="s">
        <v>65</v>
      </c>
      <c r="AE28" s="494">
        <f t="shared" si="2"/>
        <v>3.0000000000000001E-5</v>
      </c>
      <c r="AF28" s="663">
        <f>AE28*1.4*1000</f>
        <v>4.1999999999999996E-2</v>
      </c>
      <c r="AG28" s="841"/>
      <c r="AH28" s="663">
        <f t="shared" si="3"/>
        <v>3.9</v>
      </c>
      <c r="AI28" s="841"/>
      <c r="AJ28" s="841"/>
      <c r="AK28" s="848"/>
      <c r="AQ28" s="841"/>
      <c r="AR28" s="663" t="s">
        <v>65</v>
      </c>
      <c r="AS28" s="495">
        <v>8.6999999999999994E-2</v>
      </c>
      <c r="AT28" s="658">
        <v>121.79999999999998</v>
      </c>
      <c r="AU28" s="845"/>
      <c r="AV28" s="827"/>
      <c r="AW28" s="855"/>
      <c r="AX28" s="841"/>
      <c r="AY28" s="859"/>
    </row>
    <row r="29" spans="1:76" ht="15" thickBot="1">
      <c r="A29" s="492" t="s">
        <v>1179</v>
      </c>
      <c r="B29" s="239" t="s">
        <v>768</v>
      </c>
      <c r="C29" s="639"/>
      <c r="D29" s="632" t="s">
        <v>768</v>
      </c>
      <c r="E29" s="632" t="s">
        <v>1345</v>
      </c>
      <c r="F29" s="632" t="s">
        <v>768</v>
      </c>
      <c r="G29" s="632" t="s">
        <v>1345</v>
      </c>
      <c r="H29" s="632" t="s">
        <v>1345</v>
      </c>
      <c r="I29" s="438" t="s">
        <v>768</v>
      </c>
      <c r="J29" s="632" t="s">
        <v>1345</v>
      </c>
      <c r="K29" s="632" t="s">
        <v>1345</v>
      </c>
      <c r="L29" s="632" t="s">
        <v>1345</v>
      </c>
      <c r="M29" s="439">
        <v>0</v>
      </c>
      <c r="N29" s="632" t="s">
        <v>1345</v>
      </c>
      <c r="O29" s="439">
        <v>0</v>
      </c>
      <c r="P29" s="632" t="s">
        <v>1345</v>
      </c>
      <c r="Q29" s="632" t="s">
        <v>1345</v>
      </c>
      <c r="R29" s="439">
        <v>0</v>
      </c>
      <c r="AC29" s="828" t="str">
        <f>F6</f>
        <v>Car Mats</v>
      </c>
      <c r="AD29" s="663" t="s">
        <v>69</v>
      </c>
      <c r="AE29" s="491">
        <f>F20</f>
        <v>0.128</v>
      </c>
      <c r="AF29" s="658">
        <f>AE29*1.4*1000</f>
        <v>179.2</v>
      </c>
      <c r="AG29" s="828">
        <v>1.4</v>
      </c>
      <c r="AH29" s="663">
        <f>F38</f>
        <v>1.29</v>
      </c>
      <c r="AI29" s="828">
        <f>F41</f>
        <v>0.01</v>
      </c>
      <c r="AJ29" s="828">
        <f>F69</f>
        <v>2.4</v>
      </c>
      <c r="AK29" s="846">
        <f>F73</f>
        <v>9.4871999999999996</v>
      </c>
      <c r="AQ29" s="828" t="s">
        <v>942</v>
      </c>
      <c r="AR29" s="663" t="s">
        <v>69</v>
      </c>
      <c r="AS29" s="491">
        <v>0.33</v>
      </c>
      <c r="AT29" s="658">
        <v>461.99999999999994</v>
      </c>
      <c r="AU29" s="843">
        <v>1.4</v>
      </c>
      <c r="AV29" s="665">
        <v>9.4499999999999993</v>
      </c>
      <c r="AW29" s="853">
        <v>0.01</v>
      </c>
      <c r="AX29" s="828">
        <v>36</v>
      </c>
      <c r="AY29" s="851">
        <v>107.01</v>
      </c>
    </row>
    <row r="30" spans="1:76" ht="15" thickBot="1">
      <c r="A30" s="492" t="s">
        <v>1182</v>
      </c>
      <c r="B30" s="239" t="s">
        <v>768</v>
      </c>
      <c r="C30" s="639"/>
      <c r="D30" s="632" t="s">
        <v>768</v>
      </c>
      <c r="E30" s="632" t="s">
        <v>768</v>
      </c>
      <c r="F30" s="632" t="s">
        <v>768</v>
      </c>
      <c r="G30" s="632" t="s">
        <v>768</v>
      </c>
      <c r="H30" s="632" t="s">
        <v>768</v>
      </c>
      <c r="I30" s="438" t="s">
        <v>768</v>
      </c>
      <c r="J30" s="632" t="s">
        <v>768</v>
      </c>
      <c r="K30" s="632" t="s">
        <v>768</v>
      </c>
      <c r="L30" s="632" t="s">
        <v>768</v>
      </c>
      <c r="M30" s="439">
        <v>0</v>
      </c>
      <c r="N30" s="632" t="s">
        <v>768</v>
      </c>
      <c r="O30" s="439">
        <v>0</v>
      </c>
      <c r="P30" s="632" t="s">
        <v>768</v>
      </c>
      <c r="Q30" s="632" t="s">
        <v>768</v>
      </c>
      <c r="R30" s="439">
        <v>0</v>
      </c>
      <c r="AC30" s="829"/>
      <c r="AD30" s="663" t="s">
        <v>1065</v>
      </c>
      <c r="AE30" s="491">
        <f t="shared" ref="AE30:AE31" si="4">F21</f>
        <v>0.1075</v>
      </c>
      <c r="AF30" s="658">
        <f t="shared" ref="AF30:AF31" si="5">AE30*1.4*1000</f>
        <v>150.5</v>
      </c>
      <c r="AG30" s="829"/>
      <c r="AH30" s="663">
        <f t="shared" ref="AH30:AH31" si="6">F39</f>
        <v>1.29</v>
      </c>
      <c r="AI30" s="829"/>
      <c r="AJ30" s="829"/>
      <c r="AK30" s="847"/>
      <c r="AQ30" s="829"/>
      <c r="AR30" s="663" t="s">
        <v>1065</v>
      </c>
      <c r="AS30" s="495">
        <v>2.3138427777777779E-2</v>
      </c>
      <c r="AT30" s="664">
        <v>32.393798888888888</v>
      </c>
      <c r="AU30" s="844"/>
      <c r="AV30" s="665">
        <v>2.3199999999999998</v>
      </c>
      <c r="AW30" s="854"/>
      <c r="AX30" s="829"/>
      <c r="AY30" s="852"/>
    </row>
    <row r="31" spans="1:76" s="440" customFormat="1" ht="15" thickBot="1">
      <c r="A31" s="496" t="s">
        <v>1184</v>
      </c>
      <c r="B31" s="438" t="s">
        <v>768</v>
      </c>
      <c r="C31" s="497"/>
      <c r="D31" s="439" t="s">
        <v>768</v>
      </c>
      <c r="E31" s="439" t="s">
        <v>768</v>
      </c>
      <c r="F31" s="439" t="s">
        <v>768</v>
      </c>
      <c r="G31" s="439" t="s">
        <v>768</v>
      </c>
      <c r="H31" s="439" t="s">
        <v>768</v>
      </c>
      <c r="I31" s="438" t="s">
        <v>768</v>
      </c>
      <c r="J31" s="439" t="s">
        <v>768</v>
      </c>
      <c r="K31" s="439" t="s">
        <v>768</v>
      </c>
      <c r="L31" s="439" t="s">
        <v>768</v>
      </c>
      <c r="M31" s="439">
        <v>0</v>
      </c>
      <c r="N31" s="439" t="s">
        <v>768</v>
      </c>
      <c r="O31" s="439">
        <v>0</v>
      </c>
      <c r="P31" s="439" t="s">
        <v>768</v>
      </c>
      <c r="Q31" s="439" t="s">
        <v>768</v>
      </c>
      <c r="R31" s="439">
        <v>0</v>
      </c>
      <c r="T31" s="671"/>
      <c r="U31" s="671"/>
      <c r="V31" s="671"/>
      <c r="W31" s="671"/>
      <c r="X31" s="671"/>
      <c r="Y31" s="671"/>
      <c r="Z31" s="671"/>
      <c r="AA31" s="671"/>
      <c r="AB31" s="671"/>
      <c r="AC31" s="841"/>
      <c r="AD31" s="663" t="s">
        <v>65</v>
      </c>
      <c r="AE31" s="491">
        <f t="shared" si="4"/>
        <v>8.6999999999999994E-2</v>
      </c>
      <c r="AF31" s="658">
        <f t="shared" si="5"/>
        <v>121.79999999999998</v>
      </c>
      <c r="AG31" s="841"/>
      <c r="AH31" s="663">
        <f t="shared" si="6"/>
        <v>1.29</v>
      </c>
      <c r="AI31" s="841"/>
      <c r="AJ31" s="841"/>
      <c r="AK31" s="848"/>
      <c r="AL31" s="671"/>
      <c r="AM31" s="671"/>
      <c r="AN31" s="671"/>
      <c r="AO31" s="671"/>
      <c r="AP31" s="671"/>
      <c r="AQ31" s="841"/>
      <c r="AR31" s="663" t="s">
        <v>65</v>
      </c>
      <c r="AS31" s="658">
        <v>8.3000000000000002E-6</v>
      </c>
      <c r="AT31" s="495">
        <v>1.1619999999999998E-2</v>
      </c>
      <c r="AU31" s="845"/>
      <c r="AV31" s="665">
        <v>0.28000000000000003</v>
      </c>
      <c r="AW31" s="855"/>
      <c r="AX31" s="841"/>
      <c r="AY31" s="856"/>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row>
    <row r="32" spans="1:76" ht="15" thickBot="1">
      <c r="A32" s="492" t="s">
        <v>1186</v>
      </c>
      <c r="B32" s="239" t="s">
        <v>768</v>
      </c>
      <c r="C32" s="639"/>
      <c r="D32" s="632" t="s">
        <v>768</v>
      </c>
      <c r="E32" s="632" t="s">
        <v>768</v>
      </c>
      <c r="F32" s="632" t="s">
        <v>768</v>
      </c>
      <c r="G32" s="632" t="s">
        <v>768</v>
      </c>
      <c r="H32" s="632" t="s">
        <v>768</v>
      </c>
      <c r="I32" s="438" t="s">
        <v>768</v>
      </c>
      <c r="J32" s="632" t="s">
        <v>768</v>
      </c>
      <c r="K32" s="632" t="s">
        <v>768</v>
      </c>
      <c r="L32" s="632" t="s">
        <v>768</v>
      </c>
      <c r="M32" s="439">
        <v>0</v>
      </c>
      <c r="N32" s="632" t="s">
        <v>768</v>
      </c>
      <c r="O32" s="439">
        <v>0</v>
      </c>
      <c r="P32" s="632" t="s">
        <v>768</v>
      </c>
      <c r="Q32" s="632" t="s">
        <v>768</v>
      </c>
      <c r="R32" s="439">
        <v>0</v>
      </c>
      <c r="AC32" s="828" t="str">
        <f>G6</f>
        <v>Children's Toys (Legacy)</v>
      </c>
      <c r="AD32" s="663" t="s">
        <v>69</v>
      </c>
      <c r="AE32" s="491">
        <f>G20</f>
        <v>0.33</v>
      </c>
      <c r="AF32" s="658">
        <f t="shared" ref="AF32" si="7">AE32*1.4*1000</f>
        <v>461.99999999999994</v>
      </c>
      <c r="AG32" s="828">
        <v>1.4</v>
      </c>
      <c r="AH32" s="658">
        <f>G38</f>
        <v>9.4499999999999993</v>
      </c>
      <c r="AI32" s="828">
        <f>G41</f>
        <v>0.01</v>
      </c>
      <c r="AJ32" s="828">
        <f>G69</f>
        <v>36</v>
      </c>
      <c r="AK32" s="828">
        <f>G73</f>
        <v>107.01</v>
      </c>
      <c r="AQ32" s="828" t="s">
        <v>943</v>
      </c>
      <c r="AR32" s="663" t="s">
        <v>69</v>
      </c>
      <c r="AS32" s="828">
        <v>1E-4</v>
      </c>
      <c r="AT32" s="828">
        <v>0.13999999999999999</v>
      </c>
      <c r="AU32" s="843">
        <v>1.4</v>
      </c>
      <c r="AV32" s="665">
        <v>9.4499999999999993</v>
      </c>
      <c r="AW32" s="853">
        <v>0.01</v>
      </c>
      <c r="AX32" s="828">
        <v>36</v>
      </c>
      <c r="AY32" s="851">
        <v>107.01</v>
      </c>
    </row>
    <row r="33" spans="1:76" ht="15" thickBot="1">
      <c r="A33" s="492" t="s">
        <v>1187</v>
      </c>
      <c r="B33" s="239" t="s">
        <v>768</v>
      </c>
      <c r="C33" s="639"/>
      <c r="D33" s="632" t="s">
        <v>768</v>
      </c>
      <c r="E33" s="632" t="s">
        <v>768</v>
      </c>
      <c r="F33" s="632" t="s">
        <v>768</v>
      </c>
      <c r="G33" s="632" t="s">
        <v>768</v>
      </c>
      <c r="H33" s="632" t="s">
        <v>768</v>
      </c>
      <c r="I33" s="438" t="s">
        <v>768</v>
      </c>
      <c r="J33" s="632" t="s">
        <v>768</v>
      </c>
      <c r="K33" s="632" t="s">
        <v>768</v>
      </c>
      <c r="L33" s="632" t="s">
        <v>768</v>
      </c>
      <c r="M33" s="439">
        <v>0</v>
      </c>
      <c r="N33" s="632" t="s">
        <v>768</v>
      </c>
      <c r="O33" s="439">
        <v>0</v>
      </c>
      <c r="P33" s="632" t="s">
        <v>768</v>
      </c>
      <c r="Q33" s="632" t="s">
        <v>768</v>
      </c>
      <c r="R33" s="439">
        <v>0</v>
      </c>
      <c r="AC33" s="829"/>
      <c r="AD33" s="663" t="s">
        <v>1065</v>
      </c>
      <c r="AE33" s="491">
        <f t="shared" ref="AE33:AE34" si="8">G21</f>
        <v>2.3138427777777779E-2</v>
      </c>
      <c r="AF33" s="658">
        <f t="shared" ref="AF33:AF34" si="9">AE33*1.4*1000</f>
        <v>32.393798888888888</v>
      </c>
      <c r="AG33" s="829"/>
      <c r="AH33" s="658">
        <f t="shared" ref="AH33:AH34" si="10">G39</f>
        <v>2.3199999999999998</v>
      </c>
      <c r="AI33" s="829"/>
      <c r="AJ33" s="829"/>
      <c r="AK33" s="829"/>
      <c r="AQ33" s="829"/>
      <c r="AR33" s="663" t="s">
        <v>1065</v>
      </c>
      <c r="AS33" s="829"/>
      <c r="AT33" s="829"/>
      <c r="AU33" s="844"/>
      <c r="AV33" s="665">
        <v>2.3199999999999998</v>
      </c>
      <c r="AW33" s="854"/>
      <c r="AX33" s="829"/>
      <c r="AY33" s="852"/>
    </row>
    <row r="34" spans="1:76" ht="15" thickBot="1">
      <c r="A34" s="481" t="s">
        <v>1189</v>
      </c>
      <c r="B34" s="433"/>
      <c r="C34" s="482"/>
      <c r="D34" s="434"/>
      <c r="E34" s="434"/>
      <c r="F34" s="434"/>
      <c r="G34" s="434"/>
      <c r="H34" s="434"/>
      <c r="I34" s="434"/>
      <c r="J34" s="433"/>
      <c r="K34" s="434"/>
      <c r="L34" s="434"/>
      <c r="M34" s="434"/>
      <c r="N34" s="433"/>
      <c r="O34" s="434"/>
      <c r="P34" s="434"/>
      <c r="Q34" s="434"/>
      <c r="R34" s="434"/>
      <c r="AC34" s="841"/>
      <c r="AD34" s="663" t="s">
        <v>65</v>
      </c>
      <c r="AE34" s="491">
        <f t="shared" si="8"/>
        <v>8.3000000000000002E-6</v>
      </c>
      <c r="AF34" s="658">
        <f t="shared" si="9"/>
        <v>1.1619999999999998E-2</v>
      </c>
      <c r="AG34" s="841"/>
      <c r="AH34" s="658">
        <f t="shared" si="10"/>
        <v>0.28000000000000003</v>
      </c>
      <c r="AI34" s="841"/>
      <c r="AJ34" s="841"/>
      <c r="AK34" s="841"/>
      <c r="AQ34" s="829"/>
      <c r="AR34" s="662" t="s">
        <v>65</v>
      </c>
      <c r="AS34" s="830"/>
      <c r="AT34" s="829"/>
      <c r="AU34" s="844"/>
      <c r="AV34" s="666">
        <v>0.28000000000000003</v>
      </c>
      <c r="AW34" s="854"/>
      <c r="AX34" s="829"/>
      <c r="AY34" s="852"/>
    </row>
    <row r="35" spans="1:76" ht="26.5" customHeight="1" thickBot="1">
      <c r="A35" s="498" t="s">
        <v>1190</v>
      </c>
      <c r="B35" s="445"/>
      <c r="C35" s="499"/>
      <c r="D35" s="499"/>
      <c r="E35" s="499"/>
      <c r="F35" s="499"/>
      <c r="G35" s="499"/>
      <c r="H35" s="499"/>
      <c r="I35" s="499"/>
      <c r="J35" s="499"/>
      <c r="K35" s="499"/>
      <c r="L35" s="445"/>
      <c r="M35" s="499"/>
      <c r="N35" s="499"/>
      <c r="O35" s="499"/>
      <c r="P35" s="499"/>
      <c r="Q35" s="499"/>
      <c r="R35" s="499"/>
      <c r="AC35" s="828" t="str">
        <f>H6</f>
        <v>Children's Toys (New)</v>
      </c>
      <c r="AD35" s="663" t="s">
        <v>69</v>
      </c>
      <c r="AE35" s="658">
        <f>H20</f>
        <v>1E-4</v>
      </c>
      <c r="AF35" s="828">
        <f t="shared" ref="AF35" si="11">AE35*1.4*1000</f>
        <v>0.13999999999999999</v>
      </c>
      <c r="AG35" s="828">
        <v>1.4</v>
      </c>
      <c r="AH35" s="658">
        <f>H38</f>
        <v>9.4499999999999993</v>
      </c>
      <c r="AI35" s="828">
        <f>H41</f>
        <v>0.01</v>
      </c>
      <c r="AJ35" s="828">
        <f>H69</f>
        <v>36</v>
      </c>
      <c r="AK35" s="846">
        <f>H73</f>
        <v>107.01</v>
      </c>
      <c r="AQ35" s="842" t="s">
        <v>945</v>
      </c>
      <c r="AR35" s="665" t="s">
        <v>69</v>
      </c>
      <c r="AS35" s="500">
        <v>0.39200000000000002</v>
      </c>
      <c r="AT35" s="665">
        <v>548.79999999999995</v>
      </c>
      <c r="AU35" s="842">
        <v>1.4</v>
      </c>
      <c r="AV35" s="501">
        <v>17</v>
      </c>
      <c r="AW35" s="842">
        <v>0.01</v>
      </c>
      <c r="AX35" s="842">
        <v>50</v>
      </c>
      <c r="AY35" s="850">
        <v>108.98</v>
      </c>
    </row>
    <row r="36" spans="1:76" ht="15" customHeight="1" thickBot="1">
      <c r="A36" s="492" t="s">
        <v>1191</v>
      </c>
      <c r="B36" s="239" t="s">
        <v>1192</v>
      </c>
      <c r="C36" s="639"/>
      <c r="D36" s="439" t="s">
        <v>768</v>
      </c>
      <c r="E36" s="632" t="s">
        <v>768</v>
      </c>
      <c r="F36" s="632" t="s">
        <v>768</v>
      </c>
      <c r="G36" s="632" t="s">
        <v>768</v>
      </c>
      <c r="H36" s="632" t="s">
        <v>768</v>
      </c>
      <c r="I36" s="439" t="s">
        <v>768</v>
      </c>
      <c r="J36" s="632" t="s">
        <v>768</v>
      </c>
      <c r="K36" s="632" t="s">
        <v>768</v>
      </c>
      <c r="L36" s="632" t="s">
        <v>768</v>
      </c>
      <c r="M36" s="439" t="s">
        <v>768</v>
      </c>
      <c r="N36" s="632" t="s">
        <v>768</v>
      </c>
      <c r="O36" s="439" t="s">
        <v>768</v>
      </c>
      <c r="P36" s="632" t="s">
        <v>768</v>
      </c>
      <c r="Q36" s="632" t="s">
        <v>768</v>
      </c>
      <c r="R36" s="439" t="s">
        <v>768</v>
      </c>
      <c r="AC36" s="829"/>
      <c r="AD36" s="663" t="s">
        <v>1065</v>
      </c>
      <c r="AE36" s="658">
        <f>H21</f>
        <v>1E-4</v>
      </c>
      <c r="AF36" s="829"/>
      <c r="AG36" s="829"/>
      <c r="AH36" s="658">
        <f t="shared" ref="AH36:AH37" si="12">H39</f>
        <v>2.3199999999999998</v>
      </c>
      <c r="AI36" s="829"/>
      <c r="AJ36" s="829"/>
      <c r="AK36" s="847"/>
      <c r="AQ36" s="842"/>
      <c r="AR36" s="665" t="s">
        <v>1065</v>
      </c>
      <c r="AS36" s="500">
        <v>0.12293833333333333</v>
      </c>
      <c r="AT36" s="502">
        <v>172.11366666666666</v>
      </c>
      <c r="AU36" s="842"/>
      <c r="AV36" s="501">
        <v>12</v>
      </c>
      <c r="AW36" s="842"/>
      <c r="AX36" s="842"/>
      <c r="AY36" s="850"/>
    </row>
    <row r="37" spans="1:76" ht="15" customHeight="1" thickBot="1">
      <c r="A37" s="492" t="s">
        <v>1193</v>
      </c>
      <c r="B37" s="239" t="s">
        <v>664</v>
      </c>
      <c r="C37" s="639"/>
      <c r="D37" s="439" t="s">
        <v>768</v>
      </c>
      <c r="E37" s="632">
        <v>1.4</v>
      </c>
      <c r="F37" s="632">
        <v>1.4</v>
      </c>
      <c r="G37" s="632">
        <v>1.4</v>
      </c>
      <c r="H37" s="632">
        <v>1.4</v>
      </c>
      <c r="I37" s="439" t="s">
        <v>768</v>
      </c>
      <c r="J37" s="632" t="s">
        <v>768</v>
      </c>
      <c r="K37" s="632">
        <v>1.4</v>
      </c>
      <c r="L37" s="632">
        <v>1.4</v>
      </c>
      <c r="M37" s="439" t="s">
        <v>768</v>
      </c>
      <c r="N37" s="632">
        <v>1.4</v>
      </c>
      <c r="O37" s="439" t="s">
        <v>768</v>
      </c>
      <c r="P37" s="632">
        <v>1.4</v>
      </c>
      <c r="Q37" s="632">
        <v>1.4</v>
      </c>
      <c r="R37" s="439" t="s">
        <v>768</v>
      </c>
      <c r="AC37" s="841"/>
      <c r="AD37" s="663" t="s">
        <v>65</v>
      </c>
      <c r="AE37" s="658">
        <f>H22</f>
        <v>1E-4</v>
      </c>
      <c r="AF37" s="841"/>
      <c r="AG37" s="841"/>
      <c r="AH37" s="658">
        <f t="shared" si="12"/>
        <v>0.28000000000000003</v>
      </c>
      <c r="AI37" s="841"/>
      <c r="AJ37" s="841"/>
      <c r="AK37" s="848"/>
      <c r="AQ37" s="842"/>
      <c r="AR37" s="665" t="s">
        <v>65</v>
      </c>
      <c r="AS37" s="665">
        <v>2.0000000000000002E-5</v>
      </c>
      <c r="AT37" s="665">
        <v>2.8000000000000001E-2</v>
      </c>
      <c r="AU37" s="842"/>
      <c r="AV37" s="501">
        <v>7.9</v>
      </c>
      <c r="AW37" s="842"/>
      <c r="AX37" s="842"/>
      <c r="AY37" s="850"/>
    </row>
    <row r="38" spans="1:76" ht="18.649999999999999" customHeight="1" thickTop="1" thickBot="1">
      <c r="A38" s="864" t="s">
        <v>1194</v>
      </c>
      <c r="B38" s="812" t="s">
        <v>1346</v>
      </c>
      <c r="C38" s="661" t="s">
        <v>69</v>
      </c>
      <c r="D38" s="439" t="s">
        <v>768</v>
      </c>
      <c r="E38" s="435">
        <v>7.2</v>
      </c>
      <c r="F38" s="435">
        <v>1.29</v>
      </c>
      <c r="G38" s="435">
        <v>9.4499999999999993</v>
      </c>
      <c r="H38" s="435">
        <v>9.4499999999999993</v>
      </c>
      <c r="I38" s="439" t="s">
        <v>768</v>
      </c>
      <c r="J38" s="632" t="s">
        <v>768</v>
      </c>
      <c r="K38" s="503">
        <v>17</v>
      </c>
      <c r="L38" s="435">
        <v>3.7</v>
      </c>
      <c r="M38" s="439" t="s">
        <v>768</v>
      </c>
      <c r="N38" s="435">
        <v>6.5</v>
      </c>
      <c r="O38" s="439" t="s">
        <v>768</v>
      </c>
      <c r="P38" s="435">
        <v>202</v>
      </c>
      <c r="Q38" s="435">
        <v>200</v>
      </c>
      <c r="R38" s="439" t="s">
        <v>768</v>
      </c>
      <c r="AC38" s="828" t="str">
        <f>I6</f>
        <v>Clothing</v>
      </c>
      <c r="AD38" s="663" t="s">
        <v>69</v>
      </c>
      <c r="AE38" s="658" t="str">
        <f>I20</f>
        <v>n/a</v>
      </c>
      <c r="AF38" s="658" t="e">
        <f t="shared" ref="AF38:AF40" si="13">AE38*1.4*1000</f>
        <v>#VALUE!</v>
      </c>
      <c r="AG38" s="828">
        <v>1.4</v>
      </c>
      <c r="AH38" s="658" t="str">
        <f>I38</f>
        <v>n/a</v>
      </c>
      <c r="AI38" s="863" t="str">
        <f>I41</f>
        <v>n/a</v>
      </c>
      <c r="AJ38" s="863" t="str">
        <f>I69</f>
        <v>n/a</v>
      </c>
      <c r="AK38" s="863" t="str">
        <f>I73</f>
        <v>n/a</v>
      </c>
      <c r="AQ38" s="842" t="s">
        <v>490</v>
      </c>
      <c r="AR38" s="665" t="s">
        <v>69</v>
      </c>
      <c r="AS38" s="831">
        <v>0.13692599999999999</v>
      </c>
      <c r="AT38" s="834">
        <v>191.69639999999998</v>
      </c>
      <c r="AU38" s="842">
        <v>1.4</v>
      </c>
      <c r="AV38" s="501">
        <v>3.7</v>
      </c>
      <c r="AW38" s="842">
        <v>0.01</v>
      </c>
      <c r="AX38" s="842">
        <v>492</v>
      </c>
      <c r="AY38" s="842">
        <v>1.0000000000000001E-30</v>
      </c>
    </row>
    <row r="39" spans="1:76" ht="18.649999999999999" customHeight="1" thickBot="1">
      <c r="A39" s="865"/>
      <c r="B39" s="813"/>
      <c r="C39" s="661" t="s">
        <v>67</v>
      </c>
      <c r="D39" s="439"/>
      <c r="E39" s="435">
        <v>5.9</v>
      </c>
      <c r="F39" s="435">
        <v>1.29</v>
      </c>
      <c r="G39" s="435">
        <v>2.3199999999999998</v>
      </c>
      <c r="H39" s="435">
        <v>2.3199999999999998</v>
      </c>
      <c r="I39" s="439" t="s">
        <v>768</v>
      </c>
      <c r="J39" s="632" t="s">
        <v>768</v>
      </c>
      <c r="K39" s="504">
        <v>12</v>
      </c>
      <c r="L39" s="435">
        <v>1.9</v>
      </c>
      <c r="M39" s="439" t="s">
        <v>751</v>
      </c>
      <c r="N39" s="435">
        <v>6.5</v>
      </c>
      <c r="O39" s="439" t="s">
        <v>768</v>
      </c>
      <c r="P39" s="435">
        <v>101</v>
      </c>
      <c r="Q39" s="435">
        <v>100</v>
      </c>
      <c r="R39" s="439"/>
      <c r="AC39" s="829"/>
      <c r="AD39" s="663" t="s">
        <v>1065</v>
      </c>
      <c r="AE39" s="658" t="str">
        <f>I21</f>
        <v>n/a</v>
      </c>
      <c r="AF39" s="658" t="e">
        <f t="shared" si="13"/>
        <v>#VALUE!</v>
      </c>
      <c r="AG39" s="829"/>
      <c r="AH39" s="658" t="str">
        <f t="shared" ref="AH39:AH40" si="14">I39</f>
        <v>n/a</v>
      </c>
      <c r="AI39" s="829"/>
      <c r="AJ39" s="829"/>
      <c r="AK39" s="829"/>
      <c r="AQ39" s="842"/>
      <c r="AR39" s="665" t="s">
        <v>1065</v>
      </c>
      <c r="AS39" s="832"/>
      <c r="AT39" s="835"/>
      <c r="AU39" s="842"/>
      <c r="AV39" s="501">
        <v>1.9</v>
      </c>
      <c r="AW39" s="842"/>
      <c r="AX39" s="842"/>
      <c r="AY39" s="842"/>
    </row>
    <row r="40" spans="1:76" ht="18.649999999999999" customHeight="1" thickBot="1">
      <c r="A40" s="866"/>
      <c r="B40" s="814"/>
      <c r="C40" s="661" t="s">
        <v>65</v>
      </c>
      <c r="D40" s="439"/>
      <c r="E40" s="435">
        <v>3.9</v>
      </c>
      <c r="F40" s="435">
        <v>1.29</v>
      </c>
      <c r="G40" s="435">
        <v>0.28000000000000003</v>
      </c>
      <c r="H40" s="435">
        <v>0.28000000000000003</v>
      </c>
      <c r="I40" s="439" t="s">
        <v>768</v>
      </c>
      <c r="J40" s="632" t="s">
        <v>768</v>
      </c>
      <c r="K40" s="504">
        <v>7.9</v>
      </c>
      <c r="L40" s="435">
        <v>1.4</v>
      </c>
      <c r="M40" s="439" t="s">
        <v>768</v>
      </c>
      <c r="N40" s="435">
        <v>6.5</v>
      </c>
      <c r="O40" s="439" t="s">
        <v>768</v>
      </c>
      <c r="P40" s="435">
        <v>50.5</v>
      </c>
      <c r="Q40" s="435">
        <v>50</v>
      </c>
      <c r="R40" s="439"/>
      <c r="AC40" s="841"/>
      <c r="AD40" s="663" t="s">
        <v>65</v>
      </c>
      <c r="AE40" s="658" t="str">
        <f>I22</f>
        <v>n/a</v>
      </c>
      <c r="AF40" s="658" t="e">
        <f t="shared" si="13"/>
        <v>#VALUE!</v>
      </c>
      <c r="AG40" s="841"/>
      <c r="AH40" s="658" t="str">
        <f t="shared" si="14"/>
        <v>n/a</v>
      </c>
      <c r="AI40" s="841"/>
      <c r="AJ40" s="841"/>
      <c r="AK40" s="841"/>
      <c r="AQ40" s="842"/>
      <c r="AR40" s="665" t="s">
        <v>65</v>
      </c>
      <c r="AS40" s="833"/>
      <c r="AT40" s="836"/>
      <c r="AU40" s="842"/>
      <c r="AV40" s="501">
        <v>1.4</v>
      </c>
      <c r="AW40" s="842"/>
      <c r="AX40" s="842"/>
      <c r="AY40" s="842"/>
    </row>
    <row r="41" spans="1:76" s="300" customFormat="1" ht="15" thickBot="1">
      <c r="A41" s="492" t="s">
        <v>1196</v>
      </c>
      <c r="B41" s="269" t="s">
        <v>1197</v>
      </c>
      <c r="C41" s="492"/>
      <c r="D41" s="505" t="s">
        <v>768</v>
      </c>
      <c r="E41" s="235">
        <v>0.01</v>
      </c>
      <c r="F41" s="235">
        <v>0.01</v>
      </c>
      <c r="G41" s="235">
        <v>0.01</v>
      </c>
      <c r="H41" s="235">
        <v>0.01</v>
      </c>
      <c r="I41" s="505" t="s">
        <v>768</v>
      </c>
      <c r="J41" s="235" t="s">
        <v>768</v>
      </c>
      <c r="K41" s="235">
        <v>0.01</v>
      </c>
      <c r="L41" s="235">
        <v>0.01</v>
      </c>
      <c r="M41" s="439" t="s">
        <v>768</v>
      </c>
      <c r="N41" s="235">
        <v>0.01</v>
      </c>
      <c r="O41" s="439" t="s">
        <v>768</v>
      </c>
      <c r="P41" s="235">
        <v>0.01</v>
      </c>
      <c r="Q41" s="235">
        <v>0.01</v>
      </c>
      <c r="R41" s="439" t="s">
        <v>768</v>
      </c>
      <c r="AC41" s="823" t="str">
        <f>J6</f>
        <v>Erasers</v>
      </c>
      <c r="AD41" s="663" t="s">
        <v>69</v>
      </c>
      <c r="AE41" s="658" t="str">
        <f>J20</f>
        <v>n/a</v>
      </c>
      <c r="AF41" s="663" t="e">
        <f t="shared" ref="AF41:AF43" si="15">AE41*1.4*1000</f>
        <v>#VALUE!</v>
      </c>
      <c r="AG41" s="843">
        <v>1.4</v>
      </c>
      <c r="AH41" s="663" t="str">
        <f>J38</f>
        <v>n/a</v>
      </c>
      <c r="AI41" s="828" t="str">
        <f>J41</f>
        <v>n/a</v>
      </c>
      <c r="AJ41" s="828" t="str">
        <f>J69</f>
        <v>n/a</v>
      </c>
      <c r="AK41" s="846" t="str">
        <f>J73</f>
        <v>n/a</v>
      </c>
      <c r="AQ41" s="842" t="s">
        <v>473</v>
      </c>
      <c r="AR41" s="665" t="s">
        <v>69</v>
      </c>
      <c r="AS41" s="665">
        <v>0.48</v>
      </c>
      <c r="AT41" s="502">
        <v>671.99999999999989</v>
      </c>
      <c r="AU41" s="842">
        <v>1.4</v>
      </c>
      <c r="AV41" s="837">
        <v>6.5</v>
      </c>
      <c r="AW41" s="842">
        <v>0.01</v>
      </c>
      <c r="AX41" s="842">
        <v>15</v>
      </c>
      <c r="AY41" s="850">
        <v>107.01</v>
      </c>
    </row>
    <row r="42" spans="1:76" s="467" customFormat="1" ht="15" thickBot="1">
      <c r="A42" s="506" t="s">
        <v>1198</v>
      </c>
      <c r="B42" s="507" t="s">
        <v>1042</v>
      </c>
      <c r="C42" s="508"/>
      <c r="D42" s="509" t="s">
        <v>768</v>
      </c>
      <c r="E42" s="509" t="s">
        <v>768</v>
      </c>
      <c r="F42" s="509" t="s">
        <v>768</v>
      </c>
      <c r="G42" s="509" t="s">
        <v>768</v>
      </c>
      <c r="H42" s="509" t="s">
        <v>768</v>
      </c>
      <c r="I42" s="505" t="s">
        <v>768</v>
      </c>
      <c r="J42" s="509" t="s">
        <v>768</v>
      </c>
      <c r="K42" s="509" t="s">
        <v>768</v>
      </c>
      <c r="L42" s="509" t="s">
        <v>768</v>
      </c>
      <c r="M42" s="505" t="s">
        <v>768</v>
      </c>
      <c r="N42" s="509" t="s">
        <v>768</v>
      </c>
      <c r="O42" s="505" t="s">
        <v>768</v>
      </c>
      <c r="P42" s="509" t="s">
        <v>768</v>
      </c>
      <c r="Q42" s="509" t="s">
        <v>768</v>
      </c>
      <c r="R42" s="505" t="s">
        <v>768</v>
      </c>
      <c r="T42" s="300"/>
      <c r="U42" s="300"/>
      <c r="V42" s="300"/>
      <c r="W42" s="300"/>
      <c r="X42" s="300"/>
      <c r="Y42" s="300"/>
      <c r="Z42" s="300"/>
      <c r="AA42" s="300"/>
      <c r="AB42" s="300"/>
      <c r="AC42" s="824"/>
      <c r="AD42" s="663" t="s">
        <v>1065</v>
      </c>
      <c r="AE42" s="658" t="str">
        <f>J21</f>
        <v>n/a</v>
      </c>
      <c r="AF42" s="663" t="e">
        <f t="shared" si="15"/>
        <v>#VALUE!</v>
      </c>
      <c r="AG42" s="844"/>
      <c r="AH42" s="663" t="str">
        <f t="shared" ref="AH42:AH43" si="16">J39</f>
        <v>n/a</v>
      </c>
      <c r="AI42" s="829"/>
      <c r="AJ42" s="829"/>
      <c r="AK42" s="847"/>
      <c r="AL42" s="300"/>
      <c r="AM42" s="300"/>
      <c r="AN42" s="300"/>
      <c r="AO42" s="300"/>
      <c r="AP42" s="300"/>
      <c r="AQ42" s="842"/>
      <c r="AR42" s="665" t="s">
        <v>1065</v>
      </c>
      <c r="AS42" s="500">
        <v>0.1795525</v>
      </c>
      <c r="AT42" s="502">
        <v>251.37349999999998</v>
      </c>
      <c r="AU42" s="842"/>
      <c r="AV42" s="838"/>
      <c r="AW42" s="842"/>
      <c r="AX42" s="842"/>
      <c r="AY42" s="850"/>
      <c r="AZ42" s="300"/>
      <c r="BA42" s="300"/>
      <c r="BB42" s="300"/>
      <c r="BC42" s="300"/>
      <c r="BD42" s="300"/>
      <c r="BE42" s="300"/>
      <c r="BF42" s="300"/>
      <c r="BG42" s="300"/>
      <c r="BH42" s="300"/>
      <c r="BI42" s="300"/>
      <c r="BJ42" s="300"/>
      <c r="BK42" s="300"/>
      <c r="BL42" s="300"/>
      <c r="BM42" s="300"/>
      <c r="BN42" s="300"/>
      <c r="BO42" s="300"/>
      <c r="BP42" s="300"/>
      <c r="BQ42" s="300"/>
      <c r="BR42" s="300"/>
      <c r="BS42" s="300"/>
      <c r="BT42" s="300"/>
      <c r="BU42" s="300"/>
      <c r="BV42" s="300"/>
      <c r="BW42" s="300"/>
      <c r="BX42" s="300"/>
    </row>
    <row r="43" spans="1:76" ht="15" thickBot="1">
      <c r="A43" s="492" t="s">
        <v>1199</v>
      </c>
      <c r="B43" s="239" t="s">
        <v>1200</v>
      </c>
      <c r="C43" s="639"/>
      <c r="D43" s="632">
        <v>100</v>
      </c>
      <c r="E43" s="632" t="s">
        <v>768</v>
      </c>
      <c r="F43" s="632" t="s">
        <v>768</v>
      </c>
      <c r="G43" s="632">
        <v>10</v>
      </c>
      <c r="H43" s="632">
        <v>10</v>
      </c>
      <c r="I43" s="439" t="s">
        <v>768</v>
      </c>
      <c r="J43" s="632">
        <v>10</v>
      </c>
      <c r="K43" s="632">
        <v>10</v>
      </c>
      <c r="L43" s="632">
        <v>10</v>
      </c>
      <c r="M43" s="439">
        <v>0</v>
      </c>
      <c r="N43" s="632" t="s">
        <v>768</v>
      </c>
      <c r="O43" s="439">
        <v>0</v>
      </c>
      <c r="P43" s="632" t="s">
        <v>768</v>
      </c>
      <c r="Q43" s="632" t="s">
        <v>768</v>
      </c>
      <c r="R43" s="439">
        <v>0</v>
      </c>
      <c r="AC43" s="824"/>
      <c r="AD43" s="663" t="s">
        <v>65</v>
      </c>
      <c r="AE43" s="658" t="str">
        <f>J22</f>
        <v>n/a</v>
      </c>
      <c r="AF43" s="663" t="e">
        <f t="shared" si="15"/>
        <v>#VALUE!</v>
      </c>
      <c r="AG43" s="845"/>
      <c r="AH43" s="663" t="str">
        <f t="shared" si="16"/>
        <v>n/a</v>
      </c>
      <c r="AI43" s="841"/>
      <c r="AJ43" s="841"/>
      <c r="AK43" s="848"/>
      <c r="AQ43" s="842"/>
      <c r="AR43" s="665" t="s">
        <v>65</v>
      </c>
      <c r="AS43" s="665">
        <v>5.0000000000000001E-4</v>
      </c>
      <c r="AT43" s="665">
        <v>0.7</v>
      </c>
      <c r="AU43" s="842"/>
      <c r="AV43" s="839"/>
      <c r="AW43" s="842"/>
      <c r="AX43" s="842"/>
      <c r="AY43" s="850"/>
    </row>
    <row r="44" spans="1:76" ht="21" customHeight="1" thickBot="1">
      <c r="A44" s="498" t="s">
        <v>1214</v>
      </c>
      <c r="B44" s="445"/>
      <c r="C44" s="499"/>
      <c r="D44" s="499"/>
      <c r="E44" s="499"/>
      <c r="F44" s="499"/>
      <c r="G44" s="499"/>
      <c r="H44" s="499"/>
      <c r="I44" s="499"/>
      <c r="J44" s="499"/>
      <c r="K44" s="499"/>
      <c r="L44" s="445"/>
      <c r="M44" s="499"/>
      <c r="N44" s="499"/>
      <c r="O44" s="499"/>
      <c r="P44" s="499"/>
      <c r="Q44" s="499"/>
      <c r="R44" s="499"/>
      <c r="AC44" s="824" t="str">
        <f>K6</f>
        <v>Furniture Components (Textile)</v>
      </c>
      <c r="AD44" s="663" t="s">
        <v>69</v>
      </c>
      <c r="AE44" s="510">
        <f>K20</f>
        <v>0.39200000000000002</v>
      </c>
      <c r="AF44" s="658">
        <f t="shared" ref="AF44" si="17">AE44*1.4*1000</f>
        <v>548.79999999999995</v>
      </c>
      <c r="AG44" s="828">
        <v>1.4</v>
      </c>
      <c r="AH44" s="511">
        <f>K38</f>
        <v>17</v>
      </c>
      <c r="AI44" s="828">
        <f>K41</f>
        <v>0.01</v>
      </c>
      <c r="AJ44" s="828">
        <f>K69</f>
        <v>50</v>
      </c>
      <c r="AK44" s="846">
        <f>K73</f>
        <v>108.98</v>
      </c>
      <c r="AQ44" s="842" t="s">
        <v>35</v>
      </c>
      <c r="AR44" s="665" t="s">
        <v>69</v>
      </c>
      <c r="AS44" s="512">
        <v>2.8136999999999999E-2</v>
      </c>
      <c r="AT44" s="502">
        <v>39.391799999999996</v>
      </c>
      <c r="AU44" s="842">
        <v>1.4</v>
      </c>
      <c r="AV44" s="501">
        <v>202</v>
      </c>
      <c r="AW44" s="842">
        <v>0.01</v>
      </c>
      <c r="AX44" s="842">
        <v>492</v>
      </c>
      <c r="AY44" s="849">
        <v>1.0000000000000001E-30</v>
      </c>
    </row>
    <row r="45" spans="1:76" s="149" customFormat="1" ht="22.5" customHeight="1" thickBot="1">
      <c r="A45" s="513" t="s">
        <v>1215</v>
      </c>
      <c r="B45" s="508" t="s">
        <v>1197</v>
      </c>
      <c r="C45" s="514"/>
      <c r="D45" s="515" t="s">
        <v>768</v>
      </c>
      <c r="E45" s="515" t="s">
        <v>768</v>
      </c>
      <c r="F45" s="515" t="s">
        <v>768</v>
      </c>
      <c r="G45" s="515" t="s">
        <v>768</v>
      </c>
      <c r="H45" s="515" t="s">
        <v>768</v>
      </c>
      <c r="I45" s="515" t="s">
        <v>768</v>
      </c>
      <c r="J45" s="515" t="s">
        <v>768</v>
      </c>
      <c r="K45" s="515" t="s">
        <v>768</v>
      </c>
      <c r="L45" s="515" t="s">
        <v>768</v>
      </c>
      <c r="M45" s="515"/>
      <c r="N45" s="515" t="s">
        <v>768</v>
      </c>
      <c r="O45" s="515"/>
      <c r="P45" s="515" t="s">
        <v>768</v>
      </c>
      <c r="Q45" s="515" t="s">
        <v>768</v>
      </c>
      <c r="R45" s="515">
        <v>0</v>
      </c>
      <c r="T45" s="671"/>
      <c r="U45" s="671"/>
      <c r="V45" s="671"/>
      <c r="W45" s="671"/>
      <c r="X45" s="671"/>
      <c r="Y45" s="671"/>
      <c r="Z45" s="671"/>
      <c r="AA45" s="671"/>
      <c r="AB45" s="671"/>
      <c r="AC45" s="824"/>
      <c r="AD45" s="663" t="s">
        <v>1065</v>
      </c>
      <c r="AE45" s="510">
        <f>K21</f>
        <v>0.12293833333333333</v>
      </c>
      <c r="AF45" s="658">
        <f t="shared" ref="AF45:AF47" si="18">AE45*1.4*1000</f>
        <v>172.11366666666666</v>
      </c>
      <c r="AG45" s="829"/>
      <c r="AH45" s="511">
        <f t="shared" ref="AH45:AH46" si="19">K39</f>
        <v>12</v>
      </c>
      <c r="AI45" s="829"/>
      <c r="AJ45" s="829"/>
      <c r="AK45" s="847"/>
      <c r="AL45" s="671"/>
      <c r="AM45" s="671"/>
      <c r="AN45" s="671"/>
      <c r="AO45" s="671"/>
      <c r="AP45" s="671"/>
      <c r="AQ45" s="842"/>
      <c r="AR45" s="665" t="s">
        <v>1065</v>
      </c>
      <c r="AS45" s="512">
        <v>1.4161874999999999E-2</v>
      </c>
      <c r="AT45" s="502">
        <v>19.826624999999996</v>
      </c>
      <c r="AU45" s="842"/>
      <c r="AV45" s="501">
        <v>101</v>
      </c>
      <c r="AW45" s="842"/>
      <c r="AX45" s="842"/>
      <c r="AY45" s="849"/>
      <c r="AZ45" s="671"/>
      <c r="BA45" s="671"/>
      <c r="BB45" s="671"/>
      <c r="BC45" s="671"/>
      <c r="BD45" s="671"/>
      <c r="BE45" s="671"/>
      <c r="BF45" s="671"/>
      <c r="BG45" s="671"/>
      <c r="BH45" s="671"/>
      <c r="BI45" s="671"/>
      <c r="BJ45" s="671"/>
      <c r="BK45" s="671"/>
      <c r="BL45" s="671"/>
      <c r="BM45" s="671"/>
      <c r="BN45" s="671"/>
      <c r="BO45" s="671"/>
      <c r="BP45" s="671"/>
      <c r="BQ45" s="671"/>
      <c r="BR45" s="671"/>
      <c r="BS45" s="671"/>
      <c r="BT45" s="671"/>
      <c r="BU45" s="671"/>
      <c r="BV45" s="671"/>
      <c r="BW45" s="671"/>
      <c r="BX45" s="671"/>
    </row>
    <row r="46" spans="1:76" s="149" customFormat="1" ht="15" customHeight="1" thickBot="1">
      <c r="A46" s="513" t="s">
        <v>1216</v>
      </c>
      <c r="B46" s="508" t="s">
        <v>1217</v>
      </c>
      <c r="C46" s="514"/>
      <c r="D46" s="515" t="s">
        <v>768</v>
      </c>
      <c r="E46" s="515" t="s">
        <v>768</v>
      </c>
      <c r="F46" s="515" t="s">
        <v>768</v>
      </c>
      <c r="G46" s="515" t="s">
        <v>768</v>
      </c>
      <c r="H46" s="515" t="s">
        <v>768</v>
      </c>
      <c r="I46" s="515" t="s">
        <v>768</v>
      </c>
      <c r="J46" s="515" t="s">
        <v>768</v>
      </c>
      <c r="K46" s="515" t="s">
        <v>768</v>
      </c>
      <c r="L46" s="515" t="s">
        <v>768</v>
      </c>
      <c r="M46" s="515"/>
      <c r="N46" s="515" t="s">
        <v>768</v>
      </c>
      <c r="O46" s="515"/>
      <c r="P46" s="515" t="s">
        <v>768</v>
      </c>
      <c r="Q46" s="515" t="s">
        <v>768</v>
      </c>
      <c r="R46" s="515">
        <v>0</v>
      </c>
      <c r="T46" s="671"/>
      <c r="U46" s="671"/>
      <c r="V46" s="671"/>
      <c r="W46" s="671"/>
      <c r="X46" s="671"/>
      <c r="Y46" s="671"/>
      <c r="Z46" s="671"/>
      <c r="AA46" s="671"/>
      <c r="AB46" s="671"/>
      <c r="AC46" s="824"/>
      <c r="AD46" s="663" t="s">
        <v>65</v>
      </c>
      <c r="AE46" s="516">
        <f>K22</f>
        <v>2.0000000000000002E-5</v>
      </c>
      <c r="AF46" s="658">
        <f t="shared" si="18"/>
        <v>2.8000000000000001E-2</v>
      </c>
      <c r="AG46" s="841"/>
      <c r="AH46" s="511">
        <f t="shared" si="19"/>
        <v>7.9</v>
      </c>
      <c r="AI46" s="841"/>
      <c r="AJ46" s="841"/>
      <c r="AK46" s="848"/>
      <c r="AL46" s="671"/>
      <c r="AM46" s="671"/>
      <c r="AN46" s="671"/>
      <c r="AO46" s="671"/>
      <c r="AP46" s="671"/>
      <c r="AQ46" s="842"/>
      <c r="AR46" s="665" t="s">
        <v>65</v>
      </c>
      <c r="AS46" s="517">
        <v>4.85E-5</v>
      </c>
      <c r="AT46" s="512">
        <v>6.7900000000000002E-2</v>
      </c>
      <c r="AU46" s="842"/>
      <c r="AV46" s="501">
        <v>50.5</v>
      </c>
      <c r="AW46" s="842"/>
      <c r="AX46" s="842"/>
      <c r="AY46" s="849"/>
      <c r="AZ46" s="671"/>
      <c r="BA46" s="671"/>
      <c r="BB46" s="671"/>
      <c r="BC46" s="671"/>
      <c r="BD46" s="671"/>
      <c r="BE46" s="671"/>
      <c r="BF46" s="671"/>
      <c r="BG46" s="671"/>
      <c r="BH46" s="671"/>
      <c r="BI46" s="671"/>
      <c r="BJ46" s="671"/>
      <c r="BK46" s="671"/>
      <c r="BL46" s="671"/>
      <c r="BM46" s="671"/>
      <c r="BN46" s="671"/>
      <c r="BO46" s="671"/>
      <c r="BP46" s="671"/>
      <c r="BQ46" s="671"/>
      <c r="BR46" s="671"/>
      <c r="BS46" s="671"/>
      <c r="BT46" s="671"/>
      <c r="BU46" s="671"/>
      <c r="BV46" s="671"/>
      <c r="BW46" s="671"/>
      <c r="BX46" s="671"/>
    </row>
    <row r="47" spans="1:76" s="149" customFormat="1" ht="26.5" customHeight="1" thickBot="1">
      <c r="A47" s="513" t="s">
        <v>1218</v>
      </c>
      <c r="B47" s="508" t="s">
        <v>1219</v>
      </c>
      <c r="C47" s="514"/>
      <c r="D47" s="515" t="s">
        <v>768</v>
      </c>
      <c r="E47" s="515" t="s">
        <v>768</v>
      </c>
      <c r="F47" s="515" t="s">
        <v>768</v>
      </c>
      <c r="G47" s="515" t="s">
        <v>768</v>
      </c>
      <c r="H47" s="515" t="s">
        <v>768</v>
      </c>
      <c r="I47" s="515" t="s">
        <v>768</v>
      </c>
      <c r="J47" s="515" t="s">
        <v>768</v>
      </c>
      <c r="K47" s="515" t="s">
        <v>768</v>
      </c>
      <c r="L47" s="515" t="s">
        <v>768</v>
      </c>
      <c r="M47" s="515"/>
      <c r="N47" s="515" t="s">
        <v>768</v>
      </c>
      <c r="O47" s="515"/>
      <c r="P47" s="515" t="s">
        <v>768</v>
      </c>
      <c r="Q47" s="515" t="s">
        <v>768</v>
      </c>
      <c r="R47" s="515">
        <v>0</v>
      </c>
      <c r="T47" s="671"/>
      <c r="U47" s="671"/>
      <c r="V47" s="671"/>
      <c r="W47" s="671"/>
      <c r="X47" s="671"/>
      <c r="Y47" s="671"/>
      <c r="Z47" s="671"/>
      <c r="AA47" s="671"/>
      <c r="AB47" s="671"/>
      <c r="AC47" s="824" t="str">
        <f>L6</f>
        <v>Insulated Cords</v>
      </c>
      <c r="AD47" s="663" t="s">
        <v>69</v>
      </c>
      <c r="AE47" s="518">
        <f>L20</f>
        <v>0.13692599999999999</v>
      </c>
      <c r="AF47" s="658">
        <f t="shared" si="18"/>
        <v>191.69639999999998</v>
      </c>
      <c r="AG47" s="828">
        <v>1.4</v>
      </c>
      <c r="AH47" s="511">
        <f>L38</f>
        <v>3.7</v>
      </c>
      <c r="AI47" s="828">
        <f>L41</f>
        <v>0.01</v>
      </c>
      <c r="AJ47" s="828">
        <f>L69</f>
        <v>492</v>
      </c>
      <c r="AK47" s="828">
        <f>L73</f>
        <v>1.0000000000000001E-30</v>
      </c>
      <c r="AL47" s="671"/>
      <c r="AM47" s="671"/>
      <c r="AN47" s="671"/>
      <c r="AO47" s="671"/>
      <c r="AP47" s="671"/>
      <c r="AQ47" s="842" t="s">
        <v>1317</v>
      </c>
      <c r="AR47" s="665" t="s">
        <v>69</v>
      </c>
      <c r="AS47" s="665">
        <v>4.0000000000000003E-5</v>
      </c>
      <c r="AT47" s="665">
        <v>5.6000000000000001E-2</v>
      </c>
      <c r="AU47" s="842">
        <v>1.4</v>
      </c>
      <c r="AV47" s="501">
        <v>200</v>
      </c>
      <c r="AW47" s="842">
        <v>0.01</v>
      </c>
      <c r="AX47" s="842">
        <v>492</v>
      </c>
      <c r="AY47" s="849">
        <v>1.0000000000000001E-30</v>
      </c>
      <c r="AZ47" s="671"/>
      <c r="BA47" s="671"/>
      <c r="BB47" s="671"/>
      <c r="BC47" s="671"/>
      <c r="BD47" s="671"/>
      <c r="BE47" s="671"/>
      <c r="BF47" s="671"/>
      <c r="BG47" s="671"/>
      <c r="BH47" s="671"/>
      <c r="BI47" s="671"/>
      <c r="BJ47" s="671"/>
      <c r="BK47" s="671"/>
      <c r="BL47" s="671"/>
      <c r="BM47" s="671"/>
      <c r="BN47" s="671"/>
      <c r="BO47" s="671"/>
      <c r="BP47" s="671"/>
      <c r="BQ47" s="671"/>
      <c r="BR47" s="671"/>
      <c r="BS47" s="671"/>
      <c r="BT47" s="671"/>
      <c r="BU47" s="671"/>
      <c r="BV47" s="671"/>
      <c r="BW47" s="671"/>
      <c r="BX47" s="671"/>
    </row>
    <row r="48" spans="1:76" ht="18" customHeight="1" thickBot="1">
      <c r="A48" s="864" t="s">
        <v>1220</v>
      </c>
      <c r="B48" s="812" t="s">
        <v>62</v>
      </c>
      <c r="C48" s="661" t="s">
        <v>69</v>
      </c>
      <c r="D48" s="435">
        <f>'Article Inputs'!$D$77/1000</f>
        <v>2.7E-4</v>
      </c>
      <c r="E48" s="435" t="s">
        <v>768</v>
      </c>
      <c r="F48" s="435" t="s">
        <v>768</v>
      </c>
      <c r="G48" s="435">
        <f>'Article Inputs'!$D$77/1000</f>
        <v>2.7E-4</v>
      </c>
      <c r="H48" s="435">
        <f>'Article Inputs'!$D$77/1000</f>
        <v>2.7E-4</v>
      </c>
      <c r="I48" s="435" t="s">
        <v>768</v>
      </c>
      <c r="J48" s="435">
        <f>'Article Inputs'!$D$77/1000</f>
        <v>2.7E-4</v>
      </c>
      <c r="K48" s="435">
        <f>'Article Inputs'!$D$77/1000</f>
        <v>2.7E-4</v>
      </c>
      <c r="L48" s="435">
        <f>'Article Inputs'!$D$77/1000</f>
        <v>2.7E-4</v>
      </c>
      <c r="M48" s="435" t="s">
        <v>768</v>
      </c>
      <c r="N48" s="435" t="s">
        <v>768</v>
      </c>
      <c r="O48" s="435" t="s">
        <v>768</v>
      </c>
      <c r="P48" s="435" t="s">
        <v>768</v>
      </c>
      <c r="Q48" s="435" t="s">
        <v>768</v>
      </c>
      <c r="R48" s="435" t="s">
        <v>768</v>
      </c>
      <c r="AC48" s="824"/>
      <c r="AD48" s="663" t="s">
        <v>1065</v>
      </c>
      <c r="AE48" s="518"/>
      <c r="AF48" s="656"/>
      <c r="AG48" s="829"/>
      <c r="AH48" s="511">
        <f t="shared" ref="AH48:AH49" si="20">L39</f>
        <v>1.9</v>
      </c>
      <c r="AI48" s="829"/>
      <c r="AJ48" s="829"/>
      <c r="AK48" s="829"/>
      <c r="AQ48" s="842"/>
      <c r="AR48" s="665" t="s">
        <v>1065</v>
      </c>
      <c r="AS48" s="665">
        <v>2.5000000000000001E-5</v>
      </c>
      <c r="AT48" s="665">
        <v>3.4999999999999996E-2</v>
      </c>
      <c r="AU48" s="842"/>
      <c r="AV48" s="501">
        <v>100</v>
      </c>
      <c r="AW48" s="842"/>
      <c r="AX48" s="842"/>
      <c r="AY48" s="849"/>
    </row>
    <row r="49" spans="1:76" ht="22" customHeight="1" thickBot="1">
      <c r="A49" s="867"/>
      <c r="B49" s="813"/>
      <c r="C49" s="661" t="s">
        <v>67</v>
      </c>
      <c r="D49" s="435">
        <f>'Article Inputs'!$D$78/1000</f>
        <v>1.0699999999999999E-2</v>
      </c>
      <c r="E49" s="435" t="s">
        <v>768</v>
      </c>
      <c r="F49" s="435" t="s">
        <v>768</v>
      </c>
      <c r="G49" s="435">
        <f>'Article Inputs'!$D$78/1000</f>
        <v>1.0699999999999999E-2</v>
      </c>
      <c r="H49" s="435">
        <f>'Article Inputs'!$D$78/1000</f>
        <v>1.0699999999999999E-2</v>
      </c>
      <c r="I49" s="435" t="s">
        <v>768</v>
      </c>
      <c r="J49" s="435">
        <f>'Article Inputs'!$D$78/1000</f>
        <v>1.0699999999999999E-2</v>
      </c>
      <c r="K49" s="435">
        <f>'Article Inputs'!$D$78/1000</f>
        <v>1.0699999999999999E-2</v>
      </c>
      <c r="L49" s="435">
        <f>'Article Inputs'!$D$78/1000</f>
        <v>1.0699999999999999E-2</v>
      </c>
      <c r="M49" s="435" t="s">
        <v>768</v>
      </c>
      <c r="N49" s="435" t="s">
        <v>768</v>
      </c>
      <c r="O49" s="435" t="s">
        <v>768</v>
      </c>
      <c r="P49" s="435" t="s">
        <v>768</v>
      </c>
      <c r="Q49" s="435" t="s">
        <v>768</v>
      </c>
      <c r="R49" s="435" t="s">
        <v>768</v>
      </c>
      <c r="AC49" s="824"/>
      <c r="AD49" s="663" t="s">
        <v>65</v>
      </c>
      <c r="AE49" s="518"/>
      <c r="AF49" s="656"/>
      <c r="AG49" s="841"/>
      <c r="AH49" s="511">
        <f t="shared" si="20"/>
        <v>1.4</v>
      </c>
      <c r="AI49" s="841"/>
      <c r="AJ49" s="841"/>
      <c r="AK49" s="841"/>
      <c r="AQ49" s="842"/>
      <c r="AR49" s="665" t="s">
        <v>65</v>
      </c>
      <c r="AS49" s="665">
        <v>1.0000000000000001E-5</v>
      </c>
      <c r="AT49" s="665">
        <v>1.4E-2</v>
      </c>
      <c r="AU49" s="842"/>
      <c r="AV49" s="501">
        <v>50</v>
      </c>
      <c r="AW49" s="842"/>
      <c r="AX49" s="842"/>
      <c r="AY49" s="849"/>
    </row>
    <row r="50" spans="1:76" ht="20.5" customHeight="1" thickBot="1">
      <c r="A50" s="868"/>
      <c r="B50" s="814"/>
      <c r="C50" s="661" t="s">
        <v>65</v>
      </c>
      <c r="D50" s="435">
        <f>'Article Inputs'!$D$79/1000</f>
        <v>5.4600000000000003E-2</v>
      </c>
      <c r="E50" s="435" t="s">
        <v>768</v>
      </c>
      <c r="F50" s="435" t="s">
        <v>768</v>
      </c>
      <c r="G50" s="435">
        <f>'Article Inputs'!$D$79/1000</f>
        <v>5.4600000000000003E-2</v>
      </c>
      <c r="H50" s="435">
        <f>'Article Inputs'!$D$79/1000</f>
        <v>5.4600000000000003E-2</v>
      </c>
      <c r="I50" s="435" t="s">
        <v>768</v>
      </c>
      <c r="J50" s="435">
        <f>'Article Inputs'!$D$79/1000</f>
        <v>5.4600000000000003E-2</v>
      </c>
      <c r="K50" s="435">
        <f>'Article Inputs'!$D$79/1000</f>
        <v>5.4600000000000003E-2</v>
      </c>
      <c r="L50" s="435">
        <f>'Article Inputs'!$D$79/1000</f>
        <v>5.4600000000000003E-2</v>
      </c>
      <c r="M50" s="435" t="s">
        <v>768</v>
      </c>
      <c r="N50" s="435" t="s">
        <v>768</v>
      </c>
      <c r="O50" s="435" t="s">
        <v>768</v>
      </c>
      <c r="P50" s="435" t="s">
        <v>768</v>
      </c>
      <c r="Q50" s="435" t="s">
        <v>768</v>
      </c>
      <c r="R50" s="435" t="s">
        <v>768</v>
      </c>
      <c r="AC50" s="824" t="str">
        <f>M6</f>
        <v>Mobile Phone Covers</v>
      </c>
      <c r="AD50" s="663" t="s">
        <v>69</v>
      </c>
      <c r="AE50" s="511" t="str">
        <f>M20</f>
        <v>n/a</v>
      </c>
      <c r="AF50" s="658" t="e">
        <f t="shared" ref="AF50:AF67" si="21">AE50*1.4*1000</f>
        <v>#VALUE!</v>
      </c>
      <c r="AG50" s="828">
        <v>1.4</v>
      </c>
      <c r="AH50" s="511" t="str">
        <f>M38</f>
        <v>n/a</v>
      </c>
      <c r="AI50" s="828" t="str">
        <f>M41</f>
        <v>n/a</v>
      </c>
      <c r="AJ50" s="828" t="str">
        <f>M69</f>
        <v>n/a</v>
      </c>
      <c r="AK50" s="846" t="str">
        <f>M73</f>
        <v>n/a</v>
      </c>
      <c r="AQ50" s="824"/>
      <c r="AR50" s="663"/>
      <c r="AS50" s="656"/>
      <c r="AT50" s="656"/>
      <c r="AU50" s="829"/>
      <c r="AV50" s="519"/>
      <c r="AW50" s="829"/>
      <c r="AX50" s="829"/>
      <c r="AY50" s="847"/>
    </row>
    <row r="51" spans="1:76" s="149" customFormat="1" ht="15" thickBot="1">
      <c r="A51" s="513" t="s">
        <v>1221</v>
      </c>
      <c r="B51" s="508" t="s">
        <v>1197</v>
      </c>
      <c r="C51" s="514"/>
      <c r="D51" s="515" t="s">
        <v>768</v>
      </c>
      <c r="E51" s="515" t="s">
        <v>768</v>
      </c>
      <c r="F51" s="515" t="s">
        <v>768</v>
      </c>
      <c r="G51" s="515" t="s">
        <v>768</v>
      </c>
      <c r="H51" s="515" t="s">
        <v>768</v>
      </c>
      <c r="I51" s="515" t="s">
        <v>768</v>
      </c>
      <c r="J51" s="515" t="s">
        <v>768</v>
      </c>
      <c r="K51" s="515" t="s">
        <v>768</v>
      </c>
      <c r="L51" s="515" t="s">
        <v>768</v>
      </c>
      <c r="M51" s="515" t="s">
        <v>768</v>
      </c>
      <c r="N51" s="515" t="s">
        <v>768</v>
      </c>
      <c r="O51" s="515" t="s">
        <v>768</v>
      </c>
      <c r="P51" s="515" t="s">
        <v>768</v>
      </c>
      <c r="Q51" s="515" t="s">
        <v>768</v>
      </c>
      <c r="R51" s="515">
        <v>0</v>
      </c>
      <c r="T51" s="671"/>
      <c r="U51" s="671"/>
      <c r="V51" s="671"/>
      <c r="W51" s="671"/>
      <c r="X51" s="671"/>
      <c r="Y51" s="671"/>
      <c r="Z51" s="671"/>
      <c r="AA51" s="671"/>
      <c r="AB51" s="671"/>
      <c r="AC51" s="824"/>
      <c r="AD51" s="663" t="s">
        <v>1065</v>
      </c>
      <c r="AE51" s="511" t="str">
        <f>M21</f>
        <v>n/a</v>
      </c>
      <c r="AF51" s="658" t="e">
        <f t="shared" si="21"/>
        <v>#VALUE!</v>
      </c>
      <c r="AG51" s="829"/>
      <c r="AH51" s="511" t="str">
        <f t="shared" ref="AH51:AH52" si="22">M39</f>
        <v>`</v>
      </c>
      <c r="AI51" s="829"/>
      <c r="AJ51" s="829"/>
      <c r="AK51" s="847"/>
      <c r="AL51" s="671"/>
      <c r="AM51" s="671"/>
      <c r="AN51" s="671"/>
      <c r="AO51" s="671"/>
      <c r="AP51" s="671"/>
      <c r="AQ51" s="824"/>
      <c r="AR51" s="663"/>
      <c r="AS51" s="658"/>
      <c r="AT51" s="658"/>
      <c r="AU51" s="829"/>
      <c r="AV51" s="519"/>
      <c r="AW51" s="829"/>
      <c r="AX51" s="829"/>
      <c r="AY51" s="847"/>
      <c r="AZ51" s="671"/>
      <c r="BA51" s="671"/>
      <c r="BB51" s="671"/>
      <c r="BC51" s="671"/>
      <c r="BD51" s="671"/>
      <c r="BE51" s="671"/>
      <c r="BF51" s="671"/>
      <c r="BG51" s="671"/>
      <c r="BH51" s="671"/>
      <c r="BI51" s="671"/>
      <c r="BJ51" s="671"/>
      <c r="BK51" s="671"/>
      <c r="BL51" s="671"/>
      <c r="BM51" s="671"/>
      <c r="BN51" s="671"/>
      <c r="BO51" s="671"/>
      <c r="BP51" s="671"/>
      <c r="BQ51" s="671"/>
      <c r="BR51" s="671"/>
      <c r="BS51" s="671"/>
      <c r="BT51" s="671"/>
      <c r="BU51" s="671"/>
      <c r="BV51" s="671"/>
      <c r="BW51" s="671"/>
      <c r="BX51" s="671"/>
    </row>
    <row r="52" spans="1:76" s="149" customFormat="1" ht="15" customHeight="1" thickBot="1">
      <c r="A52" s="513" t="s">
        <v>1222</v>
      </c>
      <c r="B52" s="508" t="s">
        <v>1223</v>
      </c>
      <c r="C52" s="514"/>
      <c r="D52" s="515" t="s">
        <v>768</v>
      </c>
      <c r="E52" s="515" t="s">
        <v>768</v>
      </c>
      <c r="F52" s="515" t="s">
        <v>768</v>
      </c>
      <c r="G52" s="515" t="s">
        <v>768</v>
      </c>
      <c r="H52" s="515" t="s">
        <v>768</v>
      </c>
      <c r="I52" s="515" t="s">
        <v>768</v>
      </c>
      <c r="J52" s="515" t="s">
        <v>768</v>
      </c>
      <c r="K52" s="515" t="s">
        <v>768</v>
      </c>
      <c r="L52" s="515" t="s">
        <v>768</v>
      </c>
      <c r="M52" s="515" t="s">
        <v>768</v>
      </c>
      <c r="N52" s="515" t="s">
        <v>768</v>
      </c>
      <c r="O52" s="515" t="s">
        <v>768</v>
      </c>
      <c r="P52" s="515" t="s">
        <v>768</v>
      </c>
      <c r="Q52" s="515" t="s">
        <v>768</v>
      </c>
      <c r="R52" s="515">
        <v>0</v>
      </c>
      <c r="T52" s="671"/>
      <c r="U52" s="671"/>
      <c r="V52" s="671"/>
      <c r="W52" s="671"/>
      <c r="X52" s="671"/>
      <c r="Y52" s="671"/>
      <c r="Z52" s="671"/>
      <c r="AA52" s="671"/>
      <c r="AB52" s="671"/>
      <c r="AC52" s="824"/>
      <c r="AD52" s="663" t="s">
        <v>65</v>
      </c>
      <c r="AE52" s="511" t="str">
        <f>M22</f>
        <v>n/a</v>
      </c>
      <c r="AF52" s="658" t="e">
        <f t="shared" si="21"/>
        <v>#VALUE!</v>
      </c>
      <c r="AG52" s="841"/>
      <c r="AH52" s="511" t="str">
        <f t="shared" si="22"/>
        <v>n/a</v>
      </c>
      <c r="AI52" s="841"/>
      <c r="AJ52" s="841"/>
      <c r="AK52" s="848"/>
      <c r="AL52" s="671"/>
      <c r="AM52" s="671"/>
      <c r="AN52" s="671"/>
      <c r="AO52" s="671"/>
      <c r="AP52" s="671"/>
      <c r="AQ52" s="824"/>
      <c r="AR52" s="663"/>
      <c r="AS52" s="658"/>
      <c r="AT52" s="658"/>
      <c r="AU52" s="841"/>
      <c r="AV52" s="519"/>
      <c r="AW52" s="841"/>
      <c r="AX52" s="841"/>
      <c r="AY52" s="848"/>
      <c r="AZ52" s="671"/>
      <c r="BA52" s="671"/>
      <c r="BB52" s="671"/>
      <c r="BC52" s="671"/>
      <c r="BD52" s="671"/>
      <c r="BE52" s="671"/>
      <c r="BF52" s="671"/>
      <c r="BG52" s="671"/>
      <c r="BH52" s="671"/>
      <c r="BI52" s="671"/>
      <c r="BJ52" s="671"/>
      <c r="BK52" s="671"/>
      <c r="BL52" s="671"/>
      <c r="BM52" s="671"/>
      <c r="BN52" s="671"/>
      <c r="BO52" s="671"/>
      <c r="BP52" s="671"/>
      <c r="BQ52" s="671"/>
      <c r="BR52" s="671"/>
      <c r="BS52" s="671"/>
      <c r="BT52" s="671"/>
      <c r="BU52" s="671"/>
      <c r="BV52" s="671"/>
      <c r="BW52" s="671"/>
      <c r="BX52" s="671"/>
    </row>
    <row r="53" spans="1:76" s="149" customFormat="1" ht="26.5" customHeight="1" thickTop="1" thickBot="1">
      <c r="A53" s="513" t="s">
        <v>1224</v>
      </c>
      <c r="B53" s="508" t="s">
        <v>1225</v>
      </c>
      <c r="C53" s="514"/>
      <c r="D53" s="515" t="s">
        <v>768</v>
      </c>
      <c r="E53" s="515" t="s">
        <v>768</v>
      </c>
      <c r="F53" s="515" t="s">
        <v>768</v>
      </c>
      <c r="G53" s="515" t="s">
        <v>768</v>
      </c>
      <c r="H53" s="515" t="s">
        <v>768</v>
      </c>
      <c r="I53" s="515" t="s">
        <v>768</v>
      </c>
      <c r="J53" s="515" t="s">
        <v>768</v>
      </c>
      <c r="K53" s="515" t="s">
        <v>768</v>
      </c>
      <c r="L53" s="515" t="s">
        <v>768</v>
      </c>
      <c r="M53" s="515" t="s">
        <v>768</v>
      </c>
      <c r="N53" s="515" t="s">
        <v>768</v>
      </c>
      <c r="O53" s="515" t="s">
        <v>768</v>
      </c>
      <c r="P53" s="515" t="s">
        <v>768</v>
      </c>
      <c r="Q53" s="515" t="s">
        <v>768</v>
      </c>
      <c r="R53" s="515">
        <v>0</v>
      </c>
      <c r="T53" s="671"/>
      <c r="U53" s="671"/>
      <c r="V53" s="671"/>
      <c r="W53" s="671"/>
      <c r="X53" s="671"/>
      <c r="Y53" s="671"/>
      <c r="Z53" s="671"/>
      <c r="AA53" s="671"/>
      <c r="AB53" s="671"/>
      <c r="AC53" s="824" t="str">
        <f>N6</f>
        <v>Shower Curtains</v>
      </c>
      <c r="AD53" s="663" t="s">
        <v>69</v>
      </c>
      <c r="AE53" s="511">
        <f>N20</f>
        <v>0.48</v>
      </c>
      <c r="AF53" s="658">
        <f t="shared" si="21"/>
        <v>671.99999999999989</v>
      </c>
      <c r="AG53" s="828">
        <v>1.4</v>
      </c>
      <c r="AH53" s="511">
        <f>N38</f>
        <v>6.5</v>
      </c>
      <c r="AI53" s="863">
        <f>N41</f>
        <v>0.01</v>
      </c>
      <c r="AJ53" s="863">
        <f>N69</f>
        <v>15</v>
      </c>
      <c r="AK53" s="863">
        <f>N73</f>
        <v>107.01</v>
      </c>
      <c r="AL53" s="671"/>
      <c r="AM53" s="671"/>
      <c r="AN53" s="671"/>
      <c r="AO53" s="671"/>
      <c r="AP53" s="671"/>
      <c r="AZ53" s="671"/>
      <c r="BA53" s="671"/>
      <c r="BB53" s="671"/>
      <c r="BC53" s="671"/>
      <c r="BD53" s="671"/>
      <c r="BE53" s="671"/>
      <c r="BF53" s="671"/>
      <c r="BG53" s="671"/>
      <c r="BH53" s="671"/>
      <c r="BI53" s="671"/>
      <c r="BJ53" s="671"/>
      <c r="BK53" s="671"/>
      <c r="BL53" s="671"/>
      <c r="BM53" s="671"/>
      <c r="BN53" s="671"/>
      <c r="BO53" s="671"/>
      <c r="BP53" s="671"/>
      <c r="BQ53" s="671"/>
      <c r="BR53" s="671"/>
      <c r="BS53" s="671"/>
      <c r="BT53" s="671"/>
      <c r="BU53" s="671"/>
      <c r="BV53" s="671"/>
      <c r="BW53" s="671"/>
      <c r="BX53" s="671"/>
    </row>
    <row r="54" spans="1:76" s="149" customFormat="1" ht="15" thickBot="1">
      <c r="A54" s="513" t="s">
        <v>1226</v>
      </c>
      <c r="B54" s="508" t="s">
        <v>1165</v>
      </c>
      <c r="C54" s="514"/>
      <c r="D54" s="515" t="s">
        <v>768</v>
      </c>
      <c r="E54" s="515" t="s">
        <v>768</v>
      </c>
      <c r="F54" s="515" t="s">
        <v>768</v>
      </c>
      <c r="G54" s="515" t="s">
        <v>768</v>
      </c>
      <c r="H54" s="515" t="s">
        <v>768</v>
      </c>
      <c r="I54" s="515" t="s">
        <v>768</v>
      </c>
      <c r="J54" s="515" t="s">
        <v>768</v>
      </c>
      <c r="K54" s="515" t="s">
        <v>768</v>
      </c>
      <c r="L54" s="515" t="s">
        <v>768</v>
      </c>
      <c r="M54" s="515" t="s">
        <v>768</v>
      </c>
      <c r="N54" s="515" t="s">
        <v>768</v>
      </c>
      <c r="O54" s="515" t="s">
        <v>768</v>
      </c>
      <c r="P54" s="515" t="s">
        <v>768</v>
      </c>
      <c r="Q54" s="515" t="s">
        <v>768</v>
      </c>
      <c r="R54" s="515">
        <v>0</v>
      </c>
      <c r="T54" s="671"/>
      <c r="U54" s="671"/>
      <c r="V54" s="671"/>
      <c r="W54" s="671"/>
      <c r="X54" s="671"/>
      <c r="Y54" s="671"/>
      <c r="Z54" s="671"/>
      <c r="AA54" s="671"/>
      <c r="AB54" s="671"/>
      <c r="AC54" s="824"/>
      <c r="AD54" s="663" t="s">
        <v>1065</v>
      </c>
      <c r="AE54" s="510">
        <f>N21</f>
        <v>0.1795525</v>
      </c>
      <c r="AF54" s="658">
        <f t="shared" si="21"/>
        <v>251.37349999999998</v>
      </c>
      <c r="AG54" s="829"/>
      <c r="AH54" s="511">
        <f t="shared" ref="AH54:AH55" si="23">N39</f>
        <v>6.5</v>
      </c>
      <c r="AI54" s="829"/>
      <c r="AJ54" s="829"/>
      <c r="AK54" s="829"/>
      <c r="AL54" s="671"/>
      <c r="AM54" s="671"/>
      <c r="AN54" s="671"/>
      <c r="AO54" s="671"/>
      <c r="AP54" s="671"/>
      <c r="AZ54" s="671"/>
      <c r="BA54" s="671"/>
      <c r="BB54" s="671"/>
      <c r="BC54" s="671"/>
      <c r="BD54" s="671"/>
      <c r="BE54" s="671"/>
      <c r="BF54" s="671"/>
      <c r="BG54" s="671"/>
      <c r="BH54" s="671"/>
      <c r="BI54" s="671"/>
      <c r="BJ54" s="671"/>
      <c r="BK54" s="671"/>
      <c r="BL54" s="671"/>
      <c r="BM54" s="671"/>
      <c r="BN54" s="671"/>
      <c r="BO54" s="671"/>
      <c r="BP54" s="671"/>
      <c r="BQ54" s="671"/>
      <c r="BR54" s="671"/>
      <c r="BS54" s="671"/>
      <c r="BT54" s="671"/>
      <c r="BU54" s="671"/>
      <c r="BV54" s="671"/>
      <c r="BW54" s="671"/>
      <c r="BX54" s="671"/>
    </row>
    <row r="55" spans="1:76" s="149" customFormat="1" ht="15" customHeight="1" thickBot="1">
      <c r="A55" s="513" t="s">
        <v>1227</v>
      </c>
      <c r="B55" s="508" t="s">
        <v>1165</v>
      </c>
      <c r="C55" s="514"/>
      <c r="D55" s="515" t="s">
        <v>768</v>
      </c>
      <c r="E55" s="515" t="s">
        <v>768</v>
      </c>
      <c r="F55" s="515" t="s">
        <v>768</v>
      </c>
      <c r="G55" s="515" t="s">
        <v>768</v>
      </c>
      <c r="H55" s="515" t="s">
        <v>768</v>
      </c>
      <c r="I55" s="515" t="s">
        <v>768</v>
      </c>
      <c r="J55" s="515" t="s">
        <v>768</v>
      </c>
      <c r="K55" s="515" t="s">
        <v>768</v>
      </c>
      <c r="L55" s="515" t="s">
        <v>768</v>
      </c>
      <c r="M55" s="515" t="s">
        <v>768</v>
      </c>
      <c r="N55" s="515" t="s">
        <v>768</v>
      </c>
      <c r="O55" s="515" t="s">
        <v>768</v>
      </c>
      <c r="P55" s="515" t="s">
        <v>768</v>
      </c>
      <c r="Q55" s="515" t="s">
        <v>768</v>
      </c>
      <c r="R55" s="515">
        <v>0</v>
      </c>
      <c r="T55" s="671"/>
      <c r="U55" s="671"/>
      <c r="V55" s="671"/>
      <c r="W55" s="671"/>
      <c r="X55" s="671"/>
      <c r="Y55" s="671"/>
      <c r="Z55" s="671"/>
      <c r="AA55" s="671"/>
      <c r="AB55" s="671"/>
      <c r="AC55" s="824"/>
      <c r="AD55" s="663" t="s">
        <v>65</v>
      </c>
      <c r="AE55" s="511">
        <f>N22</f>
        <v>5.0000000000000001E-4</v>
      </c>
      <c r="AF55" s="658">
        <f t="shared" si="21"/>
        <v>0.7</v>
      </c>
      <c r="AG55" s="841"/>
      <c r="AH55" s="511">
        <f t="shared" si="23"/>
        <v>6.5</v>
      </c>
      <c r="AI55" s="841"/>
      <c r="AJ55" s="841"/>
      <c r="AK55" s="841"/>
      <c r="AL55" s="671"/>
      <c r="AM55" s="671"/>
      <c r="AN55" s="671"/>
      <c r="AO55" s="671"/>
      <c r="AP55" s="671"/>
      <c r="AZ55" s="671"/>
      <c r="BA55" s="671"/>
      <c r="BB55" s="671"/>
      <c r="BC55" s="671"/>
      <c r="BD55" s="671"/>
      <c r="BE55" s="671"/>
      <c r="BF55" s="671"/>
      <c r="BG55" s="671"/>
      <c r="BH55" s="671"/>
      <c r="BI55" s="671"/>
      <c r="BJ55" s="671"/>
      <c r="BK55" s="671"/>
      <c r="BL55" s="671"/>
      <c r="BM55" s="671"/>
      <c r="BN55" s="671"/>
      <c r="BO55" s="671"/>
      <c r="BP55" s="671"/>
      <c r="BQ55" s="671"/>
      <c r="BR55" s="671"/>
      <c r="BS55" s="671"/>
      <c r="BT55" s="671"/>
      <c r="BU55" s="671"/>
      <c r="BV55" s="671"/>
      <c r="BW55" s="671"/>
      <c r="BX55" s="671"/>
    </row>
    <row r="56" spans="1:76" s="149" customFormat="1" ht="65.5" customHeight="1" thickBot="1">
      <c r="A56" s="513" t="s">
        <v>1228</v>
      </c>
      <c r="B56" s="508" t="s">
        <v>1229</v>
      </c>
      <c r="C56" s="514"/>
      <c r="D56" s="515" t="s">
        <v>768</v>
      </c>
      <c r="E56" s="515" t="s">
        <v>768</v>
      </c>
      <c r="F56" s="515" t="s">
        <v>768</v>
      </c>
      <c r="G56" s="515" t="s">
        <v>768</v>
      </c>
      <c r="H56" s="515" t="s">
        <v>768</v>
      </c>
      <c r="I56" s="515" t="s">
        <v>768</v>
      </c>
      <c r="J56" s="515" t="s">
        <v>768</v>
      </c>
      <c r="K56" s="515" t="s">
        <v>768</v>
      </c>
      <c r="L56" s="515" t="s">
        <v>768</v>
      </c>
      <c r="M56" s="515" t="s">
        <v>768</v>
      </c>
      <c r="N56" s="515" t="s">
        <v>768</v>
      </c>
      <c r="O56" s="515" t="s">
        <v>768</v>
      </c>
      <c r="P56" s="515" t="s">
        <v>768</v>
      </c>
      <c r="Q56" s="515" t="s">
        <v>768</v>
      </c>
      <c r="R56" s="515">
        <v>0</v>
      </c>
      <c r="T56" s="671"/>
      <c r="U56" s="671"/>
      <c r="V56" s="671"/>
      <c r="W56" s="671"/>
      <c r="X56" s="671"/>
      <c r="Y56" s="671"/>
      <c r="Z56" s="671"/>
      <c r="AA56" s="671"/>
      <c r="AB56" s="671"/>
      <c r="AC56" s="824" t="str">
        <f>O6</f>
        <v>Small Articles with Potential for semi-routine contact</v>
      </c>
      <c r="AD56" s="663" t="s">
        <v>69</v>
      </c>
      <c r="AE56" s="511" t="str">
        <f>O20</f>
        <v>n/a</v>
      </c>
      <c r="AF56" s="658" t="e">
        <f t="shared" si="21"/>
        <v>#VALUE!</v>
      </c>
      <c r="AG56" s="828">
        <v>1.4</v>
      </c>
      <c r="AH56" s="511" t="str">
        <f>O38</f>
        <v>n/a</v>
      </c>
      <c r="AI56" s="828" t="str">
        <f>O41</f>
        <v>n/a</v>
      </c>
      <c r="AJ56" s="828" t="str">
        <f>O69</f>
        <v>n/a</v>
      </c>
      <c r="AK56" s="846" t="str">
        <f>O73</f>
        <v>n/a</v>
      </c>
      <c r="AL56" s="671"/>
      <c r="AM56" s="671"/>
      <c r="AN56" s="671"/>
      <c r="AO56" s="671"/>
      <c r="AP56" s="671"/>
      <c r="AQ56" s="824"/>
      <c r="AR56" s="663"/>
      <c r="AS56" s="658"/>
      <c r="AT56" s="658"/>
      <c r="AU56" s="828"/>
      <c r="AV56" s="519"/>
      <c r="AW56" s="828"/>
      <c r="AX56" s="828"/>
      <c r="AY56" s="846"/>
      <c r="AZ56" s="671"/>
      <c r="BA56" s="671"/>
      <c r="BB56" s="671"/>
      <c r="BC56" s="671"/>
      <c r="BD56" s="671"/>
      <c r="BE56" s="671"/>
      <c r="BF56" s="671"/>
      <c r="BG56" s="671"/>
      <c r="BH56" s="671"/>
      <c r="BI56" s="671"/>
      <c r="BJ56" s="671"/>
      <c r="BK56" s="671"/>
      <c r="BL56" s="671"/>
      <c r="BM56" s="671"/>
      <c r="BN56" s="671"/>
      <c r="BO56" s="671"/>
      <c r="BP56" s="671"/>
      <c r="BQ56" s="671"/>
      <c r="BR56" s="671"/>
      <c r="BS56" s="671"/>
      <c r="BT56" s="671"/>
      <c r="BU56" s="671"/>
      <c r="BV56" s="671"/>
      <c r="BW56" s="671"/>
      <c r="BX56" s="671"/>
    </row>
    <row r="57" spans="1:76" s="149" customFormat="1" ht="15" thickBot="1">
      <c r="A57" s="513" t="s">
        <v>1230</v>
      </c>
      <c r="B57" s="508" t="s">
        <v>1165</v>
      </c>
      <c r="C57" s="514"/>
      <c r="D57" s="515" t="s">
        <v>768</v>
      </c>
      <c r="E57" s="515" t="s">
        <v>768</v>
      </c>
      <c r="F57" s="515" t="s">
        <v>768</v>
      </c>
      <c r="G57" s="515" t="s">
        <v>768</v>
      </c>
      <c r="H57" s="515" t="s">
        <v>768</v>
      </c>
      <c r="I57" s="515" t="s">
        <v>768</v>
      </c>
      <c r="J57" s="515" t="s">
        <v>768</v>
      </c>
      <c r="K57" s="515" t="s">
        <v>768</v>
      </c>
      <c r="L57" s="515" t="s">
        <v>768</v>
      </c>
      <c r="M57" s="515" t="s">
        <v>768</v>
      </c>
      <c r="N57" s="515" t="s">
        <v>768</v>
      </c>
      <c r="O57" s="515" t="s">
        <v>768</v>
      </c>
      <c r="P57" s="515" t="s">
        <v>768</v>
      </c>
      <c r="Q57" s="515" t="s">
        <v>768</v>
      </c>
      <c r="R57" s="515">
        <v>0</v>
      </c>
      <c r="T57" s="671"/>
      <c r="U57" s="671"/>
      <c r="V57" s="671"/>
      <c r="W57" s="671"/>
      <c r="X57" s="671"/>
      <c r="Y57" s="671"/>
      <c r="Z57" s="671"/>
      <c r="AA57" s="671"/>
      <c r="AB57" s="671"/>
      <c r="AC57" s="824"/>
      <c r="AD57" s="663" t="s">
        <v>1065</v>
      </c>
      <c r="AE57" s="511" t="str">
        <f>O21</f>
        <v>n/a</v>
      </c>
      <c r="AF57" s="658" t="e">
        <f t="shared" si="21"/>
        <v>#VALUE!</v>
      </c>
      <c r="AG57" s="829"/>
      <c r="AH57" s="511" t="str">
        <f t="shared" ref="AH57:AH58" si="24">O39</f>
        <v>n/a</v>
      </c>
      <c r="AI57" s="829"/>
      <c r="AJ57" s="829"/>
      <c r="AK57" s="847"/>
      <c r="AL57" s="671"/>
      <c r="AM57" s="671"/>
      <c r="AN57" s="671"/>
      <c r="AO57" s="671"/>
      <c r="AP57" s="671"/>
      <c r="AQ57" s="824"/>
      <c r="AR57" s="663"/>
      <c r="AS57" s="658"/>
      <c r="AT57" s="658"/>
      <c r="AU57" s="829"/>
      <c r="AV57" s="519"/>
      <c r="AW57" s="829"/>
      <c r="AX57" s="829"/>
      <c r="AY57" s="847"/>
      <c r="AZ57" s="671"/>
      <c r="BA57" s="671"/>
      <c r="BB57" s="671"/>
      <c r="BC57" s="671"/>
      <c r="BD57" s="671"/>
      <c r="BE57" s="671"/>
      <c r="BF57" s="671"/>
      <c r="BG57" s="671"/>
      <c r="BH57" s="671"/>
      <c r="BI57" s="671"/>
      <c r="BJ57" s="671"/>
      <c r="BK57" s="671"/>
      <c r="BL57" s="671"/>
      <c r="BM57" s="671"/>
      <c r="BN57" s="671"/>
      <c r="BO57" s="671"/>
      <c r="BP57" s="671"/>
      <c r="BQ57" s="671"/>
      <c r="BR57" s="671"/>
      <c r="BS57" s="671"/>
      <c r="BT57" s="671"/>
      <c r="BU57" s="671"/>
      <c r="BV57" s="671"/>
      <c r="BW57" s="671"/>
      <c r="BX57" s="671"/>
    </row>
    <row r="58" spans="1:76" s="149" customFormat="1" ht="15" customHeight="1" thickBot="1">
      <c r="A58" s="513" t="s">
        <v>1231</v>
      </c>
      <c r="B58" s="508" t="s">
        <v>1165</v>
      </c>
      <c r="C58" s="514"/>
      <c r="D58" s="515" t="s">
        <v>768</v>
      </c>
      <c r="E58" s="515" t="s">
        <v>768</v>
      </c>
      <c r="F58" s="515" t="s">
        <v>768</v>
      </c>
      <c r="G58" s="515" t="s">
        <v>768</v>
      </c>
      <c r="H58" s="515" t="s">
        <v>768</v>
      </c>
      <c r="I58" s="515" t="s">
        <v>768</v>
      </c>
      <c r="J58" s="515" t="s">
        <v>768</v>
      </c>
      <c r="K58" s="515" t="s">
        <v>768</v>
      </c>
      <c r="L58" s="515" t="s">
        <v>768</v>
      </c>
      <c r="M58" s="515" t="s">
        <v>768</v>
      </c>
      <c r="N58" s="515" t="s">
        <v>768</v>
      </c>
      <c r="O58" s="515" t="s">
        <v>768</v>
      </c>
      <c r="P58" s="515" t="s">
        <v>768</v>
      </c>
      <c r="Q58" s="515" t="s">
        <v>768</v>
      </c>
      <c r="R58" s="515">
        <v>0</v>
      </c>
      <c r="T58" s="671"/>
      <c r="U58" s="671"/>
      <c r="V58" s="671"/>
      <c r="W58" s="671"/>
      <c r="X58" s="671"/>
      <c r="Y58" s="671"/>
      <c r="Z58" s="671"/>
      <c r="AA58" s="671"/>
      <c r="AB58" s="671"/>
      <c r="AC58" s="824"/>
      <c r="AD58" s="663" t="s">
        <v>65</v>
      </c>
      <c r="AE58" s="511" t="str">
        <f>O22</f>
        <v>n/a</v>
      </c>
      <c r="AF58" s="658" t="e">
        <f t="shared" si="21"/>
        <v>#VALUE!</v>
      </c>
      <c r="AG58" s="841"/>
      <c r="AH58" s="511" t="str">
        <f t="shared" si="24"/>
        <v>n/a</v>
      </c>
      <c r="AI58" s="841"/>
      <c r="AJ58" s="841"/>
      <c r="AK58" s="848"/>
      <c r="AL58" s="671"/>
      <c r="AM58" s="671"/>
      <c r="AN58" s="671"/>
      <c r="AO58" s="671"/>
      <c r="AP58" s="671"/>
      <c r="AQ58" s="824"/>
      <c r="AR58" s="663"/>
      <c r="AS58" s="658"/>
      <c r="AT58" s="658"/>
      <c r="AU58" s="841"/>
      <c r="AV58" s="519"/>
      <c r="AW58" s="841"/>
      <c r="AX58" s="841"/>
      <c r="AY58" s="848"/>
      <c r="AZ58" s="671"/>
      <c r="BA58" s="671"/>
      <c r="BB58" s="671"/>
      <c r="BC58" s="671"/>
      <c r="BD58" s="671"/>
      <c r="BE58" s="671"/>
      <c r="BF58" s="671"/>
      <c r="BG58" s="671"/>
      <c r="BH58" s="671"/>
      <c r="BI58" s="671"/>
      <c r="BJ58" s="671"/>
      <c r="BK58" s="671"/>
      <c r="BL58" s="671"/>
      <c r="BM58" s="671"/>
      <c r="BN58" s="671"/>
      <c r="BO58" s="671"/>
      <c r="BP58" s="671"/>
      <c r="BQ58" s="671"/>
      <c r="BR58" s="671"/>
      <c r="BS58" s="671"/>
      <c r="BT58" s="671"/>
      <c r="BU58" s="671"/>
      <c r="BV58" s="671"/>
      <c r="BW58" s="671"/>
      <c r="BX58" s="671"/>
    </row>
    <row r="59" spans="1:76" ht="15" thickBot="1">
      <c r="A59" s="492" t="s">
        <v>1232</v>
      </c>
      <c r="B59" s="239" t="s">
        <v>1165</v>
      </c>
      <c r="C59" s="639"/>
      <c r="D59" s="632" t="s">
        <v>768</v>
      </c>
      <c r="E59" s="632" t="s">
        <v>768</v>
      </c>
      <c r="F59" s="632" t="s">
        <v>768</v>
      </c>
      <c r="G59" s="632" t="s">
        <v>768</v>
      </c>
      <c r="H59" s="632" t="s">
        <v>768</v>
      </c>
      <c r="I59" s="632" t="s">
        <v>768</v>
      </c>
      <c r="J59" s="632" t="s">
        <v>768</v>
      </c>
      <c r="K59" s="632" t="s">
        <v>768</v>
      </c>
      <c r="L59" s="632" t="s">
        <v>768</v>
      </c>
      <c r="M59" s="632" t="s">
        <v>768</v>
      </c>
      <c r="N59" s="632" t="s">
        <v>768</v>
      </c>
      <c r="O59" s="632" t="s">
        <v>768</v>
      </c>
      <c r="P59" s="632" t="s">
        <v>768</v>
      </c>
      <c r="Q59" s="632" t="s">
        <v>768</v>
      </c>
      <c r="R59" s="632">
        <v>0</v>
      </c>
      <c r="AC59" s="824" t="str">
        <f>P6</f>
        <v>Vinyl Flooring</v>
      </c>
      <c r="AD59" s="663" t="s">
        <v>69</v>
      </c>
      <c r="AE59" s="520">
        <f>P20</f>
        <v>2.8136999999999999E-2</v>
      </c>
      <c r="AF59" s="658">
        <f t="shared" si="21"/>
        <v>39.391799999999996</v>
      </c>
      <c r="AG59" s="828">
        <v>1.4</v>
      </c>
      <c r="AH59" s="511">
        <f>P38</f>
        <v>202</v>
      </c>
      <c r="AI59" s="828">
        <f>P41</f>
        <v>0.01</v>
      </c>
      <c r="AJ59" s="828">
        <f>P69</f>
        <v>492</v>
      </c>
      <c r="AK59" s="846">
        <f>P73</f>
        <v>1.0000000000000001E-30</v>
      </c>
    </row>
    <row r="60" spans="1:76" ht="15" thickBot="1">
      <c r="A60" s="492" t="s">
        <v>1233</v>
      </c>
      <c r="B60" s="239" t="s">
        <v>1165</v>
      </c>
      <c r="C60" s="639"/>
      <c r="D60" s="632" t="s">
        <v>768</v>
      </c>
      <c r="E60" s="632" t="s">
        <v>768</v>
      </c>
      <c r="F60" s="632" t="s">
        <v>768</v>
      </c>
      <c r="G60" s="632" t="s">
        <v>768</v>
      </c>
      <c r="H60" s="632" t="s">
        <v>768</v>
      </c>
      <c r="I60" s="632" t="s">
        <v>768</v>
      </c>
      <c r="J60" s="632" t="s">
        <v>768</v>
      </c>
      <c r="K60" s="632" t="s">
        <v>768</v>
      </c>
      <c r="L60" s="632" t="s">
        <v>768</v>
      </c>
      <c r="M60" s="632" t="s">
        <v>768</v>
      </c>
      <c r="N60" s="632" t="s">
        <v>768</v>
      </c>
      <c r="O60" s="632" t="s">
        <v>768</v>
      </c>
      <c r="P60" s="632" t="s">
        <v>768</v>
      </c>
      <c r="Q60" s="632" t="s">
        <v>768</v>
      </c>
      <c r="R60" s="632">
        <v>0</v>
      </c>
      <c r="AC60" s="824"/>
      <c r="AD60" s="663" t="s">
        <v>1065</v>
      </c>
      <c r="AE60" s="520">
        <f>P21</f>
        <v>1.4161874999999999E-2</v>
      </c>
      <c r="AF60" s="658">
        <f t="shared" si="21"/>
        <v>19.826624999999996</v>
      </c>
      <c r="AG60" s="829"/>
      <c r="AH60" s="511">
        <f t="shared" ref="AH60:AH61" si="25">P39</f>
        <v>101</v>
      </c>
      <c r="AI60" s="829"/>
      <c r="AJ60" s="829"/>
      <c r="AK60" s="847"/>
    </row>
    <row r="61" spans="1:76" ht="15" thickBot="1">
      <c r="A61" s="492" t="s">
        <v>1234</v>
      </c>
      <c r="B61" s="239" t="s">
        <v>1165</v>
      </c>
      <c r="C61" s="639"/>
      <c r="D61" s="632" t="s">
        <v>768</v>
      </c>
      <c r="E61" s="632" t="s">
        <v>768</v>
      </c>
      <c r="F61" s="632" t="s">
        <v>768</v>
      </c>
      <c r="G61" s="632" t="s">
        <v>768</v>
      </c>
      <c r="H61" s="632" t="s">
        <v>768</v>
      </c>
      <c r="I61" s="632" t="s">
        <v>768</v>
      </c>
      <c r="J61" s="632" t="s">
        <v>768</v>
      </c>
      <c r="K61" s="632" t="s">
        <v>768</v>
      </c>
      <c r="L61" s="632" t="s">
        <v>768</v>
      </c>
      <c r="M61" s="632" t="s">
        <v>768</v>
      </c>
      <c r="N61" s="632" t="s">
        <v>768</v>
      </c>
      <c r="O61" s="632" t="s">
        <v>768</v>
      </c>
      <c r="P61" s="632" t="s">
        <v>768</v>
      </c>
      <c r="Q61" s="632" t="s">
        <v>768</v>
      </c>
      <c r="R61" s="632">
        <v>0</v>
      </c>
      <c r="AC61" s="824"/>
      <c r="AD61" s="663" t="s">
        <v>65</v>
      </c>
      <c r="AE61" s="516">
        <f>P22</f>
        <v>4.85E-5</v>
      </c>
      <c r="AF61" s="658">
        <f t="shared" si="21"/>
        <v>6.7900000000000002E-2</v>
      </c>
      <c r="AG61" s="841"/>
      <c r="AH61" s="511">
        <f t="shared" si="25"/>
        <v>50.5</v>
      </c>
      <c r="AI61" s="841"/>
      <c r="AJ61" s="841"/>
      <c r="AK61" s="848"/>
    </row>
    <row r="62" spans="1:76" s="149" customFormat="1" ht="26.5" customHeight="1" thickBot="1">
      <c r="A62" s="513" t="s">
        <v>1235</v>
      </c>
      <c r="B62" s="508" t="s">
        <v>1236</v>
      </c>
      <c r="C62" s="514"/>
      <c r="D62" s="515" t="s">
        <v>768</v>
      </c>
      <c r="E62" s="515" t="s">
        <v>768</v>
      </c>
      <c r="F62" s="515" t="s">
        <v>768</v>
      </c>
      <c r="G62" s="515" t="s">
        <v>768</v>
      </c>
      <c r="H62" s="515" t="s">
        <v>768</v>
      </c>
      <c r="I62" s="515" t="s">
        <v>768</v>
      </c>
      <c r="J62" s="515" t="s">
        <v>768</v>
      </c>
      <c r="K62" s="515" t="s">
        <v>768</v>
      </c>
      <c r="L62" s="515" t="s">
        <v>768</v>
      </c>
      <c r="M62" s="515" t="s">
        <v>768</v>
      </c>
      <c r="N62" s="515" t="s">
        <v>768</v>
      </c>
      <c r="O62" s="515" t="s">
        <v>768</v>
      </c>
      <c r="P62" s="515" t="s">
        <v>768</v>
      </c>
      <c r="Q62" s="515" t="s">
        <v>768</v>
      </c>
      <c r="R62" s="515">
        <v>0</v>
      </c>
      <c r="T62" s="671"/>
      <c r="U62" s="671"/>
      <c r="V62" s="671"/>
      <c r="W62" s="671"/>
      <c r="X62" s="671"/>
      <c r="Y62" s="671"/>
      <c r="Z62" s="671"/>
      <c r="AA62" s="671"/>
      <c r="AB62" s="671"/>
      <c r="AC62" s="824" t="str">
        <f>Q6</f>
        <v>Wallpaper (In Place)</v>
      </c>
      <c r="AD62" s="663" t="s">
        <v>69</v>
      </c>
      <c r="AE62" s="511">
        <f>Q20</f>
        <v>4.0000000000000003E-5</v>
      </c>
      <c r="AF62" s="658">
        <f t="shared" si="21"/>
        <v>5.6000000000000001E-2</v>
      </c>
      <c r="AG62" s="828">
        <v>1.4</v>
      </c>
      <c r="AH62" s="511">
        <f>Q38</f>
        <v>200</v>
      </c>
      <c r="AI62" s="828">
        <f>Q41</f>
        <v>0.01</v>
      </c>
      <c r="AJ62" s="828">
        <f>Q69</f>
        <v>492</v>
      </c>
      <c r="AK62" s="828">
        <f>Q73</f>
        <v>1.0000000000000001E-30</v>
      </c>
      <c r="AL62" s="671"/>
      <c r="AM62" s="671"/>
      <c r="AN62" s="671"/>
      <c r="AO62" s="671"/>
      <c r="AP62" s="671"/>
      <c r="AZ62" s="671"/>
      <c r="BA62" s="671"/>
      <c r="BB62" s="671"/>
      <c r="BC62" s="671"/>
      <c r="BD62" s="671"/>
      <c r="BE62" s="671"/>
      <c r="BF62" s="671"/>
      <c r="BG62" s="671"/>
      <c r="BH62" s="671"/>
      <c r="BI62" s="671"/>
      <c r="BJ62" s="671"/>
      <c r="BK62" s="671"/>
      <c r="BL62" s="671"/>
      <c r="BM62" s="671"/>
      <c r="BN62" s="671"/>
      <c r="BO62" s="671"/>
      <c r="BP62" s="671"/>
      <c r="BQ62" s="671"/>
      <c r="BR62" s="671"/>
      <c r="BS62" s="671"/>
      <c r="BT62" s="671"/>
      <c r="BU62" s="671"/>
      <c r="BV62" s="671"/>
      <c r="BW62" s="671"/>
      <c r="BX62" s="671"/>
    </row>
    <row r="63" spans="1:76" s="149" customFormat="1" ht="15" thickBot="1">
      <c r="A63" s="513" t="s">
        <v>1237</v>
      </c>
      <c r="B63" s="508" t="s">
        <v>1238</v>
      </c>
      <c r="C63" s="514"/>
      <c r="D63" s="515" t="s">
        <v>768</v>
      </c>
      <c r="E63" s="515" t="s">
        <v>768</v>
      </c>
      <c r="F63" s="515" t="s">
        <v>768</v>
      </c>
      <c r="G63" s="515" t="s">
        <v>768</v>
      </c>
      <c r="H63" s="515" t="s">
        <v>768</v>
      </c>
      <c r="I63" s="515" t="s">
        <v>768</v>
      </c>
      <c r="J63" s="515" t="s">
        <v>768</v>
      </c>
      <c r="K63" s="515" t="s">
        <v>768</v>
      </c>
      <c r="L63" s="515" t="s">
        <v>768</v>
      </c>
      <c r="M63" s="515" t="s">
        <v>768</v>
      </c>
      <c r="N63" s="515" t="s">
        <v>768</v>
      </c>
      <c r="O63" s="515" t="s">
        <v>768</v>
      </c>
      <c r="P63" s="515" t="s">
        <v>768</v>
      </c>
      <c r="Q63" s="515" t="s">
        <v>768</v>
      </c>
      <c r="R63" s="515">
        <v>0</v>
      </c>
      <c r="T63" s="671"/>
      <c r="U63" s="671"/>
      <c r="V63" s="671"/>
      <c r="W63" s="671"/>
      <c r="X63" s="671"/>
      <c r="Y63" s="671"/>
      <c r="Z63" s="671"/>
      <c r="AA63" s="671"/>
      <c r="AB63" s="671"/>
      <c r="AC63" s="824"/>
      <c r="AD63" s="663" t="s">
        <v>1065</v>
      </c>
      <c r="AE63" s="511">
        <f>Q21</f>
        <v>2.5000000000000001E-5</v>
      </c>
      <c r="AF63" s="658">
        <f t="shared" si="21"/>
        <v>3.4999999999999996E-2</v>
      </c>
      <c r="AG63" s="829"/>
      <c r="AH63" s="511">
        <f t="shared" ref="AH63:AH64" si="26">Q39</f>
        <v>100</v>
      </c>
      <c r="AI63" s="829"/>
      <c r="AJ63" s="829"/>
      <c r="AK63" s="829"/>
      <c r="AL63" s="671"/>
      <c r="AM63" s="671"/>
      <c r="AN63" s="671"/>
      <c r="AO63" s="671"/>
      <c r="AP63" s="671"/>
      <c r="AZ63" s="671"/>
      <c r="BA63" s="671"/>
      <c r="BB63" s="671"/>
      <c r="BC63" s="671"/>
      <c r="BD63" s="671"/>
      <c r="BE63" s="671"/>
      <c r="BF63" s="671"/>
      <c r="BG63" s="671"/>
      <c r="BH63" s="671"/>
      <c r="BI63" s="671"/>
      <c r="BJ63" s="671"/>
      <c r="BK63" s="671"/>
      <c r="BL63" s="671"/>
      <c r="BM63" s="671"/>
      <c r="BN63" s="671"/>
      <c r="BO63" s="671"/>
      <c r="BP63" s="671"/>
      <c r="BQ63" s="671"/>
      <c r="BR63" s="671"/>
      <c r="BS63" s="671"/>
      <c r="BT63" s="671"/>
      <c r="BU63" s="671"/>
      <c r="BV63" s="671"/>
      <c r="BW63" s="671"/>
      <c r="BX63" s="671"/>
    </row>
    <row r="64" spans="1:76" s="149" customFormat="1" ht="15" customHeight="1" thickBot="1">
      <c r="A64" s="513" t="s">
        <v>1239</v>
      </c>
      <c r="B64" s="508" t="s">
        <v>1148</v>
      </c>
      <c r="C64" s="514"/>
      <c r="D64" s="515" t="s">
        <v>768</v>
      </c>
      <c r="E64" s="515" t="s">
        <v>768</v>
      </c>
      <c r="F64" s="515" t="s">
        <v>768</v>
      </c>
      <c r="G64" s="515" t="s">
        <v>768</v>
      </c>
      <c r="H64" s="515" t="s">
        <v>768</v>
      </c>
      <c r="I64" s="515" t="s">
        <v>768</v>
      </c>
      <c r="J64" s="515" t="s">
        <v>768</v>
      </c>
      <c r="K64" s="515" t="s">
        <v>768</v>
      </c>
      <c r="L64" s="515" t="s">
        <v>768</v>
      </c>
      <c r="M64" s="515" t="s">
        <v>768</v>
      </c>
      <c r="N64" s="515" t="s">
        <v>768</v>
      </c>
      <c r="O64" s="515" t="s">
        <v>768</v>
      </c>
      <c r="P64" s="515" t="s">
        <v>768</v>
      </c>
      <c r="Q64" s="515" t="s">
        <v>768</v>
      </c>
      <c r="R64" s="515">
        <v>0</v>
      </c>
      <c r="T64" s="671"/>
      <c r="U64" s="671"/>
      <c r="V64" s="671"/>
      <c r="W64" s="671"/>
      <c r="X64" s="671"/>
      <c r="Y64" s="671"/>
      <c r="Z64" s="671"/>
      <c r="AA64" s="671"/>
      <c r="AB64" s="671"/>
      <c r="AC64" s="824"/>
      <c r="AD64" s="663" t="s">
        <v>65</v>
      </c>
      <c r="AE64" s="511">
        <f>Q22</f>
        <v>1.0000000000000001E-5</v>
      </c>
      <c r="AF64" s="658">
        <f t="shared" si="21"/>
        <v>1.4E-2</v>
      </c>
      <c r="AG64" s="841"/>
      <c r="AH64" s="511">
        <f t="shared" si="26"/>
        <v>50</v>
      </c>
      <c r="AI64" s="841"/>
      <c r="AJ64" s="841"/>
      <c r="AK64" s="841"/>
      <c r="AL64" s="671"/>
      <c r="AM64" s="671"/>
      <c r="AN64" s="671"/>
      <c r="AO64" s="671"/>
      <c r="AP64" s="671"/>
      <c r="AZ64" s="671"/>
      <c r="BA64" s="671"/>
      <c r="BB64" s="671"/>
      <c r="BC64" s="671"/>
      <c r="BD64" s="671"/>
      <c r="BE64" s="671"/>
      <c r="BF64" s="671"/>
      <c r="BG64" s="671"/>
      <c r="BH64" s="671"/>
      <c r="BI64" s="671"/>
      <c r="BJ64" s="671"/>
      <c r="BK64" s="671"/>
      <c r="BL64" s="671"/>
      <c r="BM64" s="671"/>
      <c r="BN64" s="671"/>
      <c r="BO64" s="671"/>
      <c r="BP64" s="671"/>
      <c r="BQ64" s="671"/>
      <c r="BR64" s="671"/>
      <c r="BS64" s="671"/>
      <c r="BT64" s="671"/>
      <c r="BU64" s="671"/>
      <c r="BV64" s="671"/>
      <c r="BW64" s="671"/>
      <c r="BX64" s="671"/>
    </row>
    <row r="65" spans="1:76" s="149" customFormat="1" ht="26.5" customHeight="1" thickBot="1">
      <c r="A65" s="513" t="s">
        <v>1240</v>
      </c>
      <c r="B65" s="508" t="s">
        <v>1241</v>
      </c>
      <c r="C65" s="514"/>
      <c r="D65" s="515" t="s">
        <v>768</v>
      </c>
      <c r="E65" s="515" t="s">
        <v>768</v>
      </c>
      <c r="F65" s="515" t="s">
        <v>768</v>
      </c>
      <c r="G65" s="515" t="s">
        <v>768</v>
      </c>
      <c r="H65" s="515" t="s">
        <v>768</v>
      </c>
      <c r="I65" s="515" t="s">
        <v>768</v>
      </c>
      <c r="J65" s="515" t="s">
        <v>768</v>
      </c>
      <c r="K65" s="515" t="s">
        <v>768</v>
      </c>
      <c r="L65" s="515" t="s">
        <v>768</v>
      </c>
      <c r="M65" s="515" t="s">
        <v>768</v>
      </c>
      <c r="N65" s="515" t="s">
        <v>768</v>
      </c>
      <c r="O65" s="515" t="s">
        <v>768</v>
      </c>
      <c r="P65" s="515" t="s">
        <v>768</v>
      </c>
      <c r="Q65" s="515" t="s">
        <v>768</v>
      </c>
      <c r="R65" s="515">
        <v>0</v>
      </c>
      <c r="T65" s="671"/>
      <c r="U65" s="671"/>
      <c r="V65" s="671"/>
      <c r="W65" s="671"/>
      <c r="X65" s="671"/>
      <c r="Y65" s="671"/>
      <c r="Z65" s="671"/>
      <c r="AA65" s="671"/>
      <c r="AB65" s="671"/>
      <c r="AC65" s="824" t="str">
        <f>R6</f>
        <v>Wallpaper (Installation)</v>
      </c>
      <c r="AD65" s="663" t="s">
        <v>69</v>
      </c>
      <c r="AE65" s="511" t="str">
        <f>R20</f>
        <v>n/a</v>
      </c>
      <c r="AF65" s="658" t="e">
        <f t="shared" si="21"/>
        <v>#VALUE!</v>
      </c>
      <c r="AG65" s="828">
        <v>1.4</v>
      </c>
      <c r="AH65" s="511" t="str">
        <f>R38</f>
        <v>n/a</v>
      </c>
      <c r="AI65" s="828" t="str">
        <f>R41</f>
        <v>n/a</v>
      </c>
      <c r="AJ65" s="828" t="str">
        <f>R69</f>
        <v>n/a</v>
      </c>
      <c r="AK65" s="846" t="str">
        <f>R73</f>
        <v>n/a</v>
      </c>
      <c r="AL65" s="671"/>
      <c r="AM65" s="671"/>
      <c r="AN65" s="671"/>
      <c r="AO65" s="671"/>
      <c r="AP65" s="671"/>
      <c r="AQ65" s="840"/>
      <c r="AR65" s="663"/>
      <c r="AS65" s="658"/>
      <c r="AT65" s="658"/>
      <c r="AU65" s="828"/>
      <c r="AV65" s="519"/>
      <c r="AW65" s="828"/>
      <c r="AX65" s="828"/>
      <c r="AY65" s="846"/>
      <c r="AZ65" s="671"/>
      <c r="BA65" s="671"/>
      <c r="BB65" s="671"/>
      <c r="BC65" s="671"/>
      <c r="BD65" s="671"/>
      <c r="BE65" s="671"/>
      <c r="BF65" s="671"/>
      <c r="BG65" s="671"/>
      <c r="BH65" s="671"/>
      <c r="BI65" s="671"/>
      <c r="BJ65" s="671"/>
      <c r="BK65" s="671"/>
      <c r="BL65" s="671"/>
      <c r="BM65" s="671"/>
      <c r="BN65" s="671"/>
      <c r="BO65" s="671"/>
      <c r="BP65" s="671"/>
      <c r="BQ65" s="671"/>
      <c r="BR65" s="671"/>
      <c r="BS65" s="671"/>
      <c r="BT65" s="671"/>
      <c r="BU65" s="671"/>
      <c r="BV65" s="671"/>
      <c r="BW65" s="671"/>
      <c r="BX65" s="671"/>
    </row>
    <row r="66" spans="1:76" ht="15" thickBot="1">
      <c r="A66" s="481" t="s">
        <v>1242</v>
      </c>
      <c r="B66" s="433"/>
      <c r="C66" s="482"/>
      <c r="D66" s="434"/>
      <c r="E66" s="434"/>
      <c r="F66" s="434"/>
      <c r="G66" s="434"/>
      <c r="H66" s="434"/>
      <c r="I66" s="434"/>
      <c r="J66" s="433"/>
      <c r="K66" s="434"/>
      <c r="L66" s="434"/>
      <c r="M66" s="433"/>
      <c r="N66" s="433"/>
      <c r="O66" s="433"/>
      <c r="P66" s="434"/>
      <c r="Q66" s="434"/>
      <c r="R66" s="433"/>
      <c r="AC66" s="824"/>
      <c r="AD66" s="663" t="s">
        <v>1065</v>
      </c>
      <c r="AE66" s="511" t="str">
        <f>R21</f>
        <v>n/a</v>
      </c>
      <c r="AF66" s="658" t="e">
        <f t="shared" si="21"/>
        <v>#VALUE!</v>
      </c>
      <c r="AG66" s="829"/>
      <c r="AH66" s="511">
        <f t="shared" ref="AH66:AH67" si="27">R39</f>
        <v>0</v>
      </c>
      <c r="AI66" s="829"/>
      <c r="AJ66" s="829"/>
      <c r="AK66" s="847"/>
      <c r="AQ66" s="840"/>
      <c r="AR66" s="663"/>
      <c r="AS66" s="658"/>
      <c r="AT66" s="658"/>
      <c r="AU66" s="829"/>
      <c r="AV66" s="519"/>
      <c r="AW66" s="829"/>
      <c r="AX66" s="829"/>
      <c r="AY66" s="847"/>
    </row>
    <row r="67" spans="1:76" ht="15" customHeight="1" thickBot="1">
      <c r="A67" s="498" t="s">
        <v>1243</v>
      </c>
      <c r="B67" s="445"/>
      <c r="C67" s="499"/>
      <c r="D67" s="499"/>
      <c r="E67" s="499"/>
      <c r="F67" s="499"/>
      <c r="G67" s="499"/>
      <c r="H67" s="499"/>
      <c r="I67" s="499"/>
      <c r="J67" s="499"/>
      <c r="K67" s="499"/>
      <c r="L67" s="445"/>
      <c r="M67" s="499"/>
      <c r="N67" s="499"/>
      <c r="O67" s="499"/>
      <c r="P67" s="499"/>
      <c r="Q67" s="499"/>
      <c r="R67" s="499"/>
      <c r="AC67" s="824"/>
      <c r="AD67" s="663" t="s">
        <v>65</v>
      </c>
      <c r="AE67" s="511" t="str">
        <f>R22</f>
        <v>n/a</v>
      </c>
      <c r="AF67" s="658" t="e">
        <f t="shared" si="21"/>
        <v>#VALUE!</v>
      </c>
      <c r="AG67" s="841"/>
      <c r="AH67" s="511">
        <f t="shared" si="27"/>
        <v>0</v>
      </c>
      <c r="AI67" s="841"/>
      <c r="AJ67" s="841"/>
      <c r="AK67" s="848"/>
      <c r="AQ67" s="840"/>
      <c r="AR67" s="663"/>
      <c r="AS67" s="658"/>
      <c r="AT67" s="658"/>
      <c r="AU67" s="841"/>
      <c r="AV67" s="519"/>
      <c r="AW67" s="841"/>
      <c r="AX67" s="841"/>
      <c r="AY67" s="848"/>
    </row>
    <row r="68" spans="1:76">
      <c r="A68" s="492" t="s">
        <v>1244</v>
      </c>
      <c r="B68" s="239" t="s">
        <v>1245</v>
      </c>
      <c r="C68" s="639"/>
      <c r="D68" s="632" t="s">
        <v>768</v>
      </c>
      <c r="E68" s="632">
        <v>492</v>
      </c>
      <c r="F68" s="632">
        <v>2.4</v>
      </c>
      <c r="G68" s="632">
        <v>492</v>
      </c>
      <c r="H68" s="632">
        <v>492</v>
      </c>
      <c r="I68" s="439" t="s">
        <v>768</v>
      </c>
      <c r="J68" s="632" t="s">
        <v>768</v>
      </c>
      <c r="K68" s="632">
        <v>492</v>
      </c>
      <c r="L68" s="632">
        <v>492</v>
      </c>
      <c r="M68" s="439" t="s">
        <v>768</v>
      </c>
      <c r="N68" s="632">
        <v>492</v>
      </c>
      <c r="O68" s="439" t="s">
        <v>768</v>
      </c>
      <c r="P68" s="632">
        <v>492</v>
      </c>
      <c r="Q68" s="632">
        <v>492</v>
      </c>
      <c r="R68" s="439" t="s">
        <v>768</v>
      </c>
    </row>
    <row r="69" spans="1:76">
      <c r="A69" s="492" t="s">
        <v>1246</v>
      </c>
      <c r="B69" s="239" t="s">
        <v>1245</v>
      </c>
      <c r="C69" s="639"/>
      <c r="D69" s="632" t="s">
        <v>768</v>
      </c>
      <c r="E69" s="632">
        <v>492</v>
      </c>
      <c r="F69" s="632">
        <v>2.4</v>
      </c>
      <c r="G69" s="632">
        <v>36</v>
      </c>
      <c r="H69" s="632">
        <v>36</v>
      </c>
      <c r="I69" s="439" t="s">
        <v>768</v>
      </c>
      <c r="J69" s="632" t="s">
        <v>768</v>
      </c>
      <c r="K69" s="632">
        <v>50</v>
      </c>
      <c r="L69" s="632">
        <v>492</v>
      </c>
      <c r="M69" s="439" t="s">
        <v>768</v>
      </c>
      <c r="N69" s="632">
        <v>15</v>
      </c>
      <c r="O69" s="439" t="s">
        <v>768</v>
      </c>
      <c r="P69" s="632">
        <v>492</v>
      </c>
      <c r="Q69" s="632">
        <v>492</v>
      </c>
      <c r="R69" s="439" t="s">
        <v>768</v>
      </c>
    </row>
    <row r="70" spans="1:76">
      <c r="A70" s="492" t="s">
        <v>1247</v>
      </c>
      <c r="B70" s="239" t="s">
        <v>1195</v>
      </c>
      <c r="C70" s="639"/>
      <c r="D70" s="632" t="s">
        <v>768</v>
      </c>
      <c r="E70" s="632" t="s">
        <v>768</v>
      </c>
      <c r="F70" s="632" t="s">
        <v>768</v>
      </c>
      <c r="G70" s="632" t="s">
        <v>768</v>
      </c>
      <c r="H70" s="632" t="s">
        <v>768</v>
      </c>
      <c r="I70" s="439" t="s">
        <v>768</v>
      </c>
      <c r="J70" s="632" t="s">
        <v>768</v>
      </c>
      <c r="K70" s="632" t="s">
        <v>768</v>
      </c>
      <c r="L70" s="632" t="s">
        <v>768</v>
      </c>
      <c r="M70" s="439" t="s">
        <v>768</v>
      </c>
      <c r="N70" s="632" t="s">
        <v>768</v>
      </c>
      <c r="O70" s="439" t="s">
        <v>768</v>
      </c>
      <c r="P70" s="632" t="s">
        <v>768</v>
      </c>
      <c r="Q70" s="632" t="s">
        <v>768</v>
      </c>
      <c r="R70" s="439" t="s">
        <v>768</v>
      </c>
    </row>
    <row r="71" spans="1:76">
      <c r="A71" s="492" t="s">
        <v>1248</v>
      </c>
      <c r="B71" s="239" t="s">
        <v>1249</v>
      </c>
      <c r="C71" s="639"/>
      <c r="D71" s="632" t="s">
        <v>768</v>
      </c>
      <c r="E71" s="632" t="s">
        <v>768</v>
      </c>
      <c r="F71" s="632" t="s">
        <v>768</v>
      </c>
      <c r="G71" s="632" t="s">
        <v>768</v>
      </c>
      <c r="H71" s="632" t="s">
        <v>768</v>
      </c>
      <c r="I71" s="439" t="s">
        <v>768</v>
      </c>
      <c r="J71" s="632" t="s">
        <v>768</v>
      </c>
      <c r="K71" s="632" t="s">
        <v>768</v>
      </c>
      <c r="L71" s="632" t="s">
        <v>768</v>
      </c>
      <c r="M71" s="439" t="s">
        <v>768</v>
      </c>
      <c r="N71" s="632" t="s">
        <v>768</v>
      </c>
      <c r="O71" s="439" t="s">
        <v>768</v>
      </c>
      <c r="P71" s="632" t="s">
        <v>768</v>
      </c>
      <c r="Q71" s="632" t="s">
        <v>768</v>
      </c>
      <c r="R71" s="439" t="s">
        <v>768</v>
      </c>
    </row>
    <row r="72" spans="1:76">
      <c r="A72" s="492" t="s">
        <v>1250</v>
      </c>
      <c r="B72" s="239" t="s">
        <v>1249</v>
      </c>
      <c r="C72" s="639"/>
      <c r="D72" s="632" t="s">
        <v>768</v>
      </c>
      <c r="E72" s="632">
        <v>0.45</v>
      </c>
      <c r="F72" s="632">
        <v>12.5</v>
      </c>
      <c r="G72" s="632">
        <v>0.45</v>
      </c>
      <c r="H72" s="632">
        <v>0.45</v>
      </c>
      <c r="I72" s="439" t="s">
        <v>768</v>
      </c>
      <c r="J72" s="632" t="s">
        <v>768</v>
      </c>
      <c r="K72" s="632">
        <v>0.45</v>
      </c>
      <c r="L72" s="632">
        <v>0.45</v>
      </c>
      <c r="M72" s="439" t="s">
        <v>768</v>
      </c>
      <c r="N72" s="632">
        <v>0.45</v>
      </c>
      <c r="O72" s="439" t="s">
        <v>768</v>
      </c>
      <c r="P72" s="632">
        <v>0.45</v>
      </c>
      <c r="Q72" s="632">
        <v>0.45</v>
      </c>
      <c r="R72" s="439" t="s">
        <v>768</v>
      </c>
    </row>
    <row r="73" spans="1:76">
      <c r="A73" s="492" t="s">
        <v>1251</v>
      </c>
      <c r="B73" s="239" t="s">
        <v>1252</v>
      </c>
      <c r="C73" s="639"/>
      <c r="D73" s="632" t="s">
        <v>768</v>
      </c>
      <c r="E73" s="632">
        <v>1.0000000000000001E-30</v>
      </c>
      <c r="F73" s="632">
        <v>9.4871999999999996</v>
      </c>
      <c r="G73" s="632">
        <v>107.01</v>
      </c>
      <c r="H73" s="632">
        <v>107.01</v>
      </c>
      <c r="I73" s="439" t="s">
        <v>768</v>
      </c>
      <c r="J73" s="632" t="s">
        <v>768</v>
      </c>
      <c r="K73" s="632">
        <v>108.98</v>
      </c>
      <c r="L73" s="632">
        <v>1.0000000000000001E-30</v>
      </c>
      <c r="M73" s="439" t="s">
        <v>768</v>
      </c>
      <c r="N73" s="632">
        <v>107.01</v>
      </c>
      <c r="O73" s="439" t="s">
        <v>768</v>
      </c>
      <c r="P73" s="632">
        <v>1.0000000000000001E-30</v>
      </c>
      <c r="Q73" s="632">
        <v>1.0000000000000001E-30</v>
      </c>
      <c r="R73" s="439" t="s">
        <v>768</v>
      </c>
    </row>
    <row r="74" spans="1:76">
      <c r="A74" s="492" t="s">
        <v>1253</v>
      </c>
      <c r="B74" s="239" t="s">
        <v>1195</v>
      </c>
      <c r="C74" s="639"/>
      <c r="D74" s="632" t="s">
        <v>768</v>
      </c>
      <c r="E74" s="632">
        <v>1023.36</v>
      </c>
      <c r="F74" s="632">
        <v>4.992</v>
      </c>
      <c r="G74" s="632">
        <v>74.88</v>
      </c>
      <c r="H74" s="632">
        <v>74.88</v>
      </c>
      <c r="I74" s="439" t="s">
        <v>768</v>
      </c>
      <c r="J74" s="632" t="s">
        <v>768</v>
      </c>
      <c r="K74" s="632">
        <v>104</v>
      </c>
      <c r="L74" s="632">
        <v>1023.36</v>
      </c>
      <c r="M74" s="439" t="s">
        <v>768</v>
      </c>
      <c r="N74" s="632">
        <v>31.2</v>
      </c>
      <c r="O74" s="439" t="s">
        <v>768</v>
      </c>
      <c r="P74" s="632">
        <v>1023.36</v>
      </c>
      <c r="Q74" s="632">
        <v>1023.36</v>
      </c>
      <c r="R74" s="439" t="s">
        <v>768</v>
      </c>
    </row>
    <row r="75" spans="1:76" s="300" customFormat="1">
      <c r="A75" s="492" t="s">
        <v>1254</v>
      </c>
      <c r="B75" s="269" t="s">
        <v>1255</v>
      </c>
      <c r="C75" s="492"/>
      <c r="D75" s="235" t="s">
        <v>768</v>
      </c>
      <c r="E75" s="235">
        <v>5.0000000000000001E-3</v>
      </c>
      <c r="F75" s="235" t="s">
        <v>768</v>
      </c>
      <c r="G75" s="235">
        <v>5.0000000000000001E-3</v>
      </c>
      <c r="H75" s="235">
        <v>5.0000000000000001E-3</v>
      </c>
      <c r="I75" s="505" t="s">
        <v>768</v>
      </c>
      <c r="J75" s="235" t="s">
        <v>768</v>
      </c>
      <c r="K75" s="235">
        <v>5.0000000000000001E-3</v>
      </c>
      <c r="L75" s="235">
        <v>5.0000000000000001E-3</v>
      </c>
      <c r="M75" s="505" t="s">
        <v>768</v>
      </c>
      <c r="N75" s="235">
        <v>5.0000000000000001E-3</v>
      </c>
      <c r="O75" s="505" t="s">
        <v>768</v>
      </c>
      <c r="P75" s="235">
        <v>5.0000000000000001E-3</v>
      </c>
      <c r="Q75" s="235">
        <v>5.0000000000000001E-3</v>
      </c>
      <c r="R75" s="505" t="s">
        <v>768</v>
      </c>
    </row>
    <row r="76" spans="1:76">
      <c r="A76" s="498" t="s">
        <v>1256</v>
      </c>
      <c r="B76" s="445"/>
      <c r="C76" s="499"/>
      <c r="D76" s="499"/>
      <c r="E76" s="499"/>
      <c r="F76" s="499"/>
      <c r="G76" s="499"/>
      <c r="H76" s="499"/>
      <c r="I76" s="499"/>
      <c r="J76" s="499"/>
      <c r="K76" s="499"/>
      <c r="L76" s="445"/>
      <c r="M76" s="499"/>
      <c r="N76" s="499"/>
      <c r="O76" s="499"/>
      <c r="P76" s="499"/>
      <c r="Q76" s="499"/>
      <c r="R76" s="499"/>
    </row>
    <row r="77" spans="1:76" s="149" customFormat="1">
      <c r="A77" s="513" t="s">
        <v>1257</v>
      </c>
      <c r="B77" s="508" t="s">
        <v>1245</v>
      </c>
      <c r="C77" s="514"/>
      <c r="D77" s="515" t="s">
        <v>768</v>
      </c>
      <c r="E77" s="515" t="s">
        <v>768</v>
      </c>
      <c r="F77" s="515" t="s">
        <v>768</v>
      </c>
      <c r="G77" s="515" t="s">
        <v>768</v>
      </c>
      <c r="H77" s="515" t="s">
        <v>768</v>
      </c>
      <c r="I77" s="515" t="s">
        <v>768</v>
      </c>
      <c r="J77" s="515" t="s">
        <v>768</v>
      </c>
      <c r="K77" s="515" t="s">
        <v>768</v>
      </c>
      <c r="L77" s="515" t="s">
        <v>768</v>
      </c>
      <c r="M77" s="515"/>
      <c r="N77" s="515" t="s">
        <v>768</v>
      </c>
      <c r="O77" s="515"/>
      <c r="P77" s="515" t="s">
        <v>768</v>
      </c>
      <c r="Q77" s="515" t="s">
        <v>768</v>
      </c>
      <c r="R77" s="515">
        <v>0</v>
      </c>
      <c r="T77" s="671"/>
      <c r="U77" s="671"/>
      <c r="V77" s="671"/>
      <c r="W77" s="671"/>
      <c r="X77" s="671"/>
      <c r="Y77" s="671"/>
      <c r="Z77" s="671"/>
      <c r="AA77" s="671"/>
      <c r="AB77" s="671"/>
      <c r="AC77" s="671"/>
      <c r="AD77" s="671"/>
      <c r="AE77" s="671"/>
      <c r="AF77" s="671"/>
      <c r="AG77" s="671"/>
      <c r="AH77" s="671"/>
      <c r="AI77" s="671"/>
      <c r="AJ77" s="671"/>
      <c r="AK77" s="671"/>
      <c r="AL77" s="671"/>
      <c r="AM77" s="671"/>
      <c r="AN77" s="671"/>
      <c r="AO77" s="671"/>
      <c r="AP77" s="671"/>
      <c r="AQ77" s="671"/>
      <c r="AR77" s="671"/>
      <c r="AS77" s="671"/>
      <c r="AT77" s="671"/>
      <c r="AU77" s="671"/>
      <c r="AV77" s="671"/>
      <c r="AW77" s="671"/>
      <c r="AX77" s="671"/>
      <c r="AY77" s="671"/>
      <c r="AZ77" s="671"/>
      <c r="BA77" s="671"/>
      <c r="BB77" s="671"/>
      <c r="BC77" s="671"/>
      <c r="BD77" s="671"/>
      <c r="BE77" s="671"/>
      <c r="BF77" s="671"/>
      <c r="BG77" s="671"/>
      <c r="BH77" s="671"/>
      <c r="BI77" s="671"/>
      <c r="BJ77" s="671"/>
      <c r="BK77" s="671"/>
      <c r="BL77" s="671"/>
      <c r="BM77" s="671"/>
      <c r="BN77" s="671"/>
      <c r="BO77" s="671"/>
      <c r="BP77" s="671"/>
      <c r="BQ77" s="671"/>
      <c r="BR77" s="671"/>
      <c r="BS77" s="671"/>
      <c r="BT77" s="671"/>
      <c r="BU77" s="671"/>
      <c r="BV77" s="671"/>
      <c r="BW77" s="671"/>
      <c r="BX77" s="671"/>
    </row>
    <row r="78" spans="1:76" s="149" customFormat="1">
      <c r="A78" s="513" t="s">
        <v>1258</v>
      </c>
      <c r="B78" s="508" t="s">
        <v>1245</v>
      </c>
      <c r="C78" s="514"/>
      <c r="D78" s="515" t="s">
        <v>768</v>
      </c>
      <c r="E78" s="515" t="s">
        <v>768</v>
      </c>
      <c r="F78" s="515" t="s">
        <v>768</v>
      </c>
      <c r="G78" s="515" t="s">
        <v>768</v>
      </c>
      <c r="H78" s="515" t="s">
        <v>768</v>
      </c>
      <c r="I78" s="515" t="s">
        <v>768</v>
      </c>
      <c r="J78" s="515" t="s">
        <v>768</v>
      </c>
      <c r="K78" s="515" t="s">
        <v>768</v>
      </c>
      <c r="L78" s="515" t="s">
        <v>768</v>
      </c>
      <c r="M78" s="515"/>
      <c r="N78" s="515" t="s">
        <v>768</v>
      </c>
      <c r="O78" s="515"/>
      <c r="P78" s="515" t="s">
        <v>768</v>
      </c>
      <c r="Q78" s="515" t="s">
        <v>768</v>
      </c>
      <c r="R78" s="515">
        <v>0</v>
      </c>
      <c r="T78" s="671"/>
      <c r="U78" s="671"/>
      <c r="V78" s="671"/>
      <c r="W78" s="671"/>
      <c r="X78" s="671"/>
      <c r="Y78" s="671"/>
      <c r="Z78" s="671"/>
      <c r="AA78" s="671"/>
      <c r="AB78" s="671"/>
      <c r="AC78" s="671"/>
      <c r="AD78" s="671"/>
      <c r="AE78" s="671"/>
      <c r="AF78" s="671"/>
      <c r="AG78" s="671"/>
      <c r="AH78" s="671"/>
      <c r="AI78" s="671"/>
      <c r="AJ78" s="671"/>
      <c r="AK78" s="671"/>
      <c r="AL78" s="671"/>
      <c r="AM78" s="671"/>
      <c r="AN78" s="671"/>
      <c r="AO78" s="671"/>
      <c r="AP78" s="671"/>
      <c r="AQ78" s="671"/>
      <c r="AR78" s="671"/>
      <c r="AS78" s="671"/>
      <c r="AT78" s="671"/>
      <c r="AU78" s="671"/>
      <c r="AV78" s="671"/>
      <c r="AW78" s="671"/>
      <c r="AX78" s="671"/>
      <c r="AY78" s="671"/>
      <c r="AZ78" s="671"/>
      <c r="BA78" s="671"/>
      <c r="BB78" s="671"/>
      <c r="BC78" s="671"/>
      <c r="BD78" s="671"/>
      <c r="BE78" s="671"/>
      <c r="BF78" s="671"/>
      <c r="BG78" s="671"/>
      <c r="BH78" s="671"/>
      <c r="BI78" s="671"/>
      <c r="BJ78" s="671"/>
      <c r="BK78" s="671"/>
      <c r="BL78" s="671"/>
      <c r="BM78" s="671"/>
      <c r="BN78" s="671"/>
      <c r="BO78" s="671"/>
      <c r="BP78" s="671"/>
      <c r="BQ78" s="671"/>
      <c r="BR78" s="671"/>
      <c r="BS78" s="671"/>
      <c r="BT78" s="671"/>
      <c r="BU78" s="671"/>
      <c r="BV78" s="671"/>
      <c r="BW78" s="671"/>
      <c r="BX78" s="671"/>
    </row>
    <row r="79" spans="1:76" s="149" customFormat="1">
      <c r="A79" s="513" t="s">
        <v>1259</v>
      </c>
      <c r="B79" s="508" t="s">
        <v>1260</v>
      </c>
      <c r="C79" s="514"/>
      <c r="D79" s="515" t="s">
        <v>768</v>
      </c>
      <c r="E79" s="515" t="s">
        <v>768</v>
      </c>
      <c r="F79" s="515" t="s">
        <v>768</v>
      </c>
      <c r="G79" s="515" t="s">
        <v>768</v>
      </c>
      <c r="H79" s="515" t="s">
        <v>768</v>
      </c>
      <c r="I79" s="515" t="s">
        <v>768</v>
      </c>
      <c r="J79" s="515" t="s">
        <v>768</v>
      </c>
      <c r="K79" s="515" t="s">
        <v>768</v>
      </c>
      <c r="L79" s="515" t="s">
        <v>768</v>
      </c>
      <c r="M79" s="515"/>
      <c r="N79" s="515" t="s">
        <v>768</v>
      </c>
      <c r="O79" s="515"/>
      <c r="P79" s="515" t="s">
        <v>768</v>
      </c>
      <c r="Q79" s="515" t="s">
        <v>768</v>
      </c>
      <c r="R79" s="515">
        <v>0</v>
      </c>
      <c r="T79" s="671"/>
      <c r="U79" s="671"/>
      <c r="V79" s="671"/>
      <c r="W79" s="671"/>
      <c r="X79" s="671"/>
      <c r="Y79" s="671"/>
      <c r="Z79" s="671"/>
      <c r="AA79" s="671"/>
      <c r="AB79" s="671"/>
      <c r="AC79" s="671"/>
      <c r="AD79" s="671"/>
      <c r="AE79" s="671"/>
      <c r="AF79" s="671"/>
      <c r="AG79" s="671"/>
      <c r="AH79" s="671"/>
      <c r="AI79" s="671"/>
      <c r="AJ79" s="671"/>
      <c r="AK79" s="671"/>
      <c r="AL79" s="671"/>
      <c r="AM79" s="671"/>
      <c r="AN79" s="671"/>
      <c r="AO79" s="671"/>
      <c r="AP79" s="671"/>
      <c r="AQ79" s="671"/>
      <c r="AR79" s="671"/>
      <c r="AS79" s="671"/>
      <c r="AT79" s="671"/>
      <c r="AU79" s="671"/>
      <c r="AV79" s="671"/>
      <c r="AW79" s="671"/>
      <c r="AX79" s="671"/>
      <c r="AY79" s="671"/>
      <c r="AZ79" s="671"/>
      <c r="BA79" s="671"/>
      <c r="BB79" s="671"/>
      <c r="BC79" s="671"/>
      <c r="BD79" s="671"/>
      <c r="BE79" s="671"/>
      <c r="BF79" s="671"/>
      <c r="BG79" s="671"/>
      <c r="BH79" s="671"/>
      <c r="BI79" s="671"/>
      <c r="BJ79" s="671"/>
      <c r="BK79" s="671"/>
      <c r="BL79" s="671"/>
      <c r="BM79" s="671"/>
      <c r="BN79" s="671"/>
      <c r="BO79" s="671"/>
      <c r="BP79" s="671"/>
      <c r="BQ79" s="671"/>
      <c r="BR79" s="671"/>
      <c r="BS79" s="671"/>
      <c r="BT79" s="671"/>
      <c r="BU79" s="671"/>
      <c r="BV79" s="671"/>
      <c r="BW79" s="671"/>
      <c r="BX79" s="671"/>
    </row>
    <row r="80" spans="1:76">
      <c r="A80" s="498" t="s">
        <v>1261</v>
      </c>
      <c r="B80" s="445"/>
      <c r="C80" s="499"/>
      <c r="D80" s="499"/>
      <c r="E80" s="499"/>
      <c r="F80" s="499"/>
      <c r="G80" s="499"/>
      <c r="H80" s="499"/>
      <c r="I80" s="499"/>
      <c r="J80" s="499"/>
      <c r="K80" s="499"/>
      <c r="L80" s="445"/>
      <c r="M80" s="499"/>
      <c r="N80" s="499"/>
      <c r="O80" s="499"/>
      <c r="P80" s="499"/>
      <c r="Q80" s="499"/>
      <c r="R80" s="499"/>
    </row>
    <row r="81" spans="1:76" s="149" customFormat="1">
      <c r="A81" s="513" t="s">
        <v>1262</v>
      </c>
      <c r="B81" s="508" t="s">
        <v>1255</v>
      </c>
      <c r="C81" s="514"/>
      <c r="D81" s="515" t="s">
        <v>768</v>
      </c>
      <c r="E81" s="515" t="s">
        <v>768</v>
      </c>
      <c r="F81" s="515" t="s">
        <v>768</v>
      </c>
      <c r="G81" s="515" t="s">
        <v>768</v>
      </c>
      <c r="H81" s="515" t="s">
        <v>768</v>
      </c>
      <c r="I81" s="515" t="s">
        <v>768</v>
      </c>
      <c r="J81" s="515" t="s">
        <v>768</v>
      </c>
      <c r="K81" s="515" t="s">
        <v>768</v>
      </c>
      <c r="L81" s="515" t="s">
        <v>768</v>
      </c>
      <c r="M81" s="515"/>
      <c r="N81" s="515" t="s">
        <v>768</v>
      </c>
      <c r="O81" s="515"/>
      <c r="P81" s="515" t="s">
        <v>768</v>
      </c>
      <c r="Q81" s="515" t="s">
        <v>768</v>
      </c>
      <c r="R81" s="515">
        <v>0</v>
      </c>
      <c r="T81" s="671"/>
      <c r="U81" s="671"/>
      <c r="V81" s="671"/>
      <c r="W81" s="671"/>
      <c r="X81" s="671"/>
      <c r="Y81" s="671"/>
      <c r="Z81" s="671"/>
      <c r="AA81" s="671"/>
      <c r="AB81" s="671"/>
      <c r="AC81" s="671"/>
      <c r="AD81" s="671"/>
      <c r="AE81" s="671"/>
      <c r="AF81" s="671"/>
      <c r="AG81" s="671"/>
      <c r="AH81" s="671"/>
      <c r="AI81" s="671"/>
      <c r="AJ81" s="671"/>
      <c r="AK81" s="671"/>
      <c r="AL81" s="671"/>
      <c r="AM81" s="671"/>
      <c r="AN81" s="671"/>
      <c r="AO81" s="671"/>
      <c r="AP81" s="671"/>
      <c r="AQ81" s="671"/>
      <c r="AR81" s="671"/>
      <c r="AS81" s="671"/>
      <c r="AT81" s="671"/>
      <c r="AU81" s="671"/>
      <c r="AV81" s="671"/>
      <c r="AW81" s="671"/>
      <c r="AX81" s="671"/>
      <c r="AY81" s="671"/>
      <c r="AZ81" s="671"/>
      <c r="BA81" s="671"/>
      <c r="BB81" s="671"/>
      <c r="BC81" s="671"/>
      <c r="BD81" s="671"/>
      <c r="BE81" s="671"/>
      <c r="BF81" s="671"/>
      <c r="BG81" s="671"/>
      <c r="BH81" s="671"/>
      <c r="BI81" s="671"/>
      <c r="BJ81" s="671"/>
      <c r="BK81" s="671"/>
      <c r="BL81" s="671"/>
      <c r="BM81" s="671"/>
      <c r="BN81" s="671"/>
      <c r="BO81" s="671"/>
      <c r="BP81" s="671"/>
      <c r="BQ81" s="671"/>
      <c r="BR81" s="671"/>
      <c r="BS81" s="671"/>
      <c r="BT81" s="671"/>
      <c r="BU81" s="671"/>
      <c r="BV81" s="671"/>
      <c r="BW81" s="671"/>
      <c r="BX81" s="671"/>
    </row>
    <row r="82" spans="1:76" s="149" customFormat="1">
      <c r="A82" s="513" t="s">
        <v>1263</v>
      </c>
      <c r="B82" s="508" t="s">
        <v>1264</v>
      </c>
      <c r="C82" s="514"/>
      <c r="D82" s="515" t="s">
        <v>768</v>
      </c>
      <c r="E82" s="515" t="s">
        <v>768</v>
      </c>
      <c r="F82" s="515" t="s">
        <v>768</v>
      </c>
      <c r="G82" s="515" t="s">
        <v>768</v>
      </c>
      <c r="H82" s="515" t="s">
        <v>768</v>
      </c>
      <c r="I82" s="515" t="s">
        <v>768</v>
      </c>
      <c r="J82" s="515" t="s">
        <v>768</v>
      </c>
      <c r="K82" s="515" t="s">
        <v>768</v>
      </c>
      <c r="L82" s="515" t="s">
        <v>768</v>
      </c>
      <c r="M82" s="515"/>
      <c r="N82" s="515" t="s">
        <v>768</v>
      </c>
      <c r="O82" s="515"/>
      <c r="P82" s="515" t="s">
        <v>768</v>
      </c>
      <c r="Q82" s="515" t="s">
        <v>768</v>
      </c>
      <c r="R82" s="515">
        <v>0</v>
      </c>
      <c r="T82" s="671"/>
      <c r="U82" s="671"/>
      <c r="V82" s="671"/>
      <c r="W82" s="671"/>
      <c r="X82" s="671"/>
      <c r="Y82" s="671"/>
      <c r="Z82" s="671"/>
      <c r="AA82" s="671"/>
      <c r="AB82" s="671"/>
      <c r="AC82" s="671"/>
      <c r="AD82" s="671"/>
      <c r="AE82" s="671"/>
      <c r="AF82" s="671"/>
      <c r="AG82" s="671"/>
      <c r="AH82" s="671"/>
      <c r="AI82" s="671"/>
      <c r="AJ82" s="671"/>
      <c r="AK82" s="671"/>
      <c r="AL82" s="671"/>
      <c r="AM82" s="671"/>
      <c r="AN82" s="671"/>
      <c r="AO82" s="671"/>
      <c r="AP82" s="671"/>
      <c r="AQ82" s="671"/>
      <c r="AR82" s="671"/>
      <c r="AS82" s="671"/>
      <c r="AT82" s="671"/>
      <c r="AU82" s="671"/>
      <c r="AV82" s="671"/>
      <c r="AW82" s="671"/>
      <c r="AX82" s="671"/>
      <c r="AY82" s="671"/>
      <c r="AZ82" s="671"/>
      <c r="BA82" s="671"/>
      <c r="BB82" s="671"/>
      <c r="BC82" s="671"/>
      <c r="BD82" s="671"/>
      <c r="BE82" s="671"/>
      <c r="BF82" s="671"/>
      <c r="BG82" s="671"/>
      <c r="BH82" s="671"/>
      <c r="BI82" s="671"/>
      <c r="BJ82" s="671"/>
      <c r="BK82" s="671"/>
      <c r="BL82" s="671"/>
      <c r="BM82" s="671"/>
      <c r="BN82" s="671"/>
      <c r="BO82" s="671"/>
      <c r="BP82" s="671"/>
      <c r="BQ82" s="671"/>
      <c r="BR82" s="671"/>
      <c r="BS82" s="671"/>
      <c r="BT82" s="671"/>
      <c r="BU82" s="671"/>
      <c r="BV82" s="671"/>
      <c r="BW82" s="671"/>
      <c r="BX82" s="671"/>
    </row>
    <row r="83" spans="1:76" s="149" customFormat="1">
      <c r="A83" s="513" t="s">
        <v>1265</v>
      </c>
      <c r="B83" s="508" t="s">
        <v>1165</v>
      </c>
      <c r="C83" s="514"/>
      <c r="D83" s="515" t="s">
        <v>768</v>
      </c>
      <c r="E83" s="515" t="s">
        <v>768</v>
      </c>
      <c r="F83" s="515" t="s">
        <v>768</v>
      </c>
      <c r="G83" s="515" t="s">
        <v>768</v>
      </c>
      <c r="H83" s="515" t="s">
        <v>768</v>
      </c>
      <c r="I83" s="515" t="s">
        <v>768</v>
      </c>
      <c r="J83" s="515" t="s">
        <v>768</v>
      </c>
      <c r="K83" s="515" t="s">
        <v>768</v>
      </c>
      <c r="L83" s="515" t="s">
        <v>768</v>
      </c>
      <c r="M83" s="515"/>
      <c r="N83" s="515" t="s">
        <v>768</v>
      </c>
      <c r="O83" s="515"/>
      <c r="P83" s="515" t="s">
        <v>768</v>
      </c>
      <c r="Q83" s="515" t="s">
        <v>768</v>
      </c>
      <c r="R83" s="515">
        <v>0</v>
      </c>
      <c r="T83" s="671"/>
      <c r="U83" s="671"/>
      <c r="V83" s="671"/>
      <c r="W83" s="671"/>
      <c r="X83" s="671"/>
      <c r="Y83" s="671"/>
      <c r="Z83" s="671"/>
      <c r="AA83" s="671"/>
      <c r="AB83" s="671"/>
      <c r="AC83" s="671"/>
      <c r="AD83" s="671"/>
      <c r="AE83" s="671"/>
      <c r="AF83" s="671"/>
      <c r="AG83" s="671"/>
      <c r="AH83" s="671"/>
      <c r="AI83" s="671"/>
      <c r="AJ83" s="671"/>
      <c r="AK83" s="671"/>
      <c r="AL83" s="671"/>
      <c r="AM83" s="671"/>
      <c r="AN83" s="671"/>
      <c r="AO83" s="671"/>
      <c r="AP83" s="671"/>
      <c r="AQ83" s="671"/>
      <c r="AR83" s="671"/>
      <c r="AS83" s="671"/>
      <c r="AT83" s="671"/>
      <c r="AU83" s="671"/>
      <c r="AV83" s="671"/>
      <c r="AW83" s="671"/>
      <c r="AX83" s="671"/>
      <c r="AY83" s="671"/>
      <c r="AZ83" s="671"/>
      <c r="BA83" s="671"/>
      <c r="BB83" s="671"/>
      <c r="BC83" s="671"/>
      <c r="BD83" s="671"/>
      <c r="BE83" s="671"/>
      <c r="BF83" s="671"/>
      <c r="BG83" s="671"/>
      <c r="BH83" s="671"/>
      <c r="BI83" s="671"/>
      <c r="BJ83" s="671"/>
      <c r="BK83" s="671"/>
      <c r="BL83" s="671"/>
      <c r="BM83" s="671"/>
      <c r="BN83" s="671"/>
      <c r="BO83" s="671"/>
      <c r="BP83" s="671"/>
      <c r="BQ83" s="671"/>
      <c r="BR83" s="671"/>
      <c r="BS83" s="671"/>
      <c r="BT83" s="671"/>
      <c r="BU83" s="671"/>
      <c r="BV83" s="671"/>
      <c r="BW83" s="671"/>
      <c r="BX83" s="671"/>
    </row>
    <row r="84" spans="1:76" s="149" customFormat="1">
      <c r="A84" s="513" t="s">
        <v>1266</v>
      </c>
      <c r="B84" s="508" t="s">
        <v>1267</v>
      </c>
      <c r="C84" s="514"/>
      <c r="D84" s="515" t="s">
        <v>768</v>
      </c>
      <c r="E84" s="515" t="s">
        <v>768</v>
      </c>
      <c r="F84" s="515" t="s">
        <v>768</v>
      </c>
      <c r="G84" s="515" t="s">
        <v>768</v>
      </c>
      <c r="H84" s="515" t="s">
        <v>768</v>
      </c>
      <c r="I84" s="515" t="s">
        <v>768</v>
      </c>
      <c r="J84" s="515" t="s">
        <v>768</v>
      </c>
      <c r="K84" s="515" t="s">
        <v>768</v>
      </c>
      <c r="L84" s="515" t="s">
        <v>768</v>
      </c>
      <c r="M84" s="515"/>
      <c r="N84" s="515" t="s">
        <v>768</v>
      </c>
      <c r="O84" s="515"/>
      <c r="P84" s="515" t="s">
        <v>768</v>
      </c>
      <c r="Q84" s="515" t="s">
        <v>768</v>
      </c>
      <c r="R84" s="515">
        <v>0</v>
      </c>
      <c r="T84" s="671"/>
      <c r="U84" s="671"/>
      <c r="V84" s="671"/>
      <c r="W84" s="671"/>
      <c r="X84" s="671"/>
      <c r="Y84" s="671"/>
      <c r="Z84" s="671"/>
      <c r="AA84" s="671"/>
      <c r="AB84" s="671"/>
      <c r="AC84" s="671"/>
      <c r="AD84" s="671"/>
      <c r="AE84" s="671"/>
      <c r="AF84" s="671"/>
      <c r="AG84" s="671"/>
      <c r="AH84" s="671"/>
      <c r="AI84" s="671"/>
      <c r="AJ84" s="671"/>
      <c r="AK84" s="671"/>
      <c r="AL84" s="671"/>
      <c r="AM84" s="671"/>
      <c r="AN84" s="671"/>
      <c r="AO84" s="671"/>
      <c r="AP84" s="671"/>
      <c r="AQ84" s="671"/>
      <c r="AR84" s="671"/>
      <c r="AS84" s="671"/>
      <c r="AT84" s="671"/>
      <c r="AU84" s="671"/>
      <c r="AV84" s="671"/>
      <c r="AW84" s="671"/>
      <c r="AX84" s="671"/>
      <c r="AY84" s="671"/>
      <c r="AZ84" s="671"/>
      <c r="BA84" s="671"/>
      <c r="BB84" s="671"/>
      <c r="BC84" s="671"/>
      <c r="BD84" s="671"/>
      <c r="BE84" s="671"/>
      <c r="BF84" s="671"/>
      <c r="BG84" s="671"/>
      <c r="BH84" s="671"/>
      <c r="BI84" s="671"/>
      <c r="BJ84" s="671"/>
      <c r="BK84" s="671"/>
      <c r="BL84" s="671"/>
      <c r="BM84" s="671"/>
      <c r="BN84" s="671"/>
      <c r="BO84" s="671"/>
      <c r="BP84" s="671"/>
      <c r="BQ84" s="671"/>
      <c r="BR84" s="671"/>
      <c r="BS84" s="671"/>
      <c r="BT84" s="671"/>
      <c r="BU84" s="671"/>
      <c r="BV84" s="671"/>
      <c r="BW84" s="671"/>
      <c r="BX84" s="671"/>
    </row>
    <row r="85" spans="1:76" s="149" customFormat="1">
      <c r="A85" s="513" t="s">
        <v>1268</v>
      </c>
      <c r="B85" s="508" t="s">
        <v>1267</v>
      </c>
      <c r="C85" s="514"/>
      <c r="D85" s="515" t="s">
        <v>768</v>
      </c>
      <c r="E85" s="515" t="s">
        <v>768</v>
      </c>
      <c r="F85" s="515" t="s">
        <v>768</v>
      </c>
      <c r="G85" s="515" t="s">
        <v>768</v>
      </c>
      <c r="H85" s="515" t="s">
        <v>768</v>
      </c>
      <c r="I85" s="515" t="s">
        <v>768</v>
      </c>
      <c r="J85" s="515" t="s">
        <v>768</v>
      </c>
      <c r="K85" s="515" t="s">
        <v>768</v>
      </c>
      <c r="L85" s="515" t="s">
        <v>768</v>
      </c>
      <c r="M85" s="515"/>
      <c r="N85" s="515" t="s">
        <v>768</v>
      </c>
      <c r="O85" s="515"/>
      <c r="P85" s="515" t="s">
        <v>768</v>
      </c>
      <c r="Q85" s="515" t="s">
        <v>768</v>
      </c>
      <c r="R85" s="515">
        <v>0</v>
      </c>
      <c r="T85" s="671"/>
      <c r="U85" s="671"/>
      <c r="V85" s="671"/>
      <c r="W85" s="671"/>
      <c r="X85" s="671"/>
      <c r="Y85" s="671"/>
      <c r="Z85" s="671"/>
      <c r="AA85" s="671"/>
      <c r="AB85" s="671"/>
      <c r="AC85" s="671"/>
      <c r="AD85" s="671"/>
      <c r="AE85" s="671"/>
      <c r="AF85" s="671"/>
      <c r="AG85" s="671"/>
      <c r="AH85" s="671"/>
      <c r="AI85" s="671"/>
      <c r="AJ85" s="671"/>
      <c r="AK85" s="671"/>
      <c r="AL85" s="671"/>
      <c r="AM85" s="671"/>
      <c r="AN85" s="671"/>
      <c r="AO85" s="671"/>
      <c r="AP85" s="671"/>
      <c r="AQ85" s="671"/>
      <c r="AR85" s="671"/>
      <c r="AS85" s="671"/>
      <c r="AT85" s="671"/>
      <c r="AU85" s="671"/>
      <c r="AV85" s="671"/>
      <c r="AW85" s="671"/>
      <c r="AX85" s="671"/>
      <c r="AY85" s="671"/>
      <c r="AZ85" s="671"/>
      <c r="BA85" s="671"/>
      <c r="BB85" s="671"/>
      <c r="BC85" s="671"/>
      <c r="BD85" s="671"/>
      <c r="BE85" s="671"/>
      <c r="BF85" s="671"/>
      <c r="BG85" s="671"/>
      <c r="BH85" s="671"/>
      <c r="BI85" s="671"/>
      <c r="BJ85" s="671"/>
      <c r="BK85" s="671"/>
      <c r="BL85" s="671"/>
      <c r="BM85" s="671"/>
      <c r="BN85" s="671"/>
      <c r="BO85" s="671"/>
      <c r="BP85" s="671"/>
      <c r="BQ85" s="671"/>
      <c r="BR85" s="671"/>
      <c r="BS85" s="671"/>
      <c r="BT85" s="671"/>
      <c r="BU85" s="671"/>
      <c r="BV85" s="671"/>
      <c r="BW85" s="671"/>
      <c r="BX85" s="671"/>
    </row>
    <row r="86" spans="1:76">
      <c r="A86" s="498" t="s">
        <v>1269</v>
      </c>
      <c r="B86" s="445"/>
      <c r="C86" s="499"/>
      <c r="D86" s="499"/>
      <c r="E86" s="499"/>
      <c r="F86" s="499"/>
      <c r="G86" s="499"/>
      <c r="H86" s="499"/>
      <c r="I86" s="499"/>
      <c r="J86" s="499"/>
      <c r="K86" s="499"/>
      <c r="L86" s="445"/>
      <c r="M86" s="499"/>
      <c r="N86" s="499"/>
      <c r="O86" s="499"/>
      <c r="P86" s="499"/>
      <c r="Q86" s="499"/>
      <c r="R86" s="499"/>
    </row>
    <row r="87" spans="1:76">
      <c r="A87" s="521" t="s">
        <v>1270</v>
      </c>
      <c r="B87" s="239"/>
      <c r="C87" s="639"/>
      <c r="D87" s="632"/>
      <c r="E87" s="632"/>
      <c r="F87" s="632"/>
      <c r="G87" s="632"/>
      <c r="H87" s="632"/>
      <c r="I87" s="632"/>
      <c r="J87" s="439"/>
      <c r="K87" s="632"/>
      <c r="L87" s="632"/>
      <c r="M87" s="439"/>
      <c r="N87" s="632"/>
      <c r="O87" s="439"/>
      <c r="P87" s="632"/>
      <c r="Q87" s="632"/>
      <c r="R87" s="439"/>
    </row>
    <row r="88" spans="1:76">
      <c r="A88" s="492" t="s">
        <v>1271</v>
      </c>
      <c r="B88" s="239" t="s">
        <v>1260</v>
      </c>
      <c r="C88" s="639"/>
      <c r="D88" s="439" t="s">
        <v>768</v>
      </c>
      <c r="E88" s="632">
        <v>1</v>
      </c>
      <c r="F88" s="632">
        <v>1</v>
      </c>
      <c r="G88" s="632">
        <v>1</v>
      </c>
      <c r="H88" s="632">
        <v>1</v>
      </c>
      <c r="I88" s="439" t="s">
        <v>768</v>
      </c>
      <c r="J88" s="439" t="s">
        <v>768</v>
      </c>
      <c r="K88" s="632">
        <v>1</v>
      </c>
      <c r="L88" s="632">
        <v>1</v>
      </c>
      <c r="M88" s="439" t="s">
        <v>768</v>
      </c>
      <c r="N88" s="632">
        <v>1</v>
      </c>
      <c r="O88" s="439" t="s">
        <v>768</v>
      </c>
      <c r="P88" s="632">
        <v>1</v>
      </c>
      <c r="Q88" s="632">
        <v>1</v>
      </c>
      <c r="R88" s="439" t="s">
        <v>768</v>
      </c>
    </row>
    <row r="89" spans="1:76">
      <c r="A89" s="492" t="s">
        <v>1272</v>
      </c>
      <c r="B89" s="239" t="s">
        <v>1260</v>
      </c>
      <c r="C89" s="639"/>
      <c r="D89" s="439" t="s">
        <v>768</v>
      </c>
      <c r="E89" s="632">
        <v>2.5999999999999998E-5</v>
      </c>
      <c r="F89" s="632">
        <v>2.5999999999999998E-5</v>
      </c>
      <c r="G89" s="632">
        <v>2.5999999999999998E-5</v>
      </c>
      <c r="H89" s="632">
        <v>2.5999999999999998E-5</v>
      </c>
      <c r="I89" s="439" t="s">
        <v>768</v>
      </c>
      <c r="J89" s="439" t="s">
        <v>768</v>
      </c>
      <c r="K89" s="632">
        <v>2.5999999999999998E-5</v>
      </c>
      <c r="L89" s="632">
        <v>2.5999999999999998E-5</v>
      </c>
      <c r="M89" s="439" t="s">
        <v>768</v>
      </c>
      <c r="N89" s="632">
        <v>2.5999999999999998E-5</v>
      </c>
      <c r="O89" s="439" t="s">
        <v>768</v>
      </c>
      <c r="P89" s="632">
        <v>2.5999999999999998E-5</v>
      </c>
      <c r="Q89" s="632">
        <v>2.5999999999999998E-5</v>
      </c>
      <c r="R89" s="439" t="s">
        <v>768</v>
      </c>
    </row>
    <row r="90" spans="1:76">
      <c r="A90" s="492" t="s">
        <v>1273</v>
      </c>
      <c r="B90" s="239" t="s">
        <v>1192</v>
      </c>
      <c r="C90" s="639"/>
      <c r="D90" s="439" t="s">
        <v>768</v>
      </c>
      <c r="E90" s="632">
        <v>14.7</v>
      </c>
      <c r="F90" s="632">
        <v>14.7</v>
      </c>
      <c r="G90" s="632">
        <v>14.7</v>
      </c>
      <c r="H90" s="632">
        <v>14.7</v>
      </c>
      <c r="I90" s="439" t="s">
        <v>768</v>
      </c>
      <c r="J90" s="439" t="s">
        <v>768</v>
      </c>
      <c r="K90" s="632">
        <v>14.7</v>
      </c>
      <c r="L90" s="632">
        <v>14.7</v>
      </c>
      <c r="M90" s="439" t="s">
        <v>768</v>
      </c>
      <c r="N90" s="632">
        <v>14.7</v>
      </c>
      <c r="O90" s="439" t="s">
        <v>768</v>
      </c>
      <c r="P90" s="632">
        <v>14.7</v>
      </c>
      <c r="Q90" s="632">
        <v>14.7</v>
      </c>
      <c r="R90" s="439" t="s">
        <v>768</v>
      </c>
    </row>
    <row r="91" spans="1:76">
      <c r="A91" s="492" t="s">
        <v>1274</v>
      </c>
      <c r="B91" s="239" t="s">
        <v>1192</v>
      </c>
      <c r="C91" s="639"/>
      <c r="D91" s="439" t="s">
        <v>768</v>
      </c>
      <c r="E91" s="632">
        <v>0</v>
      </c>
      <c r="F91" s="632">
        <v>0</v>
      </c>
      <c r="G91" s="632">
        <v>0</v>
      </c>
      <c r="H91" s="632">
        <v>0</v>
      </c>
      <c r="I91" s="439" t="s">
        <v>768</v>
      </c>
      <c r="J91" s="439" t="s">
        <v>768</v>
      </c>
      <c r="K91" s="632">
        <v>0</v>
      </c>
      <c r="L91" s="632">
        <v>0</v>
      </c>
      <c r="M91" s="439" t="s">
        <v>768</v>
      </c>
      <c r="N91" s="632">
        <v>0</v>
      </c>
      <c r="O91" s="439" t="s">
        <v>768</v>
      </c>
      <c r="P91" s="632">
        <v>0</v>
      </c>
      <c r="Q91" s="632">
        <v>0</v>
      </c>
      <c r="R91" s="439" t="s">
        <v>768</v>
      </c>
    </row>
    <row r="92" spans="1:76">
      <c r="A92" s="302" t="s">
        <v>1275</v>
      </c>
      <c r="B92" s="239" t="s">
        <v>1255</v>
      </c>
      <c r="C92" s="639"/>
      <c r="D92" s="439" t="s">
        <v>768</v>
      </c>
      <c r="E92" s="632">
        <v>5.0000000000000004E-6</v>
      </c>
      <c r="F92" s="632">
        <v>5.0000000000000004E-6</v>
      </c>
      <c r="G92" s="632">
        <v>5.0000000000000004E-6</v>
      </c>
      <c r="H92" s="632">
        <v>5.0000000000000004E-6</v>
      </c>
      <c r="I92" s="439" t="s">
        <v>768</v>
      </c>
      <c r="J92" s="439" t="s">
        <v>768</v>
      </c>
      <c r="K92" s="632">
        <v>5.0000000000000004E-6</v>
      </c>
      <c r="L92" s="632">
        <v>5.0000000000000004E-6</v>
      </c>
      <c r="M92" s="439" t="s">
        <v>768</v>
      </c>
      <c r="N92" s="632">
        <v>5.0000000000000004E-6</v>
      </c>
      <c r="O92" s="439" t="s">
        <v>768</v>
      </c>
      <c r="P92" s="632">
        <v>5.0000000000000004E-6</v>
      </c>
      <c r="Q92" s="632">
        <v>5.0000000000000004E-6</v>
      </c>
      <c r="R92" s="439" t="s">
        <v>768</v>
      </c>
    </row>
    <row r="93" spans="1:76">
      <c r="A93" s="492" t="s">
        <v>1276</v>
      </c>
      <c r="B93" s="239" t="s">
        <v>1169</v>
      </c>
      <c r="C93" s="639"/>
      <c r="D93" s="439" t="s">
        <v>768</v>
      </c>
      <c r="E93" s="632">
        <v>1000000000</v>
      </c>
      <c r="F93" s="632">
        <v>1000000000</v>
      </c>
      <c r="G93" s="632">
        <v>1000000000</v>
      </c>
      <c r="H93" s="632">
        <v>1000000000</v>
      </c>
      <c r="I93" s="439" t="s">
        <v>768</v>
      </c>
      <c r="J93" s="439" t="s">
        <v>768</v>
      </c>
      <c r="K93" s="632">
        <v>1000000000</v>
      </c>
      <c r="L93" s="632">
        <v>1000000000</v>
      </c>
      <c r="M93" s="439" t="s">
        <v>768</v>
      </c>
      <c r="N93" s="632">
        <v>1000000000</v>
      </c>
      <c r="O93" s="439" t="s">
        <v>768</v>
      </c>
      <c r="P93" s="632">
        <v>1000000000</v>
      </c>
      <c r="Q93" s="632">
        <v>1000000000</v>
      </c>
      <c r="R93" s="439" t="s">
        <v>768</v>
      </c>
    </row>
    <row r="94" spans="1:76">
      <c r="A94" s="521" t="s">
        <v>1277</v>
      </c>
      <c r="B94" s="239"/>
      <c r="C94" s="639"/>
      <c r="D94" s="439"/>
      <c r="E94" s="632"/>
      <c r="F94" s="632"/>
      <c r="G94" s="632"/>
      <c r="H94" s="632"/>
      <c r="I94" s="439"/>
      <c r="J94" s="439"/>
      <c r="K94" s="632"/>
      <c r="L94" s="632"/>
      <c r="M94" s="439"/>
      <c r="N94" s="632"/>
      <c r="O94" s="439"/>
      <c r="P94" s="632"/>
      <c r="Q94" s="632"/>
      <c r="R94" s="439"/>
    </row>
    <row r="95" spans="1:76">
      <c r="A95" s="492" t="s">
        <v>1271</v>
      </c>
      <c r="B95" s="239" t="s">
        <v>1260</v>
      </c>
      <c r="C95" s="639"/>
      <c r="D95" s="439" t="s">
        <v>768</v>
      </c>
      <c r="E95" s="632">
        <v>3.3</v>
      </c>
      <c r="F95" s="632">
        <v>3.3</v>
      </c>
      <c r="G95" s="632">
        <v>3.3</v>
      </c>
      <c r="H95" s="632">
        <v>3.3</v>
      </c>
      <c r="I95" s="439" t="s">
        <v>768</v>
      </c>
      <c r="J95" s="439" t="s">
        <v>768</v>
      </c>
      <c r="K95" s="632">
        <v>3.3</v>
      </c>
      <c r="L95" s="632">
        <v>3.3</v>
      </c>
      <c r="M95" s="439" t="s">
        <v>768</v>
      </c>
      <c r="N95" s="632">
        <v>3.3</v>
      </c>
      <c r="O95" s="439" t="s">
        <v>768</v>
      </c>
      <c r="P95" s="632">
        <v>3.3</v>
      </c>
      <c r="Q95" s="632">
        <v>3.3</v>
      </c>
      <c r="R95" s="439" t="s">
        <v>768</v>
      </c>
    </row>
    <row r="96" spans="1:76">
      <c r="A96" s="492" t="s">
        <v>1272</v>
      </c>
      <c r="B96" s="239" t="s">
        <v>1260</v>
      </c>
      <c r="C96" s="639"/>
      <c r="D96" s="439" t="s">
        <v>768</v>
      </c>
      <c r="E96" s="632">
        <v>2.1000000000000001E-4</v>
      </c>
      <c r="F96" s="632">
        <v>2.1000000000000001E-4</v>
      </c>
      <c r="G96" s="632">
        <v>2.1000000000000001E-4</v>
      </c>
      <c r="H96" s="632">
        <v>2.1000000000000001E-4</v>
      </c>
      <c r="I96" s="439" t="s">
        <v>768</v>
      </c>
      <c r="J96" s="439" t="s">
        <v>768</v>
      </c>
      <c r="K96" s="632">
        <v>2.1000000000000001E-4</v>
      </c>
      <c r="L96" s="632">
        <v>2.1000000000000001E-4</v>
      </c>
      <c r="M96" s="439" t="s">
        <v>768</v>
      </c>
      <c r="N96" s="632">
        <v>2.1000000000000001E-4</v>
      </c>
      <c r="O96" s="439" t="s">
        <v>768</v>
      </c>
      <c r="P96" s="632">
        <v>2.1000000000000001E-4</v>
      </c>
      <c r="Q96" s="632">
        <v>2.1000000000000001E-4</v>
      </c>
      <c r="R96" s="439" t="s">
        <v>768</v>
      </c>
    </row>
    <row r="97" spans="1:18">
      <c r="A97" s="492" t="s">
        <v>1273</v>
      </c>
      <c r="B97" s="239" t="s">
        <v>1192</v>
      </c>
      <c r="C97" s="639"/>
      <c r="D97" s="439" t="s">
        <v>768</v>
      </c>
      <c r="E97" s="632">
        <v>117.9</v>
      </c>
      <c r="F97" s="632">
        <v>117.9</v>
      </c>
      <c r="G97" s="632">
        <v>117.9</v>
      </c>
      <c r="H97" s="632">
        <v>117.9</v>
      </c>
      <c r="I97" s="439" t="s">
        <v>768</v>
      </c>
      <c r="J97" s="439" t="s">
        <v>768</v>
      </c>
      <c r="K97" s="632">
        <v>117.9</v>
      </c>
      <c r="L97" s="632">
        <v>117.9</v>
      </c>
      <c r="M97" s="439" t="s">
        <v>768</v>
      </c>
      <c r="N97" s="632">
        <v>117.9</v>
      </c>
      <c r="O97" s="439" t="s">
        <v>768</v>
      </c>
      <c r="P97" s="632">
        <v>117.9</v>
      </c>
      <c r="Q97" s="632">
        <v>117.9</v>
      </c>
      <c r="R97" s="439" t="s">
        <v>768</v>
      </c>
    </row>
    <row r="98" spans="1:18">
      <c r="A98" s="492" t="s">
        <v>1274</v>
      </c>
      <c r="B98" s="239" t="s">
        <v>1192</v>
      </c>
      <c r="C98" s="639"/>
      <c r="D98" s="439" t="s">
        <v>768</v>
      </c>
      <c r="E98" s="632">
        <v>25.3</v>
      </c>
      <c r="F98" s="632">
        <v>25.3</v>
      </c>
      <c r="G98" s="632">
        <v>25.3</v>
      </c>
      <c r="H98" s="632">
        <v>25.3</v>
      </c>
      <c r="I98" s="439" t="s">
        <v>768</v>
      </c>
      <c r="J98" s="439" t="s">
        <v>768</v>
      </c>
      <c r="K98" s="632">
        <v>25.3</v>
      </c>
      <c r="L98" s="632">
        <v>25.3</v>
      </c>
      <c r="M98" s="439" t="s">
        <v>768</v>
      </c>
      <c r="N98" s="632">
        <v>25.3</v>
      </c>
      <c r="O98" s="439" t="s">
        <v>768</v>
      </c>
      <c r="P98" s="632">
        <v>25.3</v>
      </c>
      <c r="Q98" s="632">
        <v>25.3</v>
      </c>
      <c r="R98" s="439" t="s">
        <v>768</v>
      </c>
    </row>
    <row r="99" spans="1:18">
      <c r="A99" s="302" t="s">
        <v>1275</v>
      </c>
      <c r="B99" s="239" t="s">
        <v>1255</v>
      </c>
      <c r="C99" s="639"/>
      <c r="D99" s="439" t="s">
        <v>768</v>
      </c>
      <c r="E99" s="632">
        <v>5.0000000000000001E-4</v>
      </c>
      <c r="F99" s="632">
        <v>5.0000000000000001E-4</v>
      </c>
      <c r="G99" s="632">
        <v>5.0000000000000001E-4</v>
      </c>
      <c r="H99" s="632">
        <v>5.0000000000000001E-4</v>
      </c>
      <c r="I99" s="439" t="s">
        <v>768</v>
      </c>
      <c r="J99" s="439" t="s">
        <v>768</v>
      </c>
      <c r="K99" s="632">
        <v>5.0000000000000001E-4</v>
      </c>
      <c r="L99" s="632">
        <v>5.0000000000000001E-4</v>
      </c>
      <c r="M99" s="439" t="s">
        <v>768</v>
      </c>
      <c r="N99" s="632">
        <v>5.0000000000000001E-4</v>
      </c>
      <c r="O99" s="439" t="s">
        <v>768</v>
      </c>
      <c r="P99" s="632">
        <v>5.0000000000000001E-4</v>
      </c>
      <c r="Q99" s="632">
        <v>5.0000000000000001E-4</v>
      </c>
      <c r="R99" s="439" t="s">
        <v>768</v>
      </c>
    </row>
    <row r="100" spans="1:18">
      <c r="A100" s="492" t="s">
        <v>1276</v>
      </c>
      <c r="B100" s="239" t="s">
        <v>1169</v>
      </c>
      <c r="C100" s="639"/>
      <c r="D100" s="439" t="s">
        <v>768</v>
      </c>
      <c r="E100" s="632">
        <v>2000000000</v>
      </c>
      <c r="F100" s="632">
        <v>2000000000</v>
      </c>
      <c r="G100" s="632">
        <v>2000000000</v>
      </c>
      <c r="H100" s="632">
        <v>2000000000</v>
      </c>
      <c r="I100" s="439" t="s">
        <v>768</v>
      </c>
      <c r="J100" s="439" t="s">
        <v>768</v>
      </c>
      <c r="K100" s="632">
        <v>2000000000</v>
      </c>
      <c r="L100" s="632">
        <v>2000000000</v>
      </c>
      <c r="M100" s="439" t="s">
        <v>768</v>
      </c>
      <c r="N100" s="632">
        <v>2000000000</v>
      </c>
      <c r="O100" s="439" t="s">
        <v>768</v>
      </c>
      <c r="P100" s="632">
        <v>2000000000</v>
      </c>
      <c r="Q100" s="632">
        <v>2000000000</v>
      </c>
      <c r="R100" s="439" t="s">
        <v>768</v>
      </c>
    </row>
    <row r="101" spans="1:18">
      <c r="A101" s="521" t="s">
        <v>1278</v>
      </c>
      <c r="B101" s="239"/>
      <c r="C101" s="639"/>
      <c r="D101" s="439"/>
      <c r="E101" s="632"/>
      <c r="F101" s="632"/>
      <c r="G101" s="632"/>
      <c r="H101" s="632"/>
      <c r="I101" s="439"/>
      <c r="J101" s="439"/>
      <c r="K101" s="632"/>
      <c r="L101" s="632"/>
      <c r="M101" s="439"/>
      <c r="N101" s="632"/>
      <c r="O101" s="439"/>
      <c r="P101" s="632"/>
      <c r="Q101" s="632"/>
      <c r="R101" s="439"/>
    </row>
    <row r="102" spans="1:18">
      <c r="A102" s="492" t="s">
        <v>1271</v>
      </c>
      <c r="B102" s="239" t="s">
        <v>1260</v>
      </c>
      <c r="C102" s="639"/>
      <c r="D102" s="439" t="s">
        <v>768</v>
      </c>
      <c r="E102" s="632">
        <v>2.34</v>
      </c>
      <c r="F102" s="632">
        <v>2.34</v>
      </c>
      <c r="G102" s="632">
        <v>2.34</v>
      </c>
      <c r="H102" s="632">
        <v>2.34</v>
      </c>
      <c r="I102" s="439" t="s">
        <v>768</v>
      </c>
      <c r="J102" s="439" t="s">
        <v>768</v>
      </c>
      <c r="K102" s="632">
        <v>2.34</v>
      </c>
      <c r="L102" s="632">
        <v>2.34</v>
      </c>
      <c r="M102" s="439" t="s">
        <v>768</v>
      </c>
      <c r="N102" s="632">
        <v>2.34</v>
      </c>
      <c r="O102" s="439" t="s">
        <v>768</v>
      </c>
      <c r="P102" s="632">
        <v>2.34</v>
      </c>
      <c r="Q102" s="632">
        <v>2.34</v>
      </c>
      <c r="R102" s="439" t="s">
        <v>768</v>
      </c>
    </row>
    <row r="103" spans="1:18">
      <c r="A103" s="492" t="s">
        <v>1272</v>
      </c>
      <c r="B103" s="239" t="s">
        <v>1260</v>
      </c>
      <c r="C103" s="639"/>
      <c r="D103" s="439" t="s">
        <v>768</v>
      </c>
      <c r="E103" s="632">
        <v>1.2899999999999999E-4</v>
      </c>
      <c r="F103" s="632">
        <v>1.2899999999999999E-4</v>
      </c>
      <c r="G103" s="632">
        <v>1.2899999999999999E-4</v>
      </c>
      <c r="H103" s="632">
        <v>1.2899999999999999E-4</v>
      </c>
      <c r="I103" s="439" t="s">
        <v>768</v>
      </c>
      <c r="J103" s="439" t="s">
        <v>768</v>
      </c>
      <c r="K103" s="632">
        <v>1.2899999999999999E-4</v>
      </c>
      <c r="L103" s="632">
        <v>1.2899999999999999E-4</v>
      </c>
      <c r="M103" s="439" t="s">
        <v>768</v>
      </c>
      <c r="N103" s="632">
        <v>1.2899999999999999E-4</v>
      </c>
      <c r="O103" s="439" t="s">
        <v>768</v>
      </c>
      <c r="P103" s="632">
        <v>1.2899999999999999E-4</v>
      </c>
      <c r="Q103" s="632">
        <v>1.2899999999999999E-4</v>
      </c>
      <c r="R103" s="439" t="s">
        <v>768</v>
      </c>
    </row>
    <row r="104" spans="1:18">
      <c r="A104" s="492" t="s">
        <v>1274</v>
      </c>
      <c r="B104" s="239" t="s">
        <v>1192</v>
      </c>
      <c r="C104" s="639"/>
      <c r="D104" s="439" t="s">
        <v>768</v>
      </c>
      <c r="E104" s="632">
        <v>5.3099999999999996E-3</v>
      </c>
      <c r="F104" s="632">
        <v>5.3099999999999996E-3</v>
      </c>
      <c r="G104" s="632">
        <v>5.3099999999999996E-3</v>
      </c>
      <c r="H104" s="632">
        <v>5.3099999999999996E-3</v>
      </c>
      <c r="I104" s="439" t="s">
        <v>768</v>
      </c>
      <c r="J104" s="439" t="s">
        <v>768</v>
      </c>
      <c r="K104" s="632">
        <v>5.3099999999999996E-3</v>
      </c>
      <c r="L104" s="632">
        <v>5.3099999999999996E-3</v>
      </c>
      <c r="M104" s="439" t="s">
        <v>768</v>
      </c>
      <c r="N104" s="632">
        <v>5.3099999999999996E-3</v>
      </c>
      <c r="O104" s="439" t="s">
        <v>768</v>
      </c>
      <c r="P104" s="632">
        <v>5.3099999999999996E-3</v>
      </c>
      <c r="Q104" s="632">
        <v>5.3099999999999996E-3</v>
      </c>
      <c r="R104" s="439" t="s">
        <v>768</v>
      </c>
    </row>
    <row r="105" spans="1:18">
      <c r="A105" s="302" t="s">
        <v>1275</v>
      </c>
      <c r="B105" s="239" t="s">
        <v>1255</v>
      </c>
      <c r="C105" s="639"/>
      <c r="D105" s="439" t="s">
        <v>768</v>
      </c>
      <c r="E105" s="632">
        <v>6.9999999999999994E-5</v>
      </c>
      <c r="F105" s="632" t="s">
        <v>768</v>
      </c>
      <c r="G105" s="632">
        <v>6.9999999999999994E-5</v>
      </c>
      <c r="H105" s="632">
        <v>6.9999999999999994E-5</v>
      </c>
      <c r="I105" s="439" t="s">
        <v>768</v>
      </c>
      <c r="J105" s="439" t="s">
        <v>768</v>
      </c>
      <c r="K105" s="632">
        <v>6.9999999999999994E-5</v>
      </c>
      <c r="L105" s="632">
        <v>6.9999999999999994E-5</v>
      </c>
      <c r="M105" s="439" t="s">
        <v>768</v>
      </c>
      <c r="N105" s="632">
        <v>6.9999999999999994E-5</v>
      </c>
      <c r="O105" s="439" t="s">
        <v>768</v>
      </c>
      <c r="P105" s="632">
        <v>6.9999999999999994E-5</v>
      </c>
      <c r="Q105" s="632">
        <v>6.9999999999999994E-5</v>
      </c>
      <c r="R105" s="439" t="s">
        <v>768</v>
      </c>
    </row>
    <row r="106" spans="1:18">
      <c r="A106" s="521" t="s">
        <v>887</v>
      </c>
      <c r="B106" s="239"/>
      <c r="C106" s="639"/>
      <c r="D106" s="439"/>
      <c r="E106" s="632"/>
      <c r="F106" s="632"/>
      <c r="G106" s="632"/>
      <c r="H106" s="632"/>
      <c r="I106" s="439"/>
      <c r="J106" s="439"/>
      <c r="K106" s="632"/>
      <c r="L106" s="632"/>
      <c r="M106" s="439"/>
      <c r="N106" s="632"/>
      <c r="O106" s="439"/>
      <c r="P106" s="632"/>
      <c r="Q106" s="632"/>
      <c r="R106" s="439"/>
    </row>
    <row r="107" spans="1:18">
      <c r="A107" s="492" t="s">
        <v>1279</v>
      </c>
      <c r="B107" s="239" t="s">
        <v>1169</v>
      </c>
      <c r="C107" s="639"/>
      <c r="D107" s="439" t="s">
        <v>768</v>
      </c>
      <c r="E107" s="632">
        <v>5.1999999999999998E-2</v>
      </c>
      <c r="F107" s="632">
        <v>5.1999999999999998E-2</v>
      </c>
      <c r="G107" s="632">
        <v>5.1999999999999998E-2</v>
      </c>
      <c r="H107" s="632">
        <v>5.1999999999999998E-2</v>
      </c>
      <c r="I107" s="439" t="s">
        <v>768</v>
      </c>
      <c r="J107" s="439" t="s">
        <v>768</v>
      </c>
      <c r="K107" s="632">
        <v>5.1999999999999998E-2</v>
      </c>
      <c r="L107" s="632">
        <v>5.1999999999999998E-2</v>
      </c>
      <c r="M107" s="439" t="s">
        <v>768</v>
      </c>
      <c r="N107" s="632">
        <v>5.1999999999999998E-2</v>
      </c>
      <c r="O107" s="439" t="s">
        <v>768</v>
      </c>
      <c r="P107" s="632">
        <v>5.1999999999999998E-2</v>
      </c>
      <c r="Q107" s="632">
        <v>5.1999999999999998E-2</v>
      </c>
      <c r="R107" s="439" t="s">
        <v>768</v>
      </c>
    </row>
    <row r="108" spans="1:18">
      <c r="A108" s="522" t="s">
        <v>1280</v>
      </c>
      <c r="B108" s="239" t="s">
        <v>1260</v>
      </c>
      <c r="C108" s="639"/>
      <c r="D108" s="439" t="s">
        <v>768</v>
      </c>
      <c r="E108" s="632">
        <v>6.0000000000000001E-3</v>
      </c>
      <c r="F108" s="632">
        <v>6.0000000000000001E-3</v>
      </c>
      <c r="G108" s="632">
        <v>6.0000000000000001E-3</v>
      </c>
      <c r="H108" s="632">
        <v>6.0000000000000001E-3</v>
      </c>
      <c r="I108" s="439" t="s">
        <v>768</v>
      </c>
      <c r="J108" s="439" t="s">
        <v>768</v>
      </c>
      <c r="K108" s="632">
        <v>6.0000000000000001E-3</v>
      </c>
      <c r="L108" s="632">
        <v>6.0000000000000001E-3</v>
      </c>
      <c r="M108" s="439" t="s">
        <v>768</v>
      </c>
      <c r="N108" s="632">
        <v>6.0000000000000001E-3</v>
      </c>
      <c r="O108" s="439" t="s">
        <v>768</v>
      </c>
      <c r="P108" s="632">
        <v>6.0000000000000001E-3</v>
      </c>
      <c r="Q108" s="632">
        <v>6.0000000000000001E-3</v>
      </c>
      <c r="R108" s="439" t="s">
        <v>768</v>
      </c>
    </row>
    <row r="109" spans="1:18">
      <c r="A109" s="492" t="s">
        <v>1281</v>
      </c>
      <c r="B109" s="239" t="s">
        <v>1165</v>
      </c>
      <c r="C109" s="639"/>
      <c r="D109" s="439" t="s">
        <v>768</v>
      </c>
      <c r="E109" s="632">
        <v>0.46</v>
      </c>
      <c r="F109" s="632">
        <v>0.46</v>
      </c>
      <c r="G109" s="632">
        <v>0.46</v>
      </c>
      <c r="H109" s="632">
        <v>0.46</v>
      </c>
      <c r="I109" s="439" t="s">
        <v>768</v>
      </c>
      <c r="J109" s="439" t="s">
        <v>768</v>
      </c>
      <c r="K109" s="632">
        <v>0.46</v>
      </c>
      <c r="L109" s="632">
        <v>0.46</v>
      </c>
      <c r="M109" s="439" t="s">
        <v>768</v>
      </c>
      <c r="N109" s="632">
        <v>0.46</v>
      </c>
      <c r="O109" s="439" t="s">
        <v>768</v>
      </c>
      <c r="P109" s="632">
        <v>0.46</v>
      </c>
      <c r="Q109" s="632">
        <v>0.46</v>
      </c>
      <c r="R109" s="439" t="s">
        <v>768</v>
      </c>
    </row>
    <row r="110" spans="1:18">
      <c r="A110" s="492" t="s">
        <v>1282</v>
      </c>
      <c r="B110" s="239" t="s">
        <v>1165</v>
      </c>
      <c r="C110" s="639"/>
      <c r="D110" s="439" t="s">
        <v>768</v>
      </c>
      <c r="E110" s="632">
        <v>0.05</v>
      </c>
      <c r="F110" s="632">
        <v>0.05</v>
      </c>
      <c r="G110" s="632">
        <v>0.05</v>
      </c>
      <c r="H110" s="632">
        <v>0.05</v>
      </c>
      <c r="I110" s="439" t="s">
        <v>768</v>
      </c>
      <c r="J110" s="439" t="s">
        <v>768</v>
      </c>
      <c r="K110" s="632">
        <v>0.05</v>
      </c>
      <c r="L110" s="632">
        <v>0.05</v>
      </c>
      <c r="M110" s="439" t="s">
        <v>768</v>
      </c>
      <c r="N110" s="632">
        <v>0.05</v>
      </c>
      <c r="O110" s="439" t="s">
        <v>768</v>
      </c>
      <c r="P110" s="632">
        <v>0.05</v>
      </c>
      <c r="Q110" s="632">
        <v>0.05</v>
      </c>
      <c r="R110" s="439" t="s">
        <v>768</v>
      </c>
    </row>
    <row r="111" spans="1:18">
      <c r="A111" s="481" t="s">
        <v>1283</v>
      </c>
      <c r="B111" s="433"/>
      <c r="C111" s="482"/>
      <c r="D111" s="434"/>
      <c r="E111" s="434"/>
      <c r="F111" s="434"/>
      <c r="G111" s="434"/>
      <c r="H111" s="434"/>
      <c r="I111" s="434"/>
      <c r="J111" s="433"/>
      <c r="K111" s="434"/>
      <c r="L111" s="434"/>
      <c r="M111" s="433"/>
      <c r="N111" s="433"/>
      <c r="O111" s="433"/>
      <c r="P111" s="434"/>
      <c r="Q111" s="434"/>
      <c r="R111" s="433"/>
    </row>
    <row r="112" spans="1:18">
      <c r="A112" s="492" t="s">
        <v>1284</v>
      </c>
      <c r="B112" s="239" t="s">
        <v>1285</v>
      </c>
      <c r="C112" s="639"/>
      <c r="D112" s="632">
        <v>1</v>
      </c>
      <c r="E112" s="632">
        <v>1</v>
      </c>
      <c r="F112" s="632">
        <v>1</v>
      </c>
      <c r="G112" s="632">
        <v>1</v>
      </c>
      <c r="H112" s="632">
        <v>1</v>
      </c>
      <c r="I112" s="632">
        <v>1</v>
      </c>
      <c r="J112" s="632">
        <v>1</v>
      </c>
      <c r="K112" s="632">
        <v>1</v>
      </c>
      <c r="L112" s="632">
        <v>1</v>
      </c>
      <c r="M112" s="632">
        <v>1</v>
      </c>
      <c r="N112" s="632">
        <v>1</v>
      </c>
      <c r="O112" s="632">
        <v>1</v>
      </c>
      <c r="P112" s="632">
        <v>1</v>
      </c>
      <c r="Q112" s="632">
        <v>1</v>
      </c>
      <c r="R112" s="632">
        <v>1</v>
      </c>
    </row>
    <row r="113" spans="1:18">
      <c r="A113" s="492" t="s">
        <v>1286</v>
      </c>
      <c r="B113" s="239" t="s">
        <v>1236</v>
      </c>
      <c r="C113" s="639"/>
      <c r="D113" s="632">
        <v>1</v>
      </c>
      <c r="E113" s="632">
        <v>1</v>
      </c>
      <c r="F113" s="632">
        <v>1</v>
      </c>
      <c r="G113" s="632">
        <v>1</v>
      </c>
      <c r="H113" s="632">
        <v>1</v>
      </c>
      <c r="I113" s="632">
        <v>1</v>
      </c>
      <c r="J113" s="632">
        <v>1</v>
      </c>
      <c r="K113" s="632">
        <v>1</v>
      </c>
      <c r="L113" s="632">
        <v>1</v>
      </c>
      <c r="M113" s="632">
        <v>1</v>
      </c>
      <c r="N113" s="632">
        <v>1</v>
      </c>
      <c r="O113" s="632">
        <v>1</v>
      </c>
      <c r="P113" s="632">
        <v>1</v>
      </c>
      <c r="Q113" s="632">
        <v>1</v>
      </c>
      <c r="R113" s="632">
        <v>1</v>
      </c>
    </row>
    <row r="114" spans="1:18" ht="14.5" customHeight="1">
      <c r="A114" s="864" t="s">
        <v>1287</v>
      </c>
      <c r="B114" s="812" t="s">
        <v>1288</v>
      </c>
      <c r="C114" s="661" t="s">
        <v>69</v>
      </c>
      <c r="D114" s="435">
        <v>2.5</v>
      </c>
      <c r="E114" s="439" t="s">
        <v>768</v>
      </c>
      <c r="F114" s="439" t="s">
        <v>768</v>
      </c>
      <c r="G114" s="435">
        <v>0</v>
      </c>
      <c r="H114" s="435">
        <v>0</v>
      </c>
      <c r="I114" s="439" t="s">
        <v>768</v>
      </c>
      <c r="J114" s="435">
        <v>0</v>
      </c>
      <c r="K114" s="435">
        <v>0</v>
      </c>
      <c r="L114" s="435">
        <v>0</v>
      </c>
      <c r="M114" s="439" t="s">
        <v>768</v>
      </c>
      <c r="N114" s="439" t="s">
        <v>768</v>
      </c>
      <c r="O114" s="439" t="s">
        <v>768</v>
      </c>
      <c r="P114" s="439" t="s">
        <v>768</v>
      </c>
      <c r="Q114" s="439" t="s">
        <v>768</v>
      </c>
      <c r="R114" s="439" t="s">
        <v>768</v>
      </c>
    </row>
    <row r="115" spans="1:18" ht="14.5" customHeight="1">
      <c r="A115" s="867"/>
      <c r="B115" s="813"/>
      <c r="C115" s="661" t="s">
        <v>67</v>
      </c>
      <c r="D115" s="435">
        <v>0.83</v>
      </c>
      <c r="E115" s="439" t="s">
        <v>768</v>
      </c>
      <c r="F115" s="439" t="s">
        <v>768</v>
      </c>
      <c r="G115" s="435">
        <v>0</v>
      </c>
      <c r="H115" s="435">
        <v>0</v>
      </c>
      <c r="I115" s="439" t="s">
        <v>768</v>
      </c>
      <c r="J115" s="435">
        <v>0</v>
      </c>
      <c r="K115" s="435">
        <v>0</v>
      </c>
      <c r="L115" s="435">
        <v>0</v>
      </c>
      <c r="M115" s="439" t="s">
        <v>768</v>
      </c>
      <c r="N115" s="439" t="s">
        <v>768</v>
      </c>
      <c r="O115" s="439" t="s">
        <v>768</v>
      </c>
      <c r="P115" s="439" t="s">
        <v>768</v>
      </c>
      <c r="Q115" s="439" t="s">
        <v>768</v>
      </c>
      <c r="R115" s="439" t="s">
        <v>768</v>
      </c>
    </row>
    <row r="116" spans="1:18" ht="14.5" customHeight="1">
      <c r="A116" s="868"/>
      <c r="B116" s="814"/>
      <c r="C116" s="661" t="s">
        <v>65</v>
      </c>
      <c r="D116" s="435">
        <v>0.42</v>
      </c>
      <c r="E116" s="439" t="s">
        <v>768</v>
      </c>
      <c r="F116" s="439" t="s">
        <v>768</v>
      </c>
      <c r="G116" s="435">
        <v>0</v>
      </c>
      <c r="H116" s="435">
        <v>0</v>
      </c>
      <c r="I116" s="439" t="s">
        <v>768</v>
      </c>
      <c r="J116" s="435">
        <v>0</v>
      </c>
      <c r="K116" s="435">
        <v>0</v>
      </c>
      <c r="L116" s="435">
        <v>0</v>
      </c>
      <c r="M116" s="439" t="s">
        <v>768</v>
      </c>
      <c r="N116" s="439" t="s">
        <v>768</v>
      </c>
      <c r="O116" s="439" t="s">
        <v>768</v>
      </c>
      <c r="P116" s="439" t="s">
        <v>768</v>
      </c>
      <c r="Q116" s="439" t="s">
        <v>768</v>
      </c>
      <c r="R116" s="439" t="s">
        <v>768</v>
      </c>
    </row>
    <row r="117" spans="1:18" ht="14.5" customHeight="1">
      <c r="A117" s="864" t="s">
        <v>1289</v>
      </c>
      <c r="B117" s="812" t="s">
        <v>1288</v>
      </c>
      <c r="C117" s="661" t="s">
        <v>69</v>
      </c>
      <c r="D117" s="435">
        <v>2.5</v>
      </c>
      <c r="E117" s="439" t="s">
        <v>768</v>
      </c>
      <c r="F117" s="439" t="s">
        <v>768</v>
      </c>
      <c r="G117" s="435">
        <v>0</v>
      </c>
      <c r="H117" s="435">
        <v>0</v>
      </c>
      <c r="I117" s="439" t="s">
        <v>768</v>
      </c>
      <c r="J117" s="435">
        <v>0</v>
      </c>
      <c r="K117" s="435">
        <v>0</v>
      </c>
      <c r="L117" s="435">
        <v>0</v>
      </c>
      <c r="M117" s="439" t="s">
        <v>768</v>
      </c>
      <c r="N117" s="439" t="s">
        <v>768</v>
      </c>
      <c r="O117" s="439" t="s">
        <v>768</v>
      </c>
      <c r="P117" s="439" t="s">
        <v>768</v>
      </c>
      <c r="Q117" s="439" t="s">
        <v>768</v>
      </c>
      <c r="R117" s="439" t="s">
        <v>768</v>
      </c>
    </row>
    <row r="118" spans="1:18" ht="14.5" customHeight="1">
      <c r="A118" s="865"/>
      <c r="B118" s="813"/>
      <c r="C118" s="661" t="s">
        <v>67</v>
      </c>
      <c r="D118" s="435">
        <v>0.83</v>
      </c>
      <c r="E118" s="439" t="s">
        <v>768</v>
      </c>
      <c r="F118" s="439" t="s">
        <v>768</v>
      </c>
      <c r="G118" s="435">
        <v>0</v>
      </c>
      <c r="H118" s="435">
        <v>0</v>
      </c>
      <c r="I118" s="439" t="s">
        <v>768</v>
      </c>
      <c r="J118" s="435">
        <v>0</v>
      </c>
      <c r="K118" s="435">
        <v>0</v>
      </c>
      <c r="L118" s="435">
        <v>0</v>
      </c>
      <c r="M118" s="439" t="s">
        <v>768</v>
      </c>
      <c r="N118" s="439" t="s">
        <v>768</v>
      </c>
      <c r="O118" s="439" t="s">
        <v>768</v>
      </c>
      <c r="P118" s="439" t="s">
        <v>768</v>
      </c>
      <c r="Q118" s="439" t="s">
        <v>768</v>
      </c>
      <c r="R118" s="439" t="s">
        <v>768</v>
      </c>
    </row>
    <row r="119" spans="1:18" ht="14.5" customHeight="1">
      <c r="A119" s="866"/>
      <c r="B119" s="814"/>
      <c r="C119" s="661" t="s">
        <v>65</v>
      </c>
      <c r="D119" s="435">
        <v>0.42</v>
      </c>
      <c r="E119" s="439" t="s">
        <v>768</v>
      </c>
      <c r="F119" s="439" t="s">
        <v>768</v>
      </c>
      <c r="G119" s="435">
        <v>0</v>
      </c>
      <c r="H119" s="435">
        <v>0</v>
      </c>
      <c r="I119" s="439" t="s">
        <v>768</v>
      </c>
      <c r="J119" s="435">
        <v>0</v>
      </c>
      <c r="K119" s="435">
        <v>0</v>
      </c>
      <c r="L119" s="435">
        <v>0</v>
      </c>
      <c r="M119" s="439" t="s">
        <v>768</v>
      </c>
      <c r="N119" s="439" t="s">
        <v>768</v>
      </c>
      <c r="O119" s="439" t="s">
        <v>768</v>
      </c>
      <c r="P119" s="439" t="s">
        <v>768</v>
      </c>
      <c r="Q119" s="439" t="s">
        <v>768</v>
      </c>
      <c r="R119" s="439" t="s">
        <v>768</v>
      </c>
    </row>
    <row r="120" spans="1:18" ht="14.5" customHeight="1">
      <c r="A120" s="660" t="s">
        <v>1290</v>
      </c>
      <c r="B120" s="661" t="s">
        <v>1288</v>
      </c>
      <c r="C120" s="661"/>
      <c r="D120" s="435">
        <v>0</v>
      </c>
      <c r="E120" s="439" t="s">
        <v>768</v>
      </c>
      <c r="F120" s="439" t="s">
        <v>768</v>
      </c>
      <c r="G120" s="435">
        <v>0</v>
      </c>
      <c r="H120" s="435">
        <v>0</v>
      </c>
      <c r="I120" s="439" t="s">
        <v>768</v>
      </c>
      <c r="J120" s="435">
        <v>0</v>
      </c>
      <c r="K120" s="435">
        <v>0</v>
      </c>
      <c r="L120" s="435">
        <v>0</v>
      </c>
      <c r="M120" s="439" t="s">
        <v>768</v>
      </c>
      <c r="N120" s="439" t="s">
        <v>768</v>
      </c>
      <c r="O120" s="439" t="s">
        <v>768</v>
      </c>
      <c r="P120" s="439" t="s">
        <v>768</v>
      </c>
      <c r="Q120" s="439" t="s">
        <v>768</v>
      </c>
      <c r="R120" s="439" t="s">
        <v>768</v>
      </c>
    </row>
    <row r="121" spans="1:18" ht="14.5" customHeight="1">
      <c r="A121" s="864" t="s">
        <v>1291</v>
      </c>
      <c r="B121" s="812" t="s">
        <v>1288</v>
      </c>
      <c r="C121" s="661" t="s">
        <v>69</v>
      </c>
      <c r="D121" s="435">
        <v>0</v>
      </c>
      <c r="E121" s="439" t="s">
        <v>768</v>
      </c>
      <c r="F121" s="439" t="s">
        <v>768</v>
      </c>
      <c r="G121" s="435">
        <v>0</v>
      </c>
      <c r="H121" s="435">
        <v>0</v>
      </c>
      <c r="I121" s="439" t="s">
        <v>768</v>
      </c>
      <c r="J121" s="435">
        <v>0.91</v>
      </c>
      <c r="K121" s="435">
        <v>0</v>
      </c>
      <c r="L121" s="435">
        <v>0</v>
      </c>
      <c r="M121" s="439" t="s">
        <v>768</v>
      </c>
      <c r="N121" s="439" t="s">
        <v>768</v>
      </c>
      <c r="O121" s="439" t="s">
        <v>768</v>
      </c>
      <c r="P121" s="439" t="s">
        <v>768</v>
      </c>
      <c r="Q121" s="439" t="s">
        <v>768</v>
      </c>
      <c r="R121" s="439" t="s">
        <v>768</v>
      </c>
    </row>
    <row r="122" spans="1:18" ht="14.5" customHeight="1">
      <c r="A122" s="865"/>
      <c r="B122" s="813"/>
      <c r="C122" s="661" t="s">
        <v>67</v>
      </c>
      <c r="D122" s="435">
        <v>0</v>
      </c>
      <c r="E122" s="439" t="s">
        <v>768</v>
      </c>
      <c r="F122" s="439" t="s">
        <v>768</v>
      </c>
      <c r="G122" s="435">
        <v>0</v>
      </c>
      <c r="H122" s="435">
        <v>0</v>
      </c>
      <c r="I122" s="439" t="s">
        <v>768</v>
      </c>
      <c r="J122" s="435">
        <v>0.6</v>
      </c>
      <c r="K122" s="435">
        <v>0</v>
      </c>
      <c r="L122" s="435">
        <v>0</v>
      </c>
      <c r="M122" s="439" t="s">
        <v>768</v>
      </c>
      <c r="N122" s="439" t="s">
        <v>768</v>
      </c>
      <c r="O122" s="439" t="s">
        <v>768</v>
      </c>
      <c r="P122" s="439" t="s">
        <v>768</v>
      </c>
      <c r="Q122" s="439" t="s">
        <v>768</v>
      </c>
      <c r="R122" s="439" t="s">
        <v>768</v>
      </c>
    </row>
    <row r="123" spans="1:18" ht="14.5" customHeight="1">
      <c r="A123" s="866"/>
      <c r="B123" s="814"/>
      <c r="C123" s="661" t="s">
        <v>65</v>
      </c>
      <c r="D123" s="435">
        <v>0</v>
      </c>
      <c r="E123" s="439" t="s">
        <v>768</v>
      </c>
      <c r="F123" s="439" t="s">
        <v>768</v>
      </c>
      <c r="G123" s="435">
        <v>0</v>
      </c>
      <c r="H123" s="435">
        <v>0</v>
      </c>
      <c r="I123" s="439" t="s">
        <v>768</v>
      </c>
      <c r="J123" s="435">
        <v>0.42</v>
      </c>
      <c r="K123" s="435">
        <v>0</v>
      </c>
      <c r="L123" s="435">
        <v>0</v>
      </c>
      <c r="M123" s="439" t="s">
        <v>768</v>
      </c>
      <c r="N123" s="439" t="s">
        <v>768</v>
      </c>
      <c r="O123" s="439" t="s">
        <v>768</v>
      </c>
      <c r="P123" s="439" t="s">
        <v>768</v>
      </c>
      <c r="Q123" s="439" t="s">
        <v>768</v>
      </c>
      <c r="R123" s="439" t="s">
        <v>768</v>
      </c>
    </row>
    <row r="124" spans="1:18" ht="14.5" customHeight="1">
      <c r="A124" s="864" t="s">
        <v>1292</v>
      </c>
      <c r="B124" s="812" t="s">
        <v>1288</v>
      </c>
      <c r="C124" s="661" t="s">
        <v>69</v>
      </c>
      <c r="D124" s="435">
        <v>0</v>
      </c>
      <c r="E124" s="439" t="s">
        <v>768</v>
      </c>
      <c r="F124" s="439" t="s">
        <v>768</v>
      </c>
      <c r="G124" s="435">
        <v>0.52</v>
      </c>
      <c r="H124" s="435">
        <v>0.52</v>
      </c>
      <c r="I124" s="439" t="s">
        <v>768</v>
      </c>
      <c r="J124" s="435">
        <v>0.91</v>
      </c>
      <c r="K124" s="435">
        <v>0.91</v>
      </c>
      <c r="L124" s="435">
        <v>0.91</v>
      </c>
      <c r="M124" s="439" t="s">
        <v>768</v>
      </c>
      <c r="N124" s="439" t="s">
        <v>768</v>
      </c>
      <c r="O124" s="439" t="s">
        <v>768</v>
      </c>
      <c r="P124" s="439" t="s">
        <v>768</v>
      </c>
      <c r="Q124" s="439" t="s">
        <v>768</v>
      </c>
      <c r="R124" s="439" t="s">
        <v>768</v>
      </c>
    </row>
    <row r="125" spans="1:18" ht="14.5" customHeight="1">
      <c r="A125" s="865"/>
      <c r="B125" s="813"/>
      <c r="C125" s="661" t="s">
        <v>67</v>
      </c>
      <c r="D125" s="435">
        <v>0</v>
      </c>
      <c r="E125" s="439" t="s">
        <v>768</v>
      </c>
      <c r="F125" s="439" t="s">
        <v>768</v>
      </c>
      <c r="G125" s="435">
        <v>0.3</v>
      </c>
      <c r="H125" s="435">
        <v>0.3</v>
      </c>
      <c r="I125" s="439" t="s">
        <v>768</v>
      </c>
      <c r="J125" s="435">
        <v>0.6</v>
      </c>
      <c r="K125" s="435">
        <v>0.6</v>
      </c>
      <c r="L125" s="435">
        <v>0.6</v>
      </c>
      <c r="M125" s="439" t="s">
        <v>768</v>
      </c>
      <c r="N125" s="439" t="s">
        <v>768</v>
      </c>
      <c r="O125" s="439" t="s">
        <v>768</v>
      </c>
      <c r="P125" s="439" t="s">
        <v>768</v>
      </c>
      <c r="Q125" s="439" t="s">
        <v>768</v>
      </c>
      <c r="R125" s="439" t="s">
        <v>768</v>
      </c>
    </row>
    <row r="126" spans="1:18" ht="14.5" customHeight="1">
      <c r="A126" s="866"/>
      <c r="B126" s="814"/>
      <c r="C126" s="661" t="s">
        <v>65</v>
      </c>
      <c r="D126" s="435">
        <v>0</v>
      </c>
      <c r="E126" s="439" t="s">
        <v>768</v>
      </c>
      <c r="F126" s="439" t="s">
        <v>768</v>
      </c>
      <c r="G126" s="435">
        <v>0.08</v>
      </c>
      <c r="H126" s="435">
        <v>0.08</v>
      </c>
      <c r="I126" s="439" t="s">
        <v>768</v>
      </c>
      <c r="J126" s="435">
        <v>0.42</v>
      </c>
      <c r="K126" s="435">
        <v>0.42</v>
      </c>
      <c r="L126" s="435">
        <v>0.42</v>
      </c>
      <c r="M126" s="439" t="s">
        <v>768</v>
      </c>
      <c r="N126" s="439" t="s">
        <v>768</v>
      </c>
      <c r="O126" s="439" t="s">
        <v>768</v>
      </c>
      <c r="P126" s="439" t="s">
        <v>768</v>
      </c>
      <c r="Q126" s="439" t="s">
        <v>768</v>
      </c>
      <c r="R126" s="439" t="s">
        <v>768</v>
      </c>
    </row>
    <row r="127" spans="1:18" ht="14.5" customHeight="1">
      <c r="A127" s="864" t="s">
        <v>1293</v>
      </c>
      <c r="B127" s="812" t="s">
        <v>1288</v>
      </c>
      <c r="C127" s="661" t="s">
        <v>69</v>
      </c>
      <c r="D127" s="435">
        <v>0</v>
      </c>
      <c r="E127" s="439" t="s">
        <v>768</v>
      </c>
      <c r="F127" s="439" t="s">
        <v>768</v>
      </c>
      <c r="G127" s="435">
        <v>0.69</v>
      </c>
      <c r="H127" s="435">
        <v>0.69</v>
      </c>
      <c r="I127" s="439" t="s">
        <v>768</v>
      </c>
      <c r="J127" s="435">
        <v>0</v>
      </c>
      <c r="K127" s="435">
        <v>0.96</v>
      </c>
      <c r="L127" s="435">
        <v>0.96</v>
      </c>
      <c r="M127" s="439" t="s">
        <v>768</v>
      </c>
      <c r="N127" s="439" t="s">
        <v>768</v>
      </c>
      <c r="O127" s="439" t="s">
        <v>768</v>
      </c>
      <c r="P127" s="439" t="s">
        <v>768</v>
      </c>
      <c r="Q127" s="439" t="s">
        <v>768</v>
      </c>
      <c r="R127" s="439" t="s">
        <v>768</v>
      </c>
    </row>
    <row r="128" spans="1:18" ht="14.5" customHeight="1">
      <c r="A128" s="865"/>
      <c r="B128" s="813"/>
      <c r="C128" s="661" t="s">
        <v>67</v>
      </c>
      <c r="D128" s="435">
        <v>0</v>
      </c>
      <c r="E128" s="439" t="s">
        <v>768</v>
      </c>
      <c r="F128" s="439" t="s">
        <v>768</v>
      </c>
      <c r="G128" s="435">
        <v>0.61</v>
      </c>
      <c r="H128" s="435">
        <v>0.61</v>
      </c>
      <c r="I128" s="439" t="s">
        <v>768</v>
      </c>
      <c r="J128" s="435">
        <v>0</v>
      </c>
      <c r="K128" s="435">
        <v>0.71</v>
      </c>
      <c r="L128" s="435">
        <v>0.71</v>
      </c>
      <c r="M128" s="439" t="s">
        <v>768</v>
      </c>
      <c r="N128" s="439" t="s">
        <v>768</v>
      </c>
      <c r="O128" s="439" t="s">
        <v>768</v>
      </c>
      <c r="P128" s="439" t="s">
        <v>768</v>
      </c>
      <c r="Q128" s="439" t="s">
        <v>768</v>
      </c>
      <c r="R128" s="439" t="s">
        <v>768</v>
      </c>
    </row>
    <row r="129" spans="1:18" ht="14.5" customHeight="1">
      <c r="A129" s="866"/>
      <c r="B129" s="814"/>
      <c r="C129" s="661" t="s">
        <v>65</v>
      </c>
      <c r="D129" s="435">
        <v>0</v>
      </c>
      <c r="E129" s="439" t="s">
        <v>768</v>
      </c>
      <c r="F129" s="439" t="s">
        <v>768</v>
      </c>
      <c r="G129" s="435">
        <v>0.4</v>
      </c>
      <c r="H129" s="435">
        <v>0.4</v>
      </c>
      <c r="I129" s="439" t="s">
        <v>768</v>
      </c>
      <c r="J129" s="435">
        <v>0</v>
      </c>
      <c r="K129" s="435">
        <v>0.51</v>
      </c>
      <c r="L129" s="435">
        <v>0.51</v>
      </c>
      <c r="M129" s="439" t="s">
        <v>768</v>
      </c>
      <c r="N129" s="439" t="s">
        <v>768</v>
      </c>
      <c r="O129" s="439" t="s">
        <v>768</v>
      </c>
      <c r="P129" s="439" t="s">
        <v>768</v>
      </c>
      <c r="Q129" s="439" t="s">
        <v>768</v>
      </c>
      <c r="R129" s="439" t="s">
        <v>768</v>
      </c>
    </row>
    <row r="130" spans="1:18" ht="14.5" customHeight="1">
      <c r="A130" s="864" t="s">
        <v>1294</v>
      </c>
      <c r="B130" s="812" t="s">
        <v>1288</v>
      </c>
      <c r="C130" s="661" t="s">
        <v>69</v>
      </c>
      <c r="D130" s="435">
        <v>0</v>
      </c>
      <c r="E130" s="439" t="s">
        <v>768</v>
      </c>
      <c r="F130" s="439" t="s">
        <v>768</v>
      </c>
      <c r="G130" s="435">
        <v>1.63</v>
      </c>
      <c r="H130" s="435">
        <v>1.63</v>
      </c>
      <c r="I130" s="439" t="s">
        <v>768</v>
      </c>
      <c r="J130" s="435">
        <v>0</v>
      </c>
      <c r="K130" s="435">
        <v>1.02</v>
      </c>
      <c r="L130" s="435">
        <v>1.02</v>
      </c>
      <c r="M130" s="439" t="s">
        <v>768</v>
      </c>
      <c r="N130" s="439" t="s">
        <v>768</v>
      </c>
      <c r="O130" s="439" t="s">
        <v>768</v>
      </c>
      <c r="P130" s="439" t="s">
        <v>768</v>
      </c>
      <c r="Q130" s="439" t="s">
        <v>768</v>
      </c>
      <c r="R130" s="439" t="s">
        <v>768</v>
      </c>
    </row>
    <row r="131" spans="1:18" ht="14.5" customHeight="1">
      <c r="A131" s="865"/>
      <c r="B131" s="813"/>
      <c r="C131" s="661" t="s">
        <v>67</v>
      </c>
      <c r="D131" s="435">
        <v>0</v>
      </c>
      <c r="E131" s="439" t="s">
        <v>768</v>
      </c>
      <c r="F131" s="439" t="s">
        <v>768</v>
      </c>
      <c r="G131" s="435">
        <v>0.95</v>
      </c>
      <c r="H131" s="435">
        <v>0.95</v>
      </c>
      <c r="I131" s="439" t="s">
        <v>768</v>
      </c>
      <c r="J131" s="435">
        <v>0</v>
      </c>
      <c r="K131" s="435">
        <v>0.61</v>
      </c>
      <c r="L131" s="435">
        <v>0.61</v>
      </c>
      <c r="M131" s="439" t="s">
        <v>768</v>
      </c>
      <c r="N131" s="439" t="s">
        <v>768</v>
      </c>
      <c r="O131" s="439" t="s">
        <v>768</v>
      </c>
      <c r="P131" s="439" t="s">
        <v>768</v>
      </c>
      <c r="Q131" s="439" t="s">
        <v>768</v>
      </c>
      <c r="R131" s="439" t="s">
        <v>768</v>
      </c>
    </row>
    <row r="132" spans="1:18" ht="14.5" customHeight="1">
      <c r="A132" s="866"/>
      <c r="B132" s="814"/>
      <c r="C132" s="661" t="s">
        <v>65</v>
      </c>
      <c r="D132" s="435">
        <v>0</v>
      </c>
      <c r="E132" s="439" t="s">
        <v>768</v>
      </c>
      <c r="F132" s="439" t="s">
        <v>768</v>
      </c>
      <c r="G132" s="435">
        <v>0.04</v>
      </c>
      <c r="H132" s="435">
        <v>0.04</v>
      </c>
      <c r="I132" s="439" t="s">
        <v>768</v>
      </c>
      <c r="J132" s="435">
        <v>0</v>
      </c>
      <c r="K132" s="435">
        <v>0.22</v>
      </c>
      <c r="L132" s="435">
        <v>0.22</v>
      </c>
      <c r="M132" s="439" t="s">
        <v>768</v>
      </c>
      <c r="N132" s="439" t="s">
        <v>768</v>
      </c>
      <c r="O132" s="439" t="s">
        <v>768</v>
      </c>
      <c r="P132" s="439" t="s">
        <v>768</v>
      </c>
      <c r="Q132" s="439" t="s">
        <v>768</v>
      </c>
      <c r="R132" s="439" t="s">
        <v>768</v>
      </c>
    </row>
    <row r="133" spans="1:18">
      <c r="D133" s="671"/>
      <c r="F133" s="671"/>
      <c r="H133" s="671"/>
    </row>
  </sheetData>
  <sheetProtection sheet="1" objects="1" scenarios="1" formatCells="0" formatColumns="0" formatRows="0" sort="0" autoFilter="0"/>
  <autoFilter ref="A18:S130" xr:uid="{69106680-0B38-4163-8870-02034BC131B3}"/>
  <sortState xmlns:xlrd2="http://schemas.microsoft.com/office/spreadsheetml/2017/richdata2" ref="AE37:AK38">
    <sortCondition descending="1" ref="AE35:AE37"/>
  </sortState>
  <mergeCells count="169">
    <mergeCell ref="AI38:AI40"/>
    <mergeCell ref="AJ38:AJ40"/>
    <mergeCell ref="AK38:AK40"/>
    <mergeCell ref="AI41:AI43"/>
    <mergeCell ref="AJ41:AJ43"/>
    <mergeCell ref="AK41:AK43"/>
    <mergeCell ref="AJ23:AJ25"/>
    <mergeCell ref="AK23:AK25"/>
    <mergeCell ref="AG35:AG37"/>
    <mergeCell ref="AI35:AI37"/>
    <mergeCell ref="AJ35:AJ37"/>
    <mergeCell ref="AK26:AK28"/>
    <mergeCell ref="AJ26:AJ28"/>
    <mergeCell ref="AI29:AI31"/>
    <mergeCell ref="AJ29:AJ31"/>
    <mergeCell ref="AK29:AK31"/>
    <mergeCell ref="AI32:AI34"/>
    <mergeCell ref="AJ32:AJ34"/>
    <mergeCell ref="AK32:AK34"/>
    <mergeCell ref="AK35:AK37"/>
    <mergeCell ref="AI26:AI28"/>
    <mergeCell ref="AG38:AG40"/>
    <mergeCell ref="AG41:AG43"/>
    <mergeCell ref="AI23:AI25"/>
    <mergeCell ref="A6:B6"/>
    <mergeCell ref="M16:M17"/>
    <mergeCell ref="I16:I17"/>
    <mergeCell ref="A9:B9"/>
    <mergeCell ref="A12:A14"/>
    <mergeCell ref="B12:B14"/>
    <mergeCell ref="O16:O17"/>
    <mergeCell ref="AC26:AC28"/>
    <mergeCell ref="AG26:AG28"/>
    <mergeCell ref="A16:C16"/>
    <mergeCell ref="A17:C17"/>
    <mergeCell ref="A20:A22"/>
    <mergeCell ref="B20:B22"/>
    <mergeCell ref="B38:B40"/>
    <mergeCell ref="A38:A40"/>
    <mergeCell ref="R16:R17"/>
    <mergeCell ref="AC29:AC31"/>
    <mergeCell ref="AG29:AG31"/>
    <mergeCell ref="AG32:AG34"/>
    <mergeCell ref="AC35:AC37"/>
    <mergeCell ref="AF35:AF37"/>
    <mergeCell ref="AC32:AC34"/>
    <mergeCell ref="AC23:AC25"/>
    <mergeCell ref="AC38:AC40"/>
    <mergeCell ref="AG59:AG61"/>
    <mergeCell ref="AG62:AG64"/>
    <mergeCell ref="AI44:AI46"/>
    <mergeCell ref="AJ44:AJ46"/>
    <mergeCell ref="A127:A129"/>
    <mergeCell ref="A130:A132"/>
    <mergeCell ref="B117:B119"/>
    <mergeCell ref="B121:B123"/>
    <mergeCell ref="B124:B126"/>
    <mergeCell ref="B127:B129"/>
    <mergeCell ref="B130:B132"/>
    <mergeCell ref="A114:A116"/>
    <mergeCell ref="B114:B116"/>
    <mergeCell ref="A117:A119"/>
    <mergeCell ref="A121:A123"/>
    <mergeCell ref="A124:A126"/>
    <mergeCell ref="A48:A50"/>
    <mergeCell ref="B48:B50"/>
    <mergeCell ref="AI47:AI49"/>
    <mergeCell ref="AJ47:AJ49"/>
    <mergeCell ref="AK47:AK49"/>
    <mergeCell ref="AC59:AC61"/>
    <mergeCell ref="AC62:AC64"/>
    <mergeCell ref="AC65:AC67"/>
    <mergeCell ref="AG65:AG67"/>
    <mergeCell ref="AC44:AC46"/>
    <mergeCell ref="AC47:AC49"/>
    <mergeCell ref="AC50:AC52"/>
    <mergeCell ref="AC53:AC55"/>
    <mergeCell ref="AC56:AC58"/>
    <mergeCell ref="AI59:AI61"/>
    <mergeCell ref="AJ59:AJ61"/>
    <mergeCell ref="AK59:AK61"/>
    <mergeCell ref="AI50:AI52"/>
    <mergeCell ref="AJ50:AJ52"/>
    <mergeCell ref="AK50:AK52"/>
    <mergeCell ref="AI53:AI55"/>
    <mergeCell ref="AJ53:AJ55"/>
    <mergeCell ref="AK53:AK55"/>
    <mergeCell ref="AG44:AG46"/>
    <mergeCell ref="AG47:AG49"/>
    <mergeCell ref="AG50:AG52"/>
    <mergeCell ref="AG53:AG55"/>
    <mergeCell ref="AG56:AG58"/>
    <mergeCell ref="AW29:AW31"/>
    <mergeCell ref="AX29:AX31"/>
    <mergeCell ref="AY29:AY31"/>
    <mergeCell ref="AQ26:AQ28"/>
    <mergeCell ref="AU26:AU28"/>
    <mergeCell ref="AW26:AW28"/>
    <mergeCell ref="AX26:AX28"/>
    <mergeCell ref="AY26:AY28"/>
    <mergeCell ref="AQ23:AQ25"/>
    <mergeCell ref="AU23:AU25"/>
    <mergeCell ref="AW23:AW25"/>
    <mergeCell ref="AX23:AX25"/>
    <mergeCell ref="AY23:AY25"/>
    <mergeCell ref="AW35:AW37"/>
    <mergeCell ref="AX35:AX37"/>
    <mergeCell ref="AY35:AY37"/>
    <mergeCell ref="AX32:AX34"/>
    <mergeCell ref="AY32:AY34"/>
    <mergeCell ref="AQ32:AQ34"/>
    <mergeCell ref="AT32:AT34"/>
    <mergeCell ref="AU32:AU34"/>
    <mergeCell ref="AW32:AW34"/>
    <mergeCell ref="AW41:AW43"/>
    <mergeCell ref="AX41:AX43"/>
    <mergeCell ref="AY41:AY43"/>
    <mergeCell ref="AQ50:AQ52"/>
    <mergeCell ref="AU50:AU52"/>
    <mergeCell ref="AW50:AW52"/>
    <mergeCell ref="AX50:AX52"/>
    <mergeCell ref="AY50:AY52"/>
    <mergeCell ref="AQ38:AQ40"/>
    <mergeCell ref="AU38:AU40"/>
    <mergeCell ref="AW38:AW40"/>
    <mergeCell ref="AX38:AX40"/>
    <mergeCell ref="AY38:AY40"/>
    <mergeCell ref="AW65:AW67"/>
    <mergeCell ref="AX65:AX67"/>
    <mergeCell ref="AY65:AY67"/>
    <mergeCell ref="AQ47:AQ49"/>
    <mergeCell ref="AU47:AU49"/>
    <mergeCell ref="AW47:AW49"/>
    <mergeCell ref="AX47:AX49"/>
    <mergeCell ref="AY47:AY49"/>
    <mergeCell ref="AQ44:AQ46"/>
    <mergeCell ref="AU44:AU46"/>
    <mergeCell ref="AW44:AW46"/>
    <mergeCell ref="AX44:AX46"/>
    <mergeCell ref="AY44:AY46"/>
    <mergeCell ref="AQ56:AQ58"/>
    <mergeCell ref="AU56:AU58"/>
    <mergeCell ref="AW56:AW58"/>
    <mergeCell ref="AX56:AX58"/>
    <mergeCell ref="AY56:AY58"/>
    <mergeCell ref="AC41:AC43"/>
    <mergeCell ref="AV26:AV28"/>
    <mergeCell ref="AS32:AS34"/>
    <mergeCell ref="AS38:AS40"/>
    <mergeCell ref="AT38:AT40"/>
    <mergeCell ref="AV41:AV43"/>
    <mergeCell ref="AQ65:AQ67"/>
    <mergeCell ref="AU65:AU67"/>
    <mergeCell ref="AQ41:AQ43"/>
    <mergeCell ref="AU41:AU43"/>
    <mergeCell ref="AQ35:AQ37"/>
    <mergeCell ref="AU35:AU37"/>
    <mergeCell ref="AQ29:AQ31"/>
    <mergeCell ref="AU29:AU31"/>
    <mergeCell ref="AI62:AI64"/>
    <mergeCell ref="AJ62:AJ64"/>
    <mergeCell ref="AK62:AK64"/>
    <mergeCell ref="AI65:AI67"/>
    <mergeCell ref="AJ65:AJ67"/>
    <mergeCell ref="AK65:AK67"/>
    <mergeCell ref="AI56:AI58"/>
    <mergeCell ref="AJ56:AJ58"/>
    <mergeCell ref="AK56:AK58"/>
    <mergeCell ref="AK44:AK46"/>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673C0-2E01-4CB1-8FE4-478A62E6F666}">
  <sheetPr codeName="Sheet11">
    <tabColor theme="8" tint="0.39997558519241921"/>
  </sheetPr>
  <dimension ref="A1:BO158"/>
  <sheetViews>
    <sheetView zoomScaleNormal="100" workbookViewId="0">
      <pane xSplit="3" ySplit="3" topLeftCell="D4" activePane="bottomRight" state="frozen"/>
      <selection pane="topRight" activeCell="O16" sqref="N16:P17"/>
      <selection pane="bottomLeft" activeCell="O16" sqref="N16:P17"/>
      <selection pane="bottomRight"/>
    </sheetView>
  </sheetViews>
  <sheetFormatPr defaultRowHeight="14.5"/>
  <cols>
    <col min="1" max="1" width="22.453125" style="671" customWidth="1"/>
    <col min="2" max="2" width="9.1796875" style="671" bestFit="1" customWidth="1"/>
    <col min="3" max="3" width="17.54296875" style="671" customWidth="1"/>
    <col min="4" max="4" width="9.1796875" style="671" customWidth="1"/>
    <col min="5" max="5" width="11" style="671" customWidth="1"/>
    <col min="6" max="6" width="10.54296875" style="671" customWidth="1"/>
    <col min="7" max="7" width="9.1796875" style="61" bestFit="1" customWidth="1"/>
    <col min="8" max="8" width="10" style="61" customWidth="1"/>
    <col min="9" max="9" width="10.1796875" style="61" customWidth="1"/>
    <col min="10" max="10" width="14.54296875" style="61" customWidth="1"/>
    <col min="11" max="11" width="9.453125" style="61" bestFit="1" customWidth="1"/>
    <col min="12" max="12" width="30.54296875" style="61" customWidth="1"/>
    <col min="13" max="15" width="9.1796875" style="671" customWidth="1"/>
    <col min="16" max="16" width="9.54296875" style="671" customWidth="1"/>
    <col min="17" max="17" width="10.54296875" style="671" customWidth="1"/>
    <col min="18" max="18" width="9.453125" style="671" customWidth="1"/>
    <col min="19" max="19" width="9.54296875" style="671" customWidth="1"/>
    <col min="20" max="22" width="9.1796875" style="671" customWidth="1"/>
    <col min="23" max="25" width="8.81640625" style="671" customWidth="1"/>
    <col min="26" max="26" width="9.54296875" style="671" customWidth="1"/>
    <col min="27" max="43" width="9.1796875" style="671" customWidth="1"/>
    <col min="44" max="44" width="10.54296875" style="671" customWidth="1"/>
    <col min="45" max="45" width="11" style="671" customWidth="1"/>
    <col min="46" max="47" width="9.1796875" style="671" customWidth="1"/>
    <col min="48" max="49" width="9.1796875" style="671" hidden="1" customWidth="1"/>
    <col min="50" max="50" width="11.1796875" style="671" hidden="1" customWidth="1"/>
    <col min="51" max="53" width="9.1796875" style="671" hidden="1" customWidth="1"/>
    <col min="54" max="55" width="12.26953125" style="671" customWidth="1"/>
    <col min="56" max="56" width="12.453125" style="671" customWidth="1"/>
    <col min="57" max="60" width="12" style="671" customWidth="1"/>
    <col min="61" max="63" width="10.453125" style="671" bestFit="1" customWidth="1"/>
    <col min="64" max="64" width="11.81640625" style="671" customWidth="1"/>
    <col min="65" max="65" width="11.54296875" style="671" customWidth="1"/>
    <col min="66" max="67" width="9.453125" style="671" bestFit="1" customWidth="1"/>
    <col min="68" max="16384" width="8.7265625" style="671"/>
  </cols>
  <sheetData>
    <row r="1" spans="1:67" s="667" customFormat="1" ht="19" thickBot="1">
      <c r="A1" s="523" t="s">
        <v>1347</v>
      </c>
      <c r="C1" s="617"/>
      <c r="D1" s="524"/>
      <c r="AH1" s="667">
        <f t="shared" ref="AH1:AN1" si="0">AI1-1</f>
        <v>35</v>
      </c>
      <c r="AI1" s="667">
        <f t="shared" si="0"/>
        <v>36</v>
      </c>
      <c r="AJ1" s="667">
        <f t="shared" si="0"/>
        <v>37</v>
      </c>
      <c r="AK1" s="667">
        <f t="shared" si="0"/>
        <v>38</v>
      </c>
      <c r="AL1" s="667">
        <f t="shared" si="0"/>
        <v>39</v>
      </c>
      <c r="AM1" s="667">
        <f t="shared" si="0"/>
        <v>40</v>
      </c>
      <c r="AN1" s="667">
        <f t="shared" si="0"/>
        <v>41</v>
      </c>
      <c r="AO1" s="667">
        <v>42</v>
      </c>
      <c r="AP1" s="667">
        <v>43</v>
      </c>
      <c r="AQ1" s="667">
        <v>44</v>
      </c>
      <c r="AR1" s="667">
        <f>AQ1+1</f>
        <v>45</v>
      </c>
      <c r="AS1" s="667">
        <f>AR1+1</f>
        <v>46</v>
      </c>
      <c r="AT1" s="667">
        <f>AS1+1</f>
        <v>47</v>
      </c>
      <c r="AU1" s="667">
        <f>AT1+1</f>
        <v>48</v>
      </c>
      <c r="AV1" s="525"/>
      <c r="AW1" s="525"/>
      <c r="AX1" s="526"/>
      <c r="BB1" s="905" t="s">
        <v>1348</v>
      </c>
      <c r="BC1" s="905"/>
      <c r="BD1" s="905"/>
      <c r="BE1" s="905"/>
      <c r="BF1" s="905"/>
      <c r="BG1" s="905"/>
      <c r="BH1" s="905"/>
      <c r="BI1" s="905"/>
      <c r="BJ1" s="905"/>
      <c r="BK1" s="905"/>
      <c r="BL1" s="905"/>
      <c r="BM1" s="905"/>
      <c r="BN1" s="905"/>
      <c r="BO1" s="905"/>
    </row>
    <row r="2" spans="1:67" s="667" customFormat="1" ht="48" customHeight="1" thickBot="1">
      <c r="A2" s="889" t="s">
        <v>1349</v>
      </c>
      <c r="B2" s="900" t="s">
        <v>1058</v>
      </c>
      <c r="C2" s="892" t="s">
        <v>1350</v>
      </c>
      <c r="D2" s="891" t="s">
        <v>1351</v>
      </c>
      <c r="E2" s="897"/>
      <c r="F2" s="898"/>
      <c r="G2" s="896" t="s">
        <v>1352</v>
      </c>
      <c r="H2" s="897"/>
      <c r="I2" s="897"/>
      <c r="J2" s="897"/>
      <c r="K2" s="897"/>
      <c r="L2" s="898"/>
      <c r="M2" s="891" t="s">
        <v>1353</v>
      </c>
      <c r="N2" s="892"/>
      <c r="O2" s="892"/>
      <c r="P2" s="892"/>
      <c r="Q2" s="892"/>
      <c r="R2" s="892"/>
      <c r="S2" s="899"/>
      <c r="T2" s="891" t="s">
        <v>1354</v>
      </c>
      <c r="U2" s="892"/>
      <c r="V2" s="892"/>
      <c r="W2" s="892"/>
      <c r="X2" s="892"/>
      <c r="Y2" s="892"/>
      <c r="Z2" s="892"/>
      <c r="AA2" s="891" t="s">
        <v>1355</v>
      </c>
      <c r="AB2" s="892"/>
      <c r="AC2" s="892"/>
      <c r="AD2" s="892"/>
      <c r="AE2" s="892"/>
      <c r="AF2" s="892"/>
      <c r="AG2" s="892"/>
      <c r="AH2" s="893" t="s">
        <v>1356</v>
      </c>
      <c r="AI2" s="894"/>
      <c r="AJ2" s="894"/>
      <c r="AK2" s="894"/>
      <c r="AL2" s="894"/>
      <c r="AM2" s="894"/>
      <c r="AN2" s="895"/>
      <c r="AO2" s="894" t="s">
        <v>1357</v>
      </c>
      <c r="AP2" s="894"/>
      <c r="AQ2" s="894"/>
      <c r="AR2" s="894"/>
      <c r="AS2" s="894"/>
      <c r="AT2" s="894"/>
      <c r="AU2" s="895"/>
      <c r="AV2" s="891" t="s">
        <v>1358</v>
      </c>
      <c r="AW2" s="892"/>
      <c r="AX2" s="892"/>
      <c r="AY2" s="891" t="s">
        <v>1359</v>
      </c>
      <c r="AZ2" s="892"/>
      <c r="BA2" s="906"/>
      <c r="BB2" s="902" t="s">
        <v>1360</v>
      </c>
      <c r="BC2" s="903"/>
      <c r="BD2" s="903"/>
      <c r="BE2" s="903"/>
      <c r="BF2" s="903"/>
      <c r="BG2" s="903"/>
      <c r="BH2" s="904"/>
      <c r="BI2" s="902" t="s">
        <v>1361</v>
      </c>
      <c r="BJ2" s="903"/>
      <c r="BK2" s="903"/>
      <c r="BL2" s="903"/>
      <c r="BM2" s="903"/>
      <c r="BN2" s="903"/>
      <c r="BO2" s="904"/>
    </row>
    <row r="3" spans="1:67" s="667" customFormat="1" ht="53.5" customHeight="1" thickBot="1">
      <c r="A3" s="890"/>
      <c r="B3" s="901"/>
      <c r="C3" s="738"/>
      <c r="D3" s="527" t="s">
        <v>1362</v>
      </c>
      <c r="E3" s="640" t="s">
        <v>1363</v>
      </c>
      <c r="F3" s="528" t="s">
        <v>1344</v>
      </c>
      <c r="G3" s="529" t="s">
        <v>1364</v>
      </c>
      <c r="H3" s="668" t="s">
        <v>1365</v>
      </c>
      <c r="I3" s="668" t="s">
        <v>1366</v>
      </c>
      <c r="J3" s="640" t="s">
        <v>1367</v>
      </c>
      <c r="K3" s="640" t="s">
        <v>1368</v>
      </c>
      <c r="L3" s="528" t="s">
        <v>1369</v>
      </c>
      <c r="M3" s="530" t="s">
        <v>1370</v>
      </c>
      <c r="N3" s="531" t="s">
        <v>1371</v>
      </c>
      <c r="O3" s="531" t="s">
        <v>1372</v>
      </c>
      <c r="P3" s="531" t="s">
        <v>1373</v>
      </c>
      <c r="Q3" s="531" t="s">
        <v>1374</v>
      </c>
      <c r="R3" s="531" t="s">
        <v>1375</v>
      </c>
      <c r="S3" s="532" t="s">
        <v>1376</v>
      </c>
      <c r="T3" s="530" t="s">
        <v>1370</v>
      </c>
      <c r="U3" s="531" t="s">
        <v>1371</v>
      </c>
      <c r="V3" s="531" t="s">
        <v>1372</v>
      </c>
      <c r="W3" s="531" t="s">
        <v>1373</v>
      </c>
      <c r="X3" s="531" t="s">
        <v>1374</v>
      </c>
      <c r="Y3" s="531" t="s">
        <v>1375</v>
      </c>
      <c r="Z3" s="531" t="s">
        <v>1376</v>
      </c>
      <c r="AA3" s="530" t="s">
        <v>1370</v>
      </c>
      <c r="AB3" s="531" t="s">
        <v>1371</v>
      </c>
      <c r="AC3" s="531" t="s">
        <v>1372</v>
      </c>
      <c r="AD3" s="531" t="s">
        <v>1373</v>
      </c>
      <c r="AE3" s="531" t="s">
        <v>1374</v>
      </c>
      <c r="AF3" s="531" t="s">
        <v>1375</v>
      </c>
      <c r="AG3" s="531" t="s">
        <v>1376</v>
      </c>
      <c r="AH3" s="527" t="s">
        <v>1370</v>
      </c>
      <c r="AI3" s="640" t="s">
        <v>1371</v>
      </c>
      <c r="AJ3" s="640" t="s">
        <v>1372</v>
      </c>
      <c r="AK3" s="640" t="s">
        <v>1373</v>
      </c>
      <c r="AL3" s="640" t="s">
        <v>1374</v>
      </c>
      <c r="AM3" s="640" t="s">
        <v>1375</v>
      </c>
      <c r="AN3" s="528" t="s">
        <v>1376</v>
      </c>
      <c r="AO3" s="640" t="s">
        <v>1370</v>
      </c>
      <c r="AP3" s="640" t="s">
        <v>1371</v>
      </c>
      <c r="AQ3" s="640" t="s">
        <v>1372</v>
      </c>
      <c r="AR3" s="640" t="s">
        <v>1373</v>
      </c>
      <c r="AS3" s="640" t="s">
        <v>1374</v>
      </c>
      <c r="AT3" s="640" t="s">
        <v>1375</v>
      </c>
      <c r="AU3" s="640" t="s">
        <v>1376</v>
      </c>
      <c r="AV3" s="530" t="s">
        <v>1377</v>
      </c>
      <c r="AW3" s="531" t="s">
        <v>1378</v>
      </c>
      <c r="AX3" s="533" t="s">
        <v>1379</v>
      </c>
      <c r="AY3" s="530" t="s">
        <v>1377</v>
      </c>
      <c r="AZ3" s="531" t="s">
        <v>1378</v>
      </c>
      <c r="BA3" s="534" t="s">
        <v>1379</v>
      </c>
      <c r="BB3" s="527" t="s">
        <v>1377</v>
      </c>
      <c r="BC3" s="640" t="s">
        <v>1380</v>
      </c>
      <c r="BD3" s="640" t="s">
        <v>1381</v>
      </c>
      <c r="BE3" s="640" t="s">
        <v>1382</v>
      </c>
      <c r="BF3" s="640" t="s">
        <v>1383</v>
      </c>
      <c r="BG3" s="640" t="s">
        <v>1384</v>
      </c>
      <c r="BH3" s="528" t="s">
        <v>1385</v>
      </c>
      <c r="BI3" s="527" t="s">
        <v>1377</v>
      </c>
      <c r="BJ3" s="535" t="s">
        <v>1380</v>
      </c>
      <c r="BK3" s="536" t="s">
        <v>1381</v>
      </c>
      <c r="BL3" s="536" t="s">
        <v>1382</v>
      </c>
      <c r="BM3" s="536" t="s">
        <v>1383</v>
      </c>
      <c r="BN3" s="536" t="s">
        <v>1384</v>
      </c>
      <c r="BO3" s="537" t="s">
        <v>1385</v>
      </c>
    </row>
    <row r="4" spans="1:67" s="667" customFormat="1" ht="14.5" customHeight="1">
      <c r="A4" s="886" t="str">
        <f>'Compiled Articles'!D6</f>
        <v>Adult Toys</v>
      </c>
      <c r="B4" s="461" t="s">
        <v>69</v>
      </c>
      <c r="C4" s="886" t="s">
        <v>454</v>
      </c>
      <c r="D4" s="527">
        <v>1</v>
      </c>
      <c r="E4" s="640">
        <v>1</v>
      </c>
      <c r="F4" s="640">
        <v>0</v>
      </c>
      <c r="G4" s="235">
        <f>'Compiled Articles'!D12</f>
        <v>60</v>
      </c>
      <c r="H4" s="235">
        <f>'Compiled Articles'!$D$11</f>
        <v>365</v>
      </c>
      <c r="I4" s="235">
        <v>1</v>
      </c>
      <c r="J4" s="538">
        <f>$F$88</f>
        <v>4.8000000000000001E-5</v>
      </c>
      <c r="K4" s="539">
        <f>J4*G4/60</f>
        <v>4.8000000000000001E-5</v>
      </c>
      <c r="L4" s="540" t="s">
        <v>1386</v>
      </c>
      <c r="M4" s="541">
        <f>(INDEX('Dermal Calcs'!$B$79:$H$85, MATCH($L4,'Dermal Calcs'!$A$79:$A$85, 0), MATCH(M$3, 'Dermal Calcs'!$B$78:$H$78, 0)))*$K4*$D4</f>
        <v>2.9730700179533224E-4</v>
      </c>
      <c r="N4" s="542">
        <f>(INDEX('Dermal Calcs'!$B$79:$H$85, MATCH($L4,'Dermal Calcs'!$A$79:$A$85, 0), MATCH(N$3, 'Dermal Calcs'!$B$78:$H$78, 0)))*$K4*$E4</f>
        <v>2.7821229050279333E-4</v>
      </c>
      <c r="O4" s="542">
        <f>(INDEX('Dermal Calcs'!$B$79:$H$85, MATCH($L4,'Dermal Calcs'!$A$79:$A$85, 0), MATCH(O$3, 'Dermal Calcs'!$B$78:$H$78, 0)))*$K4*0</f>
        <v>0</v>
      </c>
      <c r="P4" s="543">
        <f>(INDEX('Dermal Calcs'!$B$79:$H$85, MATCH($L4,'Dermal Calcs'!$A$79:$A$85, 0), MATCH(P$3, 'Dermal Calcs'!$B$78:$H$78, 0)))*$K4*$F4</f>
        <v>0</v>
      </c>
      <c r="Q4" s="543">
        <f>(INDEX('Dermal Calcs'!$B$79:$H$85, MATCH($L4,'Dermal Calcs'!$A$79:$A$85, 0), MATCH(Q$3, 'Dermal Calcs'!$B$78:$H$78, 0)))*$K4*$F4</f>
        <v>0</v>
      </c>
      <c r="R4" s="543">
        <f>(INDEX('Dermal Calcs'!$B$79:$H$85, MATCH($L4,'Dermal Calcs'!$A$79:$A$85, 0), MATCH(R$3, 'Dermal Calcs'!$B$78:$H$78, 0)))*$K4*$F4</f>
        <v>0</v>
      </c>
      <c r="S4" s="544">
        <f>(INDEX('Dermal Calcs'!$B$79:$H$85, MATCH($L4,'Dermal Calcs'!$A$79:$A$85, 0), MATCH(S$3, 'Dermal Calcs'!$B$78:$H$78, 0)))*$K4*$F4</f>
        <v>0</v>
      </c>
      <c r="T4" s="541">
        <f t="shared" ref="T4:T38" si="1">M4*$H4</f>
        <v>0.10851705565529626</v>
      </c>
      <c r="U4" s="542">
        <f t="shared" ref="U4:U38" si="2">N4*$H4</f>
        <v>0.10154748603351957</v>
      </c>
      <c r="V4" s="542">
        <f t="shared" ref="V4:V38" si="3">O4*$H4</f>
        <v>0</v>
      </c>
      <c r="W4" s="545">
        <f t="shared" ref="W4:W38" si="4">P4*$H4</f>
        <v>0</v>
      </c>
      <c r="X4" s="545">
        <f t="shared" ref="X4:X38" si="5">Q4*$H4</f>
        <v>0</v>
      </c>
      <c r="Y4" s="545">
        <f t="shared" ref="Y4:Y38" si="6">R4*$H4</f>
        <v>0</v>
      </c>
      <c r="Z4" s="545">
        <f t="shared" ref="Z4:Z38" si="7">S4*$H4</f>
        <v>0</v>
      </c>
      <c r="AA4" s="541">
        <f t="shared" ref="AA4:AA38" si="8">M4*$I4</f>
        <v>2.9730700179533224E-4</v>
      </c>
      <c r="AB4" s="542">
        <f t="shared" ref="AB4:AB38" si="9">N4*$I4</f>
        <v>2.7821229050279333E-4</v>
      </c>
      <c r="AC4" s="542">
        <f t="shared" ref="AC4:AC38" si="10">O4*$I4</f>
        <v>0</v>
      </c>
      <c r="AD4" s="545">
        <f t="shared" ref="AD4:AD38" si="11">P4*$I4</f>
        <v>0</v>
      </c>
      <c r="AE4" s="545">
        <f t="shared" ref="AE4:AE38" si="12">Q4*$I4</f>
        <v>0</v>
      </c>
      <c r="AF4" s="545">
        <f t="shared" ref="AF4:AF38" si="13">R4*$I4</f>
        <v>0</v>
      </c>
      <c r="AG4" s="545">
        <f t="shared" ref="AG4:AG38" si="14">S4*$I4</f>
        <v>0</v>
      </c>
      <c r="AH4" s="546">
        <f t="shared" ref="AH4:AH24" si="15">(T4*1000)/365</f>
        <v>0.2973070017953322</v>
      </c>
      <c r="AI4" s="547">
        <f t="shared" ref="AI4:AI24" si="16">(U4*1000)/365</f>
        <v>0.27821229050279334</v>
      </c>
      <c r="AJ4" s="547">
        <f t="shared" ref="AJ4:AJ24" si="17">(V4*1000)/365</f>
        <v>0</v>
      </c>
      <c r="AK4" s="547">
        <f t="shared" ref="AK4:AK24" si="18">(W4*1000)/365</f>
        <v>0</v>
      </c>
      <c r="AL4" s="547">
        <f t="shared" ref="AL4:AL24" si="19">(X4*1000)/365</f>
        <v>0</v>
      </c>
      <c r="AM4" s="547">
        <f t="shared" ref="AM4:AM24" si="20">(Y4*1000)/365</f>
        <v>0</v>
      </c>
      <c r="AN4" s="548">
        <f t="shared" ref="AN4:AN24" si="21">(Z4*1000)/365</f>
        <v>0</v>
      </c>
      <c r="AO4" s="547">
        <f>AA4*1000</f>
        <v>0.29730700179533226</v>
      </c>
      <c r="AP4" s="547">
        <f t="shared" ref="AP4:AP24" si="22">AB4*1000</f>
        <v>0.27821229050279334</v>
      </c>
      <c r="AQ4" s="547">
        <f t="shared" ref="AQ4:AQ24" si="23">AC4*1000</f>
        <v>0</v>
      </c>
      <c r="AR4" s="547">
        <f t="shared" ref="AR4:AR24" si="24">AD4*1000</f>
        <v>0</v>
      </c>
      <c r="AS4" s="547">
        <f t="shared" ref="AS4:AS24" si="25">AE4*1000</f>
        <v>0</v>
      </c>
      <c r="AT4" s="547">
        <f t="shared" ref="AT4:AT24" si="26">AF4*1000</f>
        <v>0</v>
      </c>
      <c r="AU4" s="548">
        <f t="shared" ref="AU4:AU24" si="27">AG4*1000</f>
        <v>0</v>
      </c>
      <c r="AV4" s="541">
        <f t="shared" ref="AV4:AV24" si="28">(T4*1000)/365</f>
        <v>0.2973070017953322</v>
      </c>
      <c r="AW4" s="542">
        <f t="shared" ref="AW4:AW24" si="29">(AVERAGE(U4:V4)*1000)/365</f>
        <v>0.13910614525139667</v>
      </c>
      <c r="AX4" s="545">
        <f t="shared" ref="AX4:AX24" si="30">(AVERAGE(W4:Z4)*1000)/365</f>
        <v>0</v>
      </c>
      <c r="AY4" s="541">
        <f t="shared" ref="AY4:AY24" si="31">AA4*1000</f>
        <v>0.29730700179533226</v>
      </c>
      <c r="AZ4" s="542">
        <f t="shared" ref="AZ4:AZ24" si="32">AVERAGE(AB4:AC4)*1000</f>
        <v>0.13910614525139667</v>
      </c>
      <c r="BA4" s="545">
        <f t="shared" ref="BA4:BA24" si="33">AVERAGE(AD4:AG4)*1000</f>
        <v>0</v>
      </c>
      <c r="BB4" s="549">
        <f t="shared" ref="BB4:BB6" si="34">1100/AH4</f>
        <v>3699.8792270531394</v>
      </c>
      <c r="BC4" s="549">
        <f t="shared" ref="BC4:BC6" si="35">1100/AI4</f>
        <v>3953.8152610441762</v>
      </c>
      <c r="BD4" s="550" t="s">
        <v>47</v>
      </c>
      <c r="BE4" s="550" t="s">
        <v>47</v>
      </c>
      <c r="BF4" s="550" t="s">
        <v>47</v>
      </c>
      <c r="BG4" s="550" t="s">
        <v>47</v>
      </c>
      <c r="BH4" s="550" t="s">
        <v>47</v>
      </c>
      <c r="BI4" s="551">
        <f>1100/AO4</f>
        <v>3699.8792270531385</v>
      </c>
      <c r="BJ4" s="551">
        <f>1100/AP4</f>
        <v>3953.8152610441762</v>
      </c>
      <c r="BK4" s="550" t="s">
        <v>47</v>
      </c>
      <c r="BL4" s="550" t="s">
        <v>47</v>
      </c>
      <c r="BM4" s="550" t="s">
        <v>47</v>
      </c>
      <c r="BN4" s="550" t="s">
        <v>47</v>
      </c>
      <c r="BO4" s="552" t="s">
        <v>47</v>
      </c>
    </row>
    <row r="5" spans="1:67" s="667" customFormat="1" ht="14.5" customHeight="1">
      <c r="A5" s="887"/>
      <c r="B5" s="461" t="s">
        <v>1065</v>
      </c>
      <c r="C5" s="887"/>
      <c r="D5" s="527">
        <v>1</v>
      </c>
      <c r="E5" s="640">
        <v>1</v>
      </c>
      <c r="F5" s="640">
        <v>0</v>
      </c>
      <c r="G5" s="235">
        <f>'Compiled Articles'!D13</f>
        <v>30</v>
      </c>
      <c r="H5" s="235">
        <f>'Compiled Articles'!$D$11</f>
        <v>365</v>
      </c>
      <c r="I5" s="235">
        <v>1</v>
      </c>
      <c r="J5" s="538">
        <f>$F$88</f>
        <v>4.8000000000000001E-5</v>
      </c>
      <c r="K5" s="539">
        <f t="shared" ref="K5:K53" si="36">J5*G5/60</f>
        <v>2.4000000000000001E-5</v>
      </c>
      <c r="L5" s="553" t="s">
        <v>1386</v>
      </c>
      <c r="M5" s="541">
        <f>(INDEX('Dermal Calcs'!$B$79:$H$85, MATCH($L5,'Dermal Calcs'!$A$79:$A$85, 0), MATCH(M$3, 'Dermal Calcs'!$B$78:$H$78, 0)))*$K5*$D5</f>
        <v>1.4865350089766612E-4</v>
      </c>
      <c r="N5" s="542">
        <f>(INDEX('Dermal Calcs'!$B$79:$H$85, MATCH($L5,'Dermal Calcs'!$A$79:$A$85, 0), MATCH(N$3, 'Dermal Calcs'!$B$78:$H$78, 0)))*$K5*$E5</f>
        <v>1.3910614525139666E-4</v>
      </c>
      <c r="O5" s="542">
        <f>(INDEX('Dermal Calcs'!$B$79:$H$85, MATCH($L5,'Dermal Calcs'!$A$79:$A$85, 0), MATCH(O$3, 'Dermal Calcs'!$B$78:$H$78, 0)))*$K5*0</f>
        <v>0</v>
      </c>
      <c r="P5" s="543">
        <f>(INDEX('Dermal Calcs'!$B$79:$H$85, MATCH($L5,'Dermal Calcs'!$A$79:$A$85, 0), MATCH(P$3, 'Dermal Calcs'!$B$78:$H$78, 0)))*$K5*$F5</f>
        <v>0</v>
      </c>
      <c r="Q5" s="543">
        <f>(INDEX('Dermal Calcs'!$B$79:$H$85, MATCH($L5,'Dermal Calcs'!$A$79:$A$85, 0), MATCH(Q$3, 'Dermal Calcs'!$B$78:$H$78, 0)))*$K5*$F5</f>
        <v>0</v>
      </c>
      <c r="R5" s="543">
        <f>(INDEX('Dermal Calcs'!$B$79:$H$85, MATCH($L5,'Dermal Calcs'!$A$79:$A$85, 0), MATCH(R$3, 'Dermal Calcs'!$B$78:$H$78, 0)))*$K5*$F5</f>
        <v>0</v>
      </c>
      <c r="S5" s="544">
        <f>(INDEX('Dermal Calcs'!$B$79:$H$85, MATCH($L5,'Dermal Calcs'!$A$79:$A$85, 0), MATCH(S$3, 'Dermal Calcs'!$B$78:$H$78, 0)))*$K5*$F5</f>
        <v>0</v>
      </c>
      <c r="T5" s="554">
        <f t="shared" si="1"/>
        <v>5.4258527827648131E-2</v>
      </c>
      <c r="U5" s="555">
        <f t="shared" si="2"/>
        <v>5.0773743016759784E-2</v>
      </c>
      <c r="V5" s="555">
        <f t="shared" si="3"/>
        <v>0</v>
      </c>
      <c r="W5" s="556">
        <f t="shared" si="4"/>
        <v>0</v>
      </c>
      <c r="X5" s="556">
        <f t="shared" si="5"/>
        <v>0</v>
      </c>
      <c r="Y5" s="556">
        <f t="shared" si="6"/>
        <v>0</v>
      </c>
      <c r="Z5" s="556">
        <f t="shared" si="7"/>
        <v>0</v>
      </c>
      <c r="AA5" s="554">
        <f t="shared" si="8"/>
        <v>1.4865350089766612E-4</v>
      </c>
      <c r="AB5" s="555">
        <f t="shared" si="9"/>
        <v>1.3910614525139666E-4</v>
      </c>
      <c r="AC5" s="555">
        <f t="shared" si="10"/>
        <v>0</v>
      </c>
      <c r="AD5" s="556">
        <f t="shared" si="11"/>
        <v>0</v>
      </c>
      <c r="AE5" s="556">
        <f t="shared" si="12"/>
        <v>0</v>
      </c>
      <c r="AF5" s="556">
        <f t="shared" si="13"/>
        <v>0</v>
      </c>
      <c r="AG5" s="556">
        <f t="shared" si="14"/>
        <v>0</v>
      </c>
      <c r="AH5" s="546">
        <f t="shared" si="15"/>
        <v>0.1486535008976661</v>
      </c>
      <c r="AI5" s="547">
        <f t="shared" si="16"/>
        <v>0.13910614525139667</v>
      </c>
      <c r="AJ5" s="547">
        <f t="shared" si="17"/>
        <v>0</v>
      </c>
      <c r="AK5" s="547">
        <f t="shared" si="18"/>
        <v>0</v>
      </c>
      <c r="AL5" s="547">
        <f t="shared" si="19"/>
        <v>0</v>
      </c>
      <c r="AM5" s="547">
        <f t="shared" si="20"/>
        <v>0</v>
      </c>
      <c r="AN5" s="548">
        <f t="shared" si="21"/>
        <v>0</v>
      </c>
      <c r="AO5" s="547">
        <f t="shared" ref="AO5:AO24" si="37">AA5*1000</f>
        <v>0.14865350089766613</v>
      </c>
      <c r="AP5" s="547">
        <f t="shared" si="22"/>
        <v>0.13910614525139667</v>
      </c>
      <c r="AQ5" s="547">
        <f t="shared" si="23"/>
        <v>0</v>
      </c>
      <c r="AR5" s="547">
        <f t="shared" si="24"/>
        <v>0</v>
      </c>
      <c r="AS5" s="547">
        <f t="shared" si="25"/>
        <v>0</v>
      </c>
      <c r="AT5" s="547">
        <f t="shared" si="26"/>
        <v>0</v>
      </c>
      <c r="AU5" s="548">
        <f t="shared" si="27"/>
        <v>0</v>
      </c>
      <c r="AV5" s="554">
        <f t="shared" si="28"/>
        <v>0.1486535008976661</v>
      </c>
      <c r="AW5" s="555">
        <f t="shared" si="29"/>
        <v>6.9553072625698334E-2</v>
      </c>
      <c r="AX5" s="556">
        <f t="shared" si="30"/>
        <v>0</v>
      </c>
      <c r="AY5" s="554">
        <f t="shared" si="31"/>
        <v>0.14865350089766613</v>
      </c>
      <c r="AZ5" s="555">
        <f t="shared" si="32"/>
        <v>6.9553072625698334E-2</v>
      </c>
      <c r="BA5" s="556">
        <f t="shared" si="33"/>
        <v>0</v>
      </c>
      <c r="BB5" s="549">
        <f t="shared" si="34"/>
        <v>7399.7584541062788</v>
      </c>
      <c r="BC5" s="549">
        <f t="shared" si="35"/>
        <v>7907.6305220883523</v>
      </c>
      <c r="BD5" s="557" t="s">
        <v>47</v>
      </c>
      <c r="BE5" s="557" t="s">
        <v>47</v>
      </c>
      <c r="BF5" s="557" t="s">
        <v>47</v>
      </c>
      <c r="BG5" s="557" t="s">
        <v>47</v>
      </c>
      <c r="BH5" s="558" t="s">
        <v>47</v>
      </c>
      <c r="BI5" s="551">
        <f t="shared" ref="BI5:BI15" si="38">1100/AO5</f>
        <v>7399.758454106277</v>
      </c>
      <c r="BJ5" s="551">
        <f t="shared" ref="BJ5:BJ21" si="39">1100/AP5</f>
        <v>7907.6305220883523</v>
      </c>
      <c r="BK5" s="557" t="s">
        <v>47</v>
      </c>
      <c r="BL5" s="557" t="s">
        <v>47</v>
      </c>
      <c r="BM5" s="557" t="s">
        <v>47</v>
      </c>
      <c r="BN5" s="557" t="s">
        <v>47</v>
      </c>
      <c r="BO5" s="558" t="s">
        <v>47</v>
      </c>
    </row>
    <row r="6" spans="1:67" s="564" customFormat="1" ht="14.5" customHeight="1">
      <c r="A6" s="888"/>
      <c r="B6" s="559" t="s">
        <v>65</v>
      </c>
      <c r="C6" s="888"/>
      <c r="D6" s="530">
        <v>1</v>
      </c>
      <c r="E6" s="531">
        <v>1</v>
      </c>
      <c r="F6" s="531">
        <v>0</v>
      </c>
      <c r="G6" s="235">
        <f>'Compiled Articles'!D14</f>
        <v>15</v>
      </c>
      <c r="H6" s="235">
        <f>'Compiled Articles'!$D$11</f>
        <v>365</v>
      </c>
      <c r="I6" s="235">
        <v>1</v>
      </c>
      <c r="J6" s="538">
        <f>$F$88</f>
        <v>4.8000000000000001E-5</v>
      </c>
      <c r="K6" s="539">
        <f t="shared" si="36"/>
        <v>1.2E-5</v>
      </c>
      <c r="L6" s="560" t="s">
        <v>1386</v>
      </c>
      <c r="M6" s="541">
        <f>(INDEX('Dermal Calcs'!$B$79:$H$85, MATCH($L6,'Dermal Calcs'!$A$79:$A$85, 0), MATCH(M$3, 'Dermal Calcs'!$B$78:$H$78, 0)))*$K6*$D6</f>
        <v>7.432675044883306E-5</v>
      </c>
      <c r="N6" s="542">
        <f>(INDEX('Dermal Calcs'!$B$79:$H$85, MATCH($L6,'Dermal Calcs'!$A$79:$A$85, 0), MATCH(N$3, 'Dermal Calcs'!$B$78:$H$78, 0)))*$K6*$E6</f>
        <v>6.9553072625698332E-5</v>
      </c>
      <c r="O6" s="542">
        <f>(INDEX('Dermal Calcs'!$B$79:$H$85, MATCH($L6,'Dermal Calcs'!$A$79:$A$85, 0), MATCH(O$3, 'Dermal Calcs'!$B$78:$H$78, 0)))*$K6*0</f>
        <v>0</v>
      </c>
      <c r="P6" s="543">
        <f>(INDEX('Dermal Calcs'!$B$79:$H$85, MATCH($L6,'Dermal Calcs'!$A$79:$A$85, 0), MATCH(P$3, 'Dermal Calcs'!$B$78:$H$78, 0)))*$K6*$F6</f>
        <v>0</v>
      </c>
      <c r="Q6" s="543">
        <f>(INDEX('Dermal Calcs'!$B$79:$H$85, MATCH($L6,'Dermal Calcs'!$A$79:$A$85, 0), MATCH(Q$3, 'Dermal Calcs'!$B$78:$H$78, 0)))*$K6*$F6</f>
        <v>0</v>
      </c>
      <c r="R6" s="543">
        <f>(INDEX('Dermal Calcs'!$B$79:$H$85, MATCH($L6,'Dermal Calcs'!$A$79:$A$85, 0), MATCH(R$3, 'Dermal Calcs'!$B$78:$H$78, 0)))*$K6*$F6</f>
        <v>0</v>
      </c>
      <c r="S6" s="544">
        <f>(INDEX('Dermal Calcs'!$B$79:$H$85, MATCH($L6,'Dermal Calcs'!$A$79:$A$85, 0), MATCH(S$3, 'Dermal Calcs'!$B$78:$H$78, 0)))*$K6*$F6</f>
        <v>0</v>
      </c>
      <c r="T6" s="561">
        <f t="shared" si="1"/>
        <v>2.7129263913824066E-2</v>
      </c>
      <c r="U6" s="562">
        <f t="shared" si="2"/>
        <v>2.5386871508379892E-2</v>
      </c>
      <c r="V6" s="562">
        <f t="shared" si="3"/>
        <v>0</v>
      </c>
      <c r="W6" s="563">
        <f t="shared" si="4"/>
        <v>0</v>
      </c>
      <c r="X6" s="563">
        <f t="shared" si="5"/>
        <v>0</v>
      </c>
      <c r="Y6" s="563">
        <f t="shared" si="6"/>
        <v>0</v>
      </c>
      <c r="Z6" s="563">
        <f t="shared" si="7"/>
        <v>0</v>
      </c>
      <c r="AA6" s="561">
        <f t="shared" si="8"/>
        <v>7.432675044883306E-5</v>
      </c>
      <c r="AB6" s="562">
        <f t="shared" si="9"/>
        <v>6.9553072625698332E-5</v>
      </c>
      <c r="AC6" s="562">
        <f t="shared" si="10"/>
        <v>0</v>
      </c>
      <c r="AD6" s="563">
        <f t="shared" si="11"/>
        <v>0</v>
      </c>
      <c r="AE6" s="563">
        <f t="shared" si="12"/>
        <v>0</v>
      </c>
      <c r="AF6" s="563">
        <f t="shared" si="13"/>
        <v>0</v>
      </c>
      <c r="AG6" s="563">
        <f t="shared" si="14"/>
        <v>0</v>
      </c>
      <c r="AH6" s="546">
        <f t="shared" si="15"/>
        <v>7.4326750448833051E-2</v>
      </c>
      <c r="AI6" s="547">
        <f t="shared" si="16"/>
        <v>6.9553072625698334E-2</v>
      </c>
      <c r="AJ6" s="547">
        <f t="shared" si="17"/>
        <v>0</v>
      </c>
      <c r="AK6" s="547">
        <f t="shared" si="18"/>
        <v>0</v>
      </c>
      <c r="AL6" s="547">
        <f t="shared" si="19"/>
        <v>0</v>
      </c>
      <c r="AM6" s="547">
        <f t="shared" si="20"/>
        <v>0</v>
      </c>
      <c r="AN6" s="548">
        <f t="shared" si="21"/>
        <v>0</v>
      </c>
      <c r="AO6" s="547">
        <f t="shared" si="37"/>
        <v>7.4326750448833065E-2</v>
      </c>
      <c r="AP6" s="547">
        <f t="shared" si="22"/>
        <v>6.9553072625698334E-2</v>
      </c>
      <c r="AQ6" s="547">
        <f t="shared" si="23"/>
        <v>0</v>
      </c>
      <c r="AR6" s="547">
        <f t="shared" si="24"/>
        <v>0</v>
      </c>
      <c r="AS6" s="547">
        <f t="shared" si="25"/>
        <v>0</v>
      </c>
      <c r="AT6" s="547">
        <f t="shared" si="26"/>
        <v>0</v>
      </c>
      <c r="AU6" s="548">
        <f t="shared" si="27"/>
        <v>0</v>
      </c>
      <c r="AV6" s="561">
        <f t="shared" si="28"/>
        <v>7.4326750448833051E-2</v>
      </c>
      <c r="AW6" s="562">
        <f t="shared" si="29"/>
        <v>3.4776536312849167E-2</v>
      </c>
      <c r="AX6" s="563">
        <f t="shared" si="30"/>
        <v>0</v>
      </c>
      <c r="AY6" s="561">
        <f t="shared" si="31"/>
        <v>7.4326750448833065E-2</v>
      </c>
      <c r="AZ6" s="562">
        <f t="shared" si="32"/>
        <v>3.4776536312849167E-2</v>
      </c>
      <c r="BA6" s="563">
        <f t="shared" si="33"/>
        <v>0</v>
      </c>
      <c r="BB6" s="549">
        <f t="shared" si="34"/>
        <v>14799.516908212558</v>
      </c>
      <c r="BC6" s="549">
        <f t="shared" si="35"/>
        <v>15815.261044176705</v>
      </c>
      <c r="BD6" s="557" t="s">
        <v>47</v>
      </c>
      <c r="BE6" s="557" t="s">
        <v>47</v>
      </c>
      <c r="BF6" s="557" t="s">
        <v>47</v>
      </c>
      <c r="BG6" s="557" t="s">
        <v>47</v>
      </c>
      <c r="BH6" s="558" t="s">
        <v>47</v>
      </c>
      <c r="BI6" s="551">
        <f t="shared" si="38"/>
        <v>14799.516908212554</v>
      </c>
      <c r="BJ6" s="551">
        <f t="shared" si="39"/>
        <v>15815.261044176705</v>
      </c>
      <c r="BK6" s="557" t="s">
        <v>47</v>
      </c>
      <c r="BL6" s="557" t="s">
        <v>47</v>
      </c>
      <c r="BM6" s="557" t="s">
        <v>47</v>
      </c>
      <c r="BN6" s="557" t="s">
        <v>47</v>
      </c>
      <c r="BO6" s="558" t="s">
        <v>47</v>
      </c>
    </row>
    <row r="7" spans="1:67" s="667" customFormat="1" ht="14.5" customHeight="1">
      <c r="A7" s="886" t="str">
        <f>'Compiled Articles'!E6</f>
        <v>Air Beds</v>
      </c>
      <c r="B7" s="461" t="s">
        <v>69</v>
      </c>
      <c r="C7" s="886" t="s">
        <v>1387</v>
      </c>
      <c r="D7" s="527">
        <v>1</v>
      </c>
      <c r="E7" s="640">
        <v>1</v>
      </c>
      <c r="F7" s="640">
        <v>1</v>
      </c>
      <c r="G7" s="235">
        <f>'Compiled Articles'!E12</f>
        <v>857</v>
      </c>
      <c r="H7" s="235">
        <f>'Compiled Articles'!$E$11</f>
        <v>36</v>
      </c>
      <c r="I7" s="235">
        <v>1</v>
      </c>
      <c r="J7" s="538">
        <f>$A$98</f>
        <v>1.6459650000000001E-5</v>
      </c>
      <c r="K7" s="539">
        <f t="shared" si="36"/>
        <v>2.3509866750000001E-4</v>
      </c>
      <c r="L7" s="540" t="s">
        <v>1388</v>
      </c>
      <c r="M7" s="541">
        <f>(INDEX('Dermal Calcs'!$B$79:$H$85, MATCH($L7,'Dermal Calcs'!$A$79:$A$85, 0), MATCH(M$3, 'Dermal Calcs'!$B$78:$H$78, 0)))*$K7*$D7</f>
        <v>3.7035921832813128E-3</v>
      </c>
      <c r="N7" s="542">
        <f>(INDEX('Dermal Calcs'!$B$79:$H$85, MATCH($L7,'Dermal Calcs'!$A$79:$A$85, 0), MATCH(N$3, 'Dermal Calcs'!$B$78:$H$78, 0)))*$K7*$E7</f>
        <v>3.5051372563722071E-3</v>
      </c>
      <c r="O7" s="542">
        <f>(INDEX('Dermal Calcs'!$B$79:$H$85, MATCH($L7,'Dermal Calcs'!$A$79:$A$85, 0), MATCH(O$3, 'Dermal Calcs'!$B$78:$H$78, 0)))*$K7*$E7</f>
        <v>3.8493267742077471E-3</v>
      </c>
      <c r="P7" s="543">
        <f>(INDEX('Dermal Calcs'!$B$79:$H$85, MATCH($L7,'Dermal Calcs'!$A$79:$A$85, 0), MATCH(P$3, 'Dermal Calcs'!$B$78:$H$78, 0)))*$K7*$F7</f>
        <v>4.95333670518868E-3</v>
      </c>
      <c r="Q7" s="543">
        <f>(INDEX('Dermal Calcs'!$B$79:$H$85, MATCH($L7,'Dermal Calcs'!$A$79:$A$85, 0), MATCH(Q$3, 'Dermal Calcs'!$B$78:$H$78, 0)))*$K7*$F7</f>
        <v>6.4462537862903227E-3</v>
      </c>
      <c r="R7" s="543">
        <f>(INDEX('Dermal Calcs'!$B$79:$H$85, MATCH($L7,'Dermal Calcs'!$A$79:$A$85, 0), MATCH(R$3, 'Dermal Calcs'!$B$78:$H$78, 0)))*$K7*$F7</f>
        <v>8.2331180186011894E-3</v>
      </c>
      <c r="S7" s="544">
        <f>(INDEX('Dermal Calcs'!$B$79:$H$85, MATCH($L7,'Dermal Calcs'!$A$79:$A$85, 0), MATCH(S$3, 'Dermal Calcs'!$B$78:$H$78, 0)))*$K7*$F7</f>
        <v>1.9264334961901594E-2</v>
      </c>
      <c r="T7" s="541">
        <f t="shared" si="1"/>
        <v>0.13332931859812727</v>
      </c>
      <c r="U7" s="542">
        <f t="shared" si="2"/>
        <v>0.12618494122939947</v>
      </c>
      <c r="V7" s="542">
        <f t="shared" si="3"/>
        <v>0.13857576387147891</v>
      </c>
      <c r="W7" s="545">
        <f t="shared" si="4"/>
        <v>0.17832012138679249</v>
      </c>
      <c r="X7" s="545">
        <f t="shared" si="5"/>
        <v>0.23206513630645162</v>
      </c>
      <c r="Y7" s="545">
        <f t="shared" si="6"/>
        <v>0.29639224866964281</v>
      </c>
      <c r="Z7" s="545">
        <f t="shared" si="7"/>
        <v>0.69351605862845744</v>
      </c>
      <c r="AA7" s="541">
        <f t="shared" si="8"/>
        <v>3.7035921832813128E-3</v>
      </c>
      <c r="AB7" s="542">
        <f t="shared" si="9"/>
        <v>3.5051372563722071E-3</v>
      </c>
      <c r="AC7" s="542">
        <f t="shared" si="10"/>
        <v>3.8493267742077471E-3</v>
      </c>
      <c r="AD7" s="545">
        <f t="shared" si="11"/>
        <v>4.95333670518868E-3</v>
      </c>
      <c r="AE7" s="545">
        <f t="shared" si="12"/>
        <v>6.4462537862903227E-3</v>
      </c>
      <c r="AF7" s="545">
        <f t="shared" si="13"/>
        <v>8.2331180186011894E-3</v>
      </c>
      <c r="AG7" s="545">
        <f t="shared" si="14"/>
        <v>1.9264334961901594E-2</v>
      </c>
      <c r="AH7" s="546">
        <f t="shared" si="15"/>
        <v>0.36528580437843083</v>
      </c>
      <c r="AI7" s="547">
        <f t="shared" si="16"/>
        <v>0.34571216775177938</v>
      </c>
      <c r="AJ7" s="547">
        <f t="shared" si="17"/>
        <v>0.37965962704514766</v>
      </c>
      <c r="AK7" s="547">
        <f t="shared" si="18"/>
        <v>0.48854827777203425</v>
      </c>
      <c r="AL7" s="547">
        <f t="shared" si="19"/>
        <v>0.63579489399027844</v>
      </c>
      <c r="AM7" s="547">
        <f t="shared" si="20"/>
        <v>0.81203355799902144</v>
      </c>
      <c r="AN7" s="548">
        <f t="shared" si="21"/>
        <v>1.9000439962423492</v>
      </c>
      <c r="AO7" s="547">
        <f t="shared" si="37"/>
        <v>3.7035921832813128</v>
      </c>
      <c r="AP7" s="547">
        <f t="shared" si="22"/>
        <v>3.505137256372207</v>
      </c>
      <c r="AQ7" s="547">
        <f t="shared" si="23"/>
        <v>3.8493267742077473</v>
      </c>
      <c r="AR7" s="547">
        <f t="shared" si="24"/>
        <v>4.9533367051886801</v>
      </c>
      <c r="AS7" s="547">
        <f t="shared" si="25"/>
        <v>6.4462537862903231</v>
      </c>
      <c r="AT7" s="547">
        <f t="shared" si="26"/>
        <v>8.2331180186011892</v>
      </c>
      <c r="AU7" s="548">
        <f t="shared" si="27"/>
        <v>19.264334961901593</v>
      </c>
      <c r="AV7" s="541">
        <f t="shared" si="28"/>
        <v>0.36528580437843083</v>
      </c>
      <c r="AW7" s="542">
        <f t="shared" si="29"/>
        <v>0.36268589739846346</v>
      </c>
      <c r="AX7" s="545">
        <f t="shared" si="30"/>
        <v>0.95910518150092072</v>
      </c>
      <c r="AY7" s="541">
        <f t="shared" si="31"/>
        <v>3.7035921832813128</v>
      </c>
      <c r="AZ7" s="542">
        <f t="shared" si="32"/>
        <v>3.6772320152899769</v>
      </c>
      <c r="BA7" s="545">
        <f t="shared" si="33"/>
        <v>9.7242608679954472</v>
      </c>
      <c r="BB7" s="549">
        <f>1100/AH7</f>
        <v>3011.3406730156307</v>
      </c>
      <c r="BC7" s="549">
        <f t="shared" ref="BC7:BH7" si="40">1100/AI7</f>
        <v>3181.8376748306923</v>
      </c>
      <c r="BD7" s="549">
        <f t="shared" si="40"/>
        <v>2897.332035437079</v>
      </c>
      <c r="BE7" s="549">
        <f t="shared" si="40"/>
        <v>2251.5686781589279</v>
      </c>
      <c r="BF7" s="549">
        <f t="shared" si="40"/>
        <v>1730.1177005312966</v>
      </c>
      <c r="BG7" s="549">
        <f t="shared" si="40"/>
        <v>1354.623819624614</v>
      </c>
      <c r="BH7" s="549">
        <f t="shared" si="40"/>
        <v>578.93396267424941</v>
      </c>
      <c r="BI7" s="551">
        <f t="shared" si="38"/>
        <v>297.00894309195263</v>
      </c>
      <c r="BJ7" s="551">
        <f t="shared" si="39"/>
        <v>313.8250857367259</v>
      </c>
      <c r="BK7" s="551">
        <f t="shared" ref="BK7" si="41">1100/AQ7</f>
        <v>285.76425554995848</v>
      </c>
      <c r="BL7" s="551">
        <f t="shared" ref="BL7" si="42">1100/AR7</f>
        <v>222.07252716088061</v>
      </c>
      <c r="BM7" s="551">
        <f t="shared" ref="BM7" si="43">1100/AS7</f>
        <v>170.6417458058265</v>
      </c>
      <c r="BN7" s="551">
        <f t="shared" ref="BN7" si="44">1100/AT7</f>
        <v>133.60673289448249</v>
      </c>
      <c r="BO7" s="551">
        <f t="shared" ref="BO7" si="45">1100/AU7</f>
        <v>57.100336044583521</v>
      </c>
    </row>
    <row r="8" spans="1:67" s="667" customFormat="1" ht="14.5" customHeight="1">
      <c r="A8" s="887"/>
      <c r="B8" s="461" t="s">
        <v>1065</v>
      </c>
      <c r="C8" s="887"/>
      <c r="D8" s="527">
        <v>1</v>
      </c>
      <c r="E8" s="640">
        <v>1</v>
      </c>
      <c r="F8" s="640">
        <v>1</v>
      </c>
      <c r="G8" s="235">
        <f>'Compiled Articles'!E13</f>
        <v>480</v>
      </c>
      <c r="H8" s="235">
        <f>'Compiled Articles'!$E$11</f>
        <v>36</v>
      </c>
      <c r="I8" s="235">
        <v>1</v>
      </c>
      <c r="J8" s="538">
        <f>A96</f>
        <v>6.0004799999999998E-6</v>
      </c>
      <c r="K8" s="539">
        <f t="shared" si="36"/>
        <v>4.8003839999999999E-5</v>
      </c>
      <c r="L8" s="553" t="s">
        <v>1388</v>
      </c>
      <c r="M8" s="541">
        <f>(INDEX('Dermal Calcs'!$B$79:$H$85, MATCH($L8,'Dermal Calcs'!$A$79:$A$85, 0), MATCH(M$3, 'Dermal Calcs'!$B$78:$H$78, 0)))*$K8*$D8</f>
        <v>7.5622141325614616E-4</v>
      </c>
      <c r="N8" s="542">
        <f>(INDEX('Dermal Calcs'!$B$79:$H$85, MATCH($L8,'Dermal Calcs'!$A$79:$A$85, 0), MATCH(N$3, 'Dermal Calcs'!$B$78:$H$78, 0)))*$K8*$E8</f>
        <v>7.1569970949720673E-4</v>
      </c>
      <c r="O8" s="542">
        <f>(INDEX('Dermal Calcs'!$B$79:$H$85, MATCH($L8,'Dermal Calcs'!$A$79:$A$85, 0), MATCH(O$3, 'Dermal Calcs'!$B$78:$H$78, 0)))*$K8*$E8</f>
        <v>7.8597836619718315E-4</v>
      </c>
      <c r="P8" s="543">
        <f>(INDEX('Dermal Calcs'!$B$79:$H$85, MATCH($L8,'Dermal Calcs'!$A$79:$A$85, 0), MATCH(P$3, 'Dermal Calcs'!$B$78:$H$78, 0)))*$K8*$F8</f>
        <v>1.0114016603773586E-3</v>
      </c>
      <c r="Q8" s="543">
        <f>(INDEX('Dermal Calcs'!$B$79:$H$85, MATCH($L8,'Dermal Calcs'!$A$79:$A$85, 0), MATCH(Q$3, 'Dermal Calcs'!$B$78:$H$78, 0)))*$K8*$F8</f>
        <v>1.316234322580645E-3</v>
      </c>
      <c r="R8" s="543">
        <f>(INDEX('Dermal Calcs'!$B$79:$H$85, MATCH($L8,'Dermal Calcs'!$A$79:$A$85, 0), MATCH(R$3, 'Dermal Calcs'!$B$78:$H$78, 0)))*$K8*$F8</f>
        <v>1.6810868571428569E-3</v>
      </c>
      <c r="S8" s="544">
        <f>(INDEX('Dermal Calcs'!$B$79:$H$85, MATCH($L8,'Dermal Calcs'!$A$79:$A$85, 0), MATCH(S$3, 'Dermal Calcs'!$B$78:$H$78, 0)))*$K8*$F8</f>
        <v>3.9335061446808504E-3</v>
      </c>
      <c r="T8" s="554">
        <f t="shared" si="1"/>
        <v>2.7223970877221261E-2</v>
      </c>
      <c r="U8" s="555">
        <f t="shared" si="2"/>
        <v>2.5765189541899443E-2</v>
      </c>
      <c r="V8" s="555">
        <f t="shared" si="3"/>
        <v>2.8295221183098594E-2</v>
      </c>
      <c r="W8" s="556">
        <f t="shared" si="4"/>
        <v>3.6410459773584911E-2</v>
      </c>
      <c r="X8" s="556">
        <f t="shared" si="5"/>
        <v>4.7384435612903224E-2</v>
      </c>
      <c r="Y8" s="556">
        <f t="shared" si="6"/>
        <v>6.0519126857142849E-2</v>
      </c>
      <c r="Z8" s="556">
        <f t="shared" si="7"/>
        <v>0.14160622120851063</v>
      </c>
      <c r="AA8" s="554">
        <f t="shared" si="8"/>
        <v>7.5622141325614616E-4</v>
      </c>
      <c r="AB8" s="555">
        <f t="shared" si="9"/>
        <v>7.1569970949720673E-4</v>
      </c>
      <c r="AC8" s="555">
        <f t="shared" si="10"/>
        <v>7.8597836619718315E-4</v>
      </c>
      <c r="AD8" s="556">
        <f t="shared" si="11"/>
        <v>1.0114016603773586E-3</v>
      </c>
      <c r="AE8" s="556">
        <f t="shared" si="12"/>
        <v>1.316234322580645E-3</v>
      </c>
      <c r="AF8" s="556">
        <f t="shared" si="13"/>
        <v>1.6810868571428569E-3</v>
      </c>
      <c r="AG8" s="556">
        <f t="shared" si="14"/>
        <v>3.9335061446808504E-3</v>
      </c>
      <c r="AH8" s="546">
        <f t="shared" si="15"/>
        <v>7.4586221581428122E-2</v>
      </c>
      <c r="AI8" s="547">
        <f t="shared" si="16"/>
        <v>7.0589560388765599E-2</v>
      </c>
      <c r="AJ8" s="547">
        <f t="shared" si="17"/>
        <v>7.752115392629752E-2</v>
      </c>
      <c r="AK8" s="547">
        <f t="shared" si="18"/>
        <v>9.9754684311191541E-2</v>
      </c>
      <c r="AL8" s="547">
        <f t="shared" si="19"/>
        <v>0.12982037154220061</v>
      </c>
      <c r="AM8" s="547">
        <f t="shared" si="20"/>
        <v>0.16580582700587082</v>
      </c>
      <c r="AN8" s="548">
        <f t="shared" si="21"/>
        <v>0.38796224988633043</v>
      </c>
      <c r="AO8" s="547">
        <f t="shared" si="37"/>
        <v>0.75622141325614611</v>
      </c>
      <c r="AP8" s="547">
        <f t="shared" si="22"/>
        <v>0.71569970949720674</v>
      </c>
      <c r="AQ8" s="547">
        <f t="shared" si="23"/>
        <v>0.7859783661971832</v>
      </c>
      <c r="AR8" s="547">
        <f t="shared" si="24"/>
        <v>1.0114016603773586</v>
      </c>
      <c r="AS8" s="547">
        <f t="shared" si="25"/>
        <v>1.316234322580645</v>
      </c>
      <c r="AT8" s="547">
        <f t="shared" si="26"/>
        <v>1.681086857142857</v>
      </c>
      <c r="AU8" s="548">
        <f t="shared" si="27"/>
        <v>3.9335061446808504</v>
      </c>
      <c r="AV8" s="554">
        <f t="shared" si="28"/>
        <v>7.4586221581428122E-2</v>
      </c>
      <c r="AW8" s="555">
        <f t="shared" si="29"/>
        <v>7.4055357157531559E-2</v>
      </c>
      <c r="AX8" s="556">
        <f t="shared" si="30"/>
        <v>0.19583578318639838</v>
      </c>
      <c r="AY8" s="554">
        <f t="shared" si="31"/>
        <v>0.75622141325614611</v>
      </c>
      <c r="AZ8" s="555">
        <f t="shared" si="32"/>
        <v>0.75083903784719486</v>
      </c>
      <c r="BA8" s="556">
        <f t="shared" si="33"/>
        <v>1.9855572461954276</v>
      </c>
      <c r="BB8" s="549">
        <f t="shared" ref="BB8:BB9" si="46">1100/AH8</f>
        <v>14748.032232724048</v>
      </c>
      <c r="BC8" s="549">
        <f t="shared" ref="BC8:BC10" si="47">1100/AI8</f>
        <v>15583.040805777084</v>
      </c>
      <c r="BD8" s="549">
        <f t="shared" ref="BD8:BD10" si="48">1100/AJ8</f>
        <v>14189.675260069196</v>
      </c>
      <c r="BE8" s="549">
        <f t="shared" ref="BE8:BE10" si="49">1100/AK8</f>
        <v>11027.051086327685</v>
      </c>
      <c r="BF8" s="549">
        <f t="shared" ref="BF8:BF10" si="50">1100/AL8</f>
        <v>8473.2464322244214</v>
      </c>
      <c r="BG8" s="549">
        <f t="shared" ref="BG8:BG10" si="51">1100/AM8</f>
        <v>6634.2662369824402</v>
      </c>
      <c r="BH8" s="549">
        <f t="shared" ref="BH8:BH10" si="52">1100/AN8</f>
        <v>2835.3274070409952</v>
      </c>
      <c r="BI8" s="551">
        <f t="shared" si="38"/>
        <v>1454.6004393919611</v>
      </c>
      <c r="BJ8" s="551">
        <f t="shared" ref="BJ8:BJ10" si="53">1100/AP8</f>
        <v>1536.957449336918</v>
      </c>
      <c r="BK8" s="551">
        <f t="shared" ref="BK8:BK21" si="54">1100/AQ8</f>
        <v>1399.5296146917565</v>
      </c>
      <c r="BL8" s="551">
        <f t="shared" ref="BL8:BL10" si="55">1100/AR8</f>
        <v>1087.5995591994431</v>
      </c>
      <c r="BM8" s="551">
        <f t="shared" ref="BM8:BM10" si="56">1100/AS8</f>
        <v>835.71745632898399</v>
      </c>
      <c r="BN8" s="551">
        <f t="shared" ref="BN8:BN10" si="57">1100/AT8</f>
        <v>654.33858775717215</v>
      </c>
      <c r="BO8" s="551">
        <f t="shared" ref="BO8:BO10" si="58">1100/AU8</f>
        <v>279.64873055746801</v>
      </c>
    </row>
    <row r="9" spans="1:67" s="564" customFormat="1" ht="14.5" customHeight="1">
      <c r="A9" s="888"/>
      <c r="B9" s="559" t="s">
        <v>65</v>
      </c>
      <c r="C9" s="888"/>
      <c r="D9" s="530">
        <v>1</v>
      </c>
      <c r="E9" s="531">
        <v>1</v>
      </c>
      <c r="F9" s="531">
        <v>1</v>
      </c>
      <c r="G9" s="235">
        <f>'Compiled Articles'!E14</f>
        <v>120</v>
      </c>
      <c r="H9" s="235">
        <f>'Compiled Articles'!$E$11</f>
        <v>36</v>
      </c>
      <c r="I9" s="235">
        <v>1</v>
      </c>
      <c r="J9" s="538">
        <f>$A$94</f>
        <v>1.6251300000000002E-9</v>
      </c>
      <c r="K9" s="539">
        <f t="shared" si="36"/>
        <v>3.2502600000000003E-9</v>
      </c>
      <c r="L9" s="560" t="s">
        <v>1388</v>
      </c>
      <c r="M9" s="541">
        <f>(INDEX('Dermal Calcs'!$B$79:$H$85, MATCH($L9,'Dermal Calcs'!$A$79:$A$85, 0), MATCH(M$3, 'Dermal Calcs'!$B$78:$H$78, 0)))*$K9*$D9</f>
        <v>5.1202491522551571E-8</v>
      </c>
      <c r="N9" s="542">
        <f>(INDEX('Dermal Calcs'!$B$79:$H$85, MATCH($L9,'Dermal Calcs'!$A$79:$A$85, 0), MATCH(N$3, 'Dermal Calcs'!$B$78:$H$78, 0)))*$K9*$E9</f>
        <v>4.845883449720671E-8</v>
      </c>
      <c r="O9" s="542">
        <f>(INDEX('Dermal Calcs'!$B$79:$H$85, MATCH($L9,'Dermal Calcs'!$A$79:$A$85, 0), MATCH(O$3, 'Dermal Calcs'!$B$78:$H$78, 0)))*$K9*$E9</f>
        <v>5.3217285211267614E-8</v>
      </c>
      <c r="P9" s="543">
        <f>(INDEX('Dermal Calcs'!$B$79:$H$85, MATCH($L9,'Dermal Calcs'!$A$79:$A$85, 0), MATCH(P$3, 'Dermal Calcs'!$B$78:$H$78, 0)))*$K9*$F9</f>
        <v>6.8480320754716995E-8</v>
      </c>
      <c r="Q9" s="543">
        <f>(INDEX('Dermal Calcs'!$B$79:$H$85, MATCH($L9,'Dermal Calcs'!$A$79:$A$85, 0), MATCH(Q$3, 'Dermal Calcs'!$B$78:$H$78, 0)))*$K9*$F9</f>
        <v>8.9120032258064526E-8</v>
      </c>
      <c r="R9" s="543">
        <f>(INDEX('Dermal Calcs'!$B$79:$H$85, MATCH($L9,'Dermal Calcs'!$A$79:$A$85, 0), MATCH(R$3, 'Dermal Calcs'!$B$78:$H$78, 0)))*$K9*$F9</f>
        <v>1.1382358928571428E-7</v>
      </c>
      <c r="S9" s="544">
        <f>(INDEX('Dermal Calcs'!$B$79:$H$85, MATCH($L9,'Dermal Calcs'!$A$79:$A$85, 0), MATCH(S$3, 'Dermal Calcs'!$B$78:$H$78, 0)))*$K9*$F9</f>
        <v>2.66331145212766E-7</v>
      </c>
      <c r="T9" s="561">
        <f t="shared" si="1"/>
        <v>1.8432896948118566E-6</v>
      </c>
      <c r="U9" s="562">
        <f t="shared" si="2"/>
        <v>1.7445180418994415E-6</v>
      </c>
      <c r="V9" s="562">
        <f t="shared" si="3"/>
        <v>1.915822267605634E-6</v>
      </c>
      <c r="W9" s="563">
        <f t="shared" si="4"/>
        <v>2.4652915471698118E-6</v>
      </c>
      <c r="X9" s="563">
        <f t="shared" si="5"/>
        <v>3.2083211612903229E-6</v>
      </c>
      <c r="Y9" s="563">
        <f t="shared" si="6"/>
        <v>4.0976492142857139E-6</v>
      </c>
      <c r="Z9" s="563">
        <f t="shared" si="7"/>
        <v>9.5879212276595754E-6</v>
      </c>
      <c r="AA9" s="561">
        <f t="shared" si="8"/>
        <v>5.1202491522551571E-8</v>
      </c>
      <c r="AB9" s="562">
        <f t="shared" si="9"/>
        <v>4.845883449720671E-8</v>
      </c>
      <c r="AC9" s="562">
        <f t="shared" si="10"/>
        <v>5.3217285211267614E-8</v>
      </c>
      <c r="AD9" s="563">
        <f t="shared" si="11"/>
        <v>6.8480320754716995E-8</v>
      </c>
      <c r="AE9" s="563">
        <f t="shared" si="12"/>
        <v>8.9120032258064526E-8</v>
      </c>
      <c r="AF9" s="563">
        <f t="shared" si="13"/>
        <v>1.1382358928571428E-7</v>
      </c>
      <c r="AG9" s="563">
        <f t="shared" si="14"/>
        <v>2.66331145212766E-7</v>
      </c>
      <c r="AH9" s="546">
        <f>(T9*1000)/365</f>
        <v>5.0501087529091964E-6</v>
      </c>
      <c r="AI9" s="547">
        <f t="shared" si="16"/>
        <v>4.7795014846560046E-6</v>
      </c>
      <c r="AJ9" s="547">
        <f t="shared" si="17"/>
        <v>5.2488281304263945E-6</v>
      </c>
      <c r="AK9" s="547">
        <f t="shared" si="18"/>
        <v>6.7542234169035934E-6</v>
      </c>
      <c r="AL9" s="547">
        <f t="shared" si="19"/>
        <v>8.7899209898365002E-6</v>
      </c>
      <c r="AM9" s="547">
        <f t="shared" si="20"/>
        <v>1.1226436203522505E-5</v>
      </c>
      <c r="AN9" s="548">
        <f t="shared" si="21"/>
        <v>2.6268277336053635E-5</v>
      </c>
      <c r="AO9" s="547">
        <f t="shared" si="37"/>
        <v>5.1202491522551571E-5</v>
      </c>
      <c r="AP9" s="547">
        <f t="shared" si="22"/>
        <v>4.8458834497206711E-5</v>
      </c>
      <c r="AQ9" s="547">
        <f t="shared" si="23"/>
        <v>5.3217285211267617E-5</v>
      </c>
      <c r="AR9" s="547">
        <f t="shared" si="24"/>
        <v>6.8480320754716998E-5</v>
      </c>
      <c r="AS9" s="547">
        <f t="shared" si="25"/>
        <v>8.912003225806452E-5</v>
      </c>
      <c r="AT9" s="547">
        <f t="shared" si="26"/>
        <v>1.1382358928571427E-4</v>
      </c>
      <c r="AU9" s="548">
        <f t="shared" si="27"/>
        <v>2.6633114521276599E-4</v>
      </c>
      <c r="AV9" s="561">
        <f t="shared" si="28"/>
        <v>5.0501087529091964E-6</v>
      </c>
      <c r="AW9" s="562">
        <f t="shared" si="29"/>
        <v>5.0141648075411991E-6</v>
      </c>
      <c r="AX9" s="563">
        <f t="shared" si="30"/>
        <v>1.3259714486579057E-5</v>
      </c>
      <c r="AY9" s="561">
        <f t="shared" si="31"/>
        <v>5.1202491522551571E-5</v>
      </c>
      <c r="AZ9" s="562">
        <f t="shared" si="32"/>
        <v>5.0838059854237157E-5</v>
      </c>
      <c r="BA9" s="563">
        <f t="shared" si="33"/>
        <v>1.3443877187781545E-4</v>
      </c>
      <c r="BB9" s="549">
        <f t="shared" si="46"/>
        <v>217817091.43715516</v>
      </c>
      <c r="BC9" s="549">
        <f t="shared" si="47"/>
        <v>230149525.74686152</v>
      </c>
      <c r="BD9" s="549">
        <f t="shared" si="48"/>
        <v>209570588.45640659</v>
      </c>
      <c r="BE9" s="549">
        <f t="shared" si="49"/>
        <v>162861062.19807044</v>
      </c>
      <c r="BF9" s="549">
        <f t="shared" si="50"/>
        <v>125143331.92208374</v>
      </c>
      <c r="BG9" s="549">
        <f t="shared" si="51"/>
        <v>97983009.038509861</v>
      </c>
      <c r="BH9" s="549">
        <f t="shared" si="52"/>
        <v>41875604.780913144</v>
      </c>
      <c r="BI9" s="551">
        <f t="shared" si="38"/>
        <v>21483329.566404346</v>
      </c>
      <c r="BJ9" s="551">
        <f t="shared" si="53"/>
        <v>22699679.251745246</v>
      </c>
      <c r="BK9" s="551">
        <f t="shared" si="54"/>
        <v>20669975.847755168</v>
      </c>
      <c r="BL9" s="551">
        <f t="shared" si="55"/>
        <v>16063008.874330234</v>
      </c>
      <c r="BM9" s="551">
        <f t="shared" si="56"/>
        <v>12342903.970397299</v>
      </c>
      <c r="BN9" s="551">
        <f t="shared" si="57"/>
        <v>9664077.6037982348</v>
      </c>
      <c r="BO9" s="551">
        <f t="shared" si="58"/>
        <v>4130196.6359256804</v>
      </c>
    </row>
    <row r="10" spans="1:67" s="667" customFormat="1" ht="14.5" customHeight="1">
      <c r="A10" s="886" t="str">
        <f>'Compiled Articles'!E6</f>
        <v>Air Beds</v>
      </c>
      <c r="B10" s="461" t="s">
        <v>69</v>
      </c>
      <c r="C10" s="886" t="s">
        <v>1389</v>
      </c>
      <c r="D10" s="527">
        <v>1</v>
      </c>
      <c r="E10" s="640">
        <v>1</v>
      </c>
      <c r="F10" s="640">
        <v>1</v>
      </c>
      <c r="G10" s="235">
        <f>'Compiled Articles'!E12</f>
        <v>857</v>
      </c>
      <c r="H10" s="235">
        <f>'Compiled Articles'!$E$11</f>
        <v>36</v>
      </c>
      <c r="I10" s="235">
        <v>1</v>
      </c>
      <c r="J10" s="538">
        <f t="shared" ref="J10:J51" si="59">$F$88</f>
        <v>4.8000000000000001E-5</v>
      </c>
      <c r="K10" s="539">
        <f t="shared" ref="K10:K12" si="60">J10*G10/60</f>
        <v>6.8559999999999997E-4</v>
      </c>
      <c r="L10" s="540" t="s">
        <v>1388</v>
      </c>
      <c r="M10" s="541">
        <f>(INDEX('Dermal Calcs'!$B$79:$H$85, MATCH($L10,'Dermal Calcs'!$A$79:$A$85, 0), MATCH(M$3, 'Dermal Calcs'!$B$78:$H$78, 0)))*$K10*$D10</f>
        <v>1.0800498479463598E-2</v>
      </c>
      <c r="N10" s="542">
        <f>(INDEX('Dermal Calcs'!$B$79:$H$85, MATCH($L10,'Dermal Calcs'!$A$79:$A$85, 0), MATCH(N$3, 'Dermal Calcs'!$B$78:$H$78, 0)))*$K10*$E10</f>
        <v>1.0221759776536313E-2</v>
      </c>
      <c r="O10" s="542">
        <f>(INDEX('Dermal Calcs'!$B$79:$H$85, MATCH($L10,'Dermal Calcs'!$A$79:$A$85, 0), MATCH(O$3, 'Dermal Calcs'!$B$78:$H$78, 0)))*$K10*$E10</f>
        <v>1.1225492957746479E-2</v>
      </c>
      <c r="P10" s="543">
        <f>(INDEX('Dermal Calcs'!$B$79:$H$85, MATCH($L10,'Dermal Calcs'!$A$79:$A$85, 0), MATCH(P$3, 'Dermal Calcs'!$B$78:$H$78, 0)))*$K10*$F10</f>
        <v>1.4445031446540881E-2</v>
      </c>
      <c r="Q10" s="543">
        <f>(INDEX('Dermal Calcs'!$B$79:$H$85, MATCH($L10,'Dermal Calcs'!$A$79:$A$85, 0), MATCH(Q$3, 'Dermal Calcs'!$B$78:$H$78, 0)))*$K10*$F10</f>
        <v>1.8798709677419354E-2</v>
      </c>
      <c r="R10" s="543">
        <f>(INDEX('Dermal Calcs'!$B$79:$H$85, MATCH($L10,'Dermal Calcs'!$A$79:$A$85, 0), MATCH(R$3, 'Dermal Calcs'!$B$78:$H$78, 0)))*$K10*$F10</f>
        <v>2.400960317460317E-2</v>
      </c>
      <c r="S10" s="544">
        <f>(INDEX('Dermal Calcs'!$B$79:$H$85, MATCH($L10,'Dermal Calcs'!$A$79:$A$85, 0), MATCH(S$3, 'Dermal Calcs'!$B$78:$H$78, 0)))*$K10*$F10</f>
        <v>5.6179085106382975E-2</v>
      </c>
      <c r="T10" s="541">
        <f t="shared" ref="T10:T12" si="61">M10*$H10</f>
        <v>0.38881794526068952</v>
      </c>
      <c r="U10" s="542">
        <f t="shared" ref="U10:U12" si="62">N10*$H10</f>
        <v>0.36798335195530729</v>
      </c>
      <c r="V10" s="542">
        <f t="shared" ref="V10:V12" si="63">O10*$H10</f>
        <v>0.40411774647887327</v>
      </c>
      <c r="W10" s="545">
        <f t="shared" ref="W10:W12" si="64">P10*$H10</f>
        <v>0.52002113207547174</v>
      </c>
      <c r="X10" s="545">
        <f t="shared" ref="X10:X12" si="65">Q10*$H10</f>
        <v>0.67675354838709678</v>
      </c>
      <c r="Y10" s="545">
        <f t="shared" ref="Y10:Y12" si="66">R10*$H10</f>
        <v>0.86434571428571405</v>
      </c>
      <c r="Z10" s="545">
        <f t="shared" ref="Z10:Z12" si="67">S10*$H10</f>
        <v>2.0224470638297873</v>
      </c>
      <c r="AA10" s="541">
        <f t="shared" ref="AA10:AA12" si="68">M10*$I10</f>
        <v>1.0800498479463598E-2</v>
      </c>
      <c r="AB10" s="542">
        <f t="shared" ref="AB10:AB12" si="69">N10*$I10</f>
        <v>1.0221759776536313E-2</v>
      </c>
      <c r="AC10" s="542">
        <f t="shared" ref="AC10:AC12" si="70">O10*$I10</f>
        <v>1.1225492957746479E-2</v>
      </c>
      <c r="AD10" s="545">
        <f t="shared" ref="AD10:AD12" si="71">P10*$I10</f>
        <v>1.4445031446540881E-2</v>
      </c>
      <c r="AE10" s="545">
        <f t="shared" ref="AE10:AE12" si="72">Q10*$I10</f>
        <v>1.8798709677419354E-2</v>
      </c>
      <c r="AF10" s="545">
        <f t="shared" ref="AF10:AF12" si="73">R10*$I10</f>
        <v>2.400960317460317E-2</v>
      </c>
      <c r="AG10" s="545">
        <f t="shared" ref="AG10:AG12" si="74">S10*$I10</f>
        <v>5.6179085106382975E-2</v>
      </c>
      <c r="AH10" s="546">
        <f t="shared" ref="AH10:AH12" si="75">(T10*1000)/365</f>
        <v>1.0652546445498343</v>
      </c>
      <c r="AI10" s="547">
        <f t="shared" ref="AI10:AI12" si="76">(U10*1000)/365</f>
        <v>1.0081735670008418</v>
      </c>
      <c r="AJ10" s="547">
        <f t="shared" ref="AJ10:AJ12" si="77">(V10*1000)/365</f>
        <v>1.1071719081612967</v>
      </c>
      <c r="AK10" s="547">
        <f t="shared" ref="AK10:AK12" si="78">(W10*1000)/365</f>
        <v>1.4247154303437584</v>
      </c>
      <c r="AL10" s="547">
        <f t="shared" ref="AL10:AL12" si="79">(X10*1000)/365</f>
        <v>1.8541193106495801</v>
      </c>
      <c r="AM10" s="547">
        <f t="shared" ref="AM10:AM12" si="80">(Y10*1000)/365</f>
        <v>2.3680704500978469</v>
      </c>
      <c r="AN10" s="548">
        <f t="shared" ref="AN10:AN12" si="81">(Z10*1000)/365</f>
        <v>5.5409508598076362</v>
      </c>
      <c r="AO10" s="547">
        <f t="shared" ref="AO10:AO12" si="82">AA10*1000</f>
        <v>10.800498479463597</v>
      </c>
      <c r="AP10" s="547">
        <f t="shared" ref="AP10:AP12" si="83">AB10*1000</f>
        <v>10.221759776536313</v>
      </c>
      <c r="AQ10" s="547">
        <f t="shared" ref="AQ10:AQ12" si="84">AC10*1000</f>
        <v>11.225492957746479</v>
      </c>
      <c r="AR10" s="547">
        <f t="shared" ref="AR10:AR12" si="85">AD10*1000</f>
        <v>14.445031446540881</v>
      </c>
      <c r="AS10" s="547">
        <f t="shared" ref="AS10:AS12" si="86">AE10*1000</f>
        <v>18.798709677419353</v>
      </c>
      <c r="AT10" s="547">
        <f t="shared" ref="AT10:AT12" si="87">AF10*1000</f>
        <v>24.009603174603171</v>
      </c>
      <c r="AU10" s="548">
        <f t="shared" ref="AU10:AU12" si="88">AG10*1000</f>
        <v>56.179085106382978</v>
      </c>
      <c r="AV10" s="541">
        <f t="shared" ref="AV10:AV12" si="89">(T10*1000)/365</f>
        <v>1.0652546445498343</v>
      </c>
      <c r="AW10" s="542">
        <f t="shared" ref="AW10:AW12" si="90">(AVERAGE(U10:V10)*1000)/365</f>
        <v>1.0576727375810691</v>
      </c>
      <c r="AX10" s="545">
        <f t="shared" ref="AX10:AX12" si="91">(AVERAGE(W10:Z10)*1000)/365</f>
        <v>2.7969640127247057</v>
      </c>
      <c r="AY10" s="541">
        <f t="shared" ref="AY10:AY12" si="92">AA10*1000</f>
        <v>10.800498479463597</v>
      </c>
      <c r="AZ10" s="542">
        <f t="shared" ref="AZ10:AZ12" si="93">AVERAGE(AB10:AC10)*1000</f>
        <v>10.723626367141398</v>
      </c>
      <c r="BA10" s="545">
        <f t="shared" ref="BA10:BA12" si="94">AVERAGE(AD10:AG10)*1000</f>
        <v>28.358107351236598</v>
      </c>
      <c r="BB10" s="549">
        <f>1100/AH10</f>
        <v>1032.6169480958692</v>
      </c>
      <c r="BC10" s="549">
        <f t="shared" si="47"/>
        <v>1091.0819684276462</v>
      </c>
      <c r="BD10" s="549">
        <f t="shared" si="48"/>
        <v>993.52231743920663</v>
      </c>
      <c r="BE10" s="549">
        <f t="shared" si="49"/>
        <v>772.08400819705423</v>
      </c>
      <c r="BF10" s="549">
        <f t="shared" si="50"/>
        <v>593.27357936562419</v>
      </c>
      <c r="BG10" s="549">
        <f t="shared" si="51"/>
        <v>464.51320734758917</v>
      </c>
      <c r="BH10" s="549">
        <f t="shared" si="52"/>
        <v>198.52188330690021</v>
      </c>
      <c r="BI10" s="551">
        <f t="shared" ref="BI10:BI12" si="95">1100/AO10</f>
        <v>101.84715104507205</v>
      </c>
      <c r="BJ10" s="551">
        <f t="shared" si="53"/>
        <v>107.6135640093021</v>
      </c>
      <c r="BK10" s="551">
        <f t="shared" si="54"/>
        <v>97.99124226797656</v>
      </c>
      <c r="BL10" s="551">
        <f t="shared" si="55"/>
        <v>76.150751493408109</v>
      </c>
      <c r="BM10" s="551">
        <f t="shared" si="56"/>
        <v>58.514654403184849</v>
      </c>
      <c r="BN10" s="551">
        <f t="shared" si="57"/>
        <v>45.815001272638931</v>
      </c>
      <c r="BO10" s="551">
        <f t="shared" si="58"/>
        <v>19.580240545338103</v>
      </c>
    </row>
    <row r="11" spans="1:67" s="667" customFormat="1" ht="14.5" customHeight="1">
      <c r="A11" s="887"/>
      <c r="B11" s="461" t="s">
        <v>1065</v>
      </c>
      <c r="C11" s="887"/>
      <c r="D11" s="527">
        <v>1</v>
      </c>
      <c r="E11" s="640">
        <v>1</v>
      </c>
      <c r="F11" s="640">
        <v>1</v>
      </c>
      <c r="G11" s="235">
        <f>'Compiled Articles'!E13</f>
        <v>480</v>
      </c>
      <c r="H11" s="235">
        <f>'Compiled Articles'!$E$11</f>
        <v>36</v>
      </c>
      <c r="I11" s="235">
        <v>1</v>
      </c>
      <c r="J11" s="538">
        <f t="shared" si="59"/>
        <v>4.8000000000000001E-5</v>
      </c>
      <c r="K11" s="539">
        <f t="shared" si="60"/>
        <v>3.8400000000000001E-4</v>
      </c>
      <c r="L11" s="553" t="s">
        <v>1388</v>
      </c>
      <c r="M11" s="541">
        <f>(INDEX('Dermal Calcs'!$B$79:$H$85, MATCH($L11,'Dermal Calcs'!$A$79:$A$85, 0), MATCH(M$3, 'Dermal Calcs'!$B$78:$H$78, 0)))*$K11*$D11</f>
        <v>6.0492873630601249E-3</v>
      </c>
      <c r="N11" s="542">
        <f>(INDEX('Dermal Calcs'!$B$79:$H$85, MATCH($L11,'Dermal Calcs'!$A$79:$A$85, 0), MATCH(N$3, 'Dermal Calcs'!$B$78:$H$78, 0)))*$K11*$E11</f>
        <v>5.7251396648044699E-3</v>
      </c>
      <c r="O11" s="542">
        <f>(INDEX('Dermal Calcs'!$B$79:$H$85, MATCH($L11,'Dermal Calcs'!$A$79:$A$85, 0), MATCH(O$3, 'Dermal Calcs'!$B$78:$H$78, 0)))*$K11*$E11</f>
        <v>6.2873239436619724E-3</v>
      </c>
      <c r="P11" s="543">
        <f>(INDEX('Dermal Calcs'!$B$79:$H$85, MATCH($L11,'Dermal Calcs'!$A$79:$A$85, 0), MATCH(P$3, 'Dermal Calcs'!$B$78:$H$78, 0)))*$K11*$F11</f>
        <v>8.0905660377358496E-3</v>
      </c>
      <c r="Q11" s="543">
        <f>(INDEX('Dermal Calcs'!$B$79:$H$85, MATCH($L11,'Dermal Calcs'!$A$79:$A$85, 0), MATCH(Q$3, 'Dermal Calcs'!$B$78:$H$78, 0)))*$K11*$F11</f>
        <v>1.0529032258064517E-2</v>
      </c>
      <c r="R11" s="543">
        <f>(INDEX('Dermal Calcs'!$B$79:$H$85, MATCH($L11,'Dermal Calcs'!$A$79:$A$85, 0), MATCH(R$3, 'Dermal Calcs'!$B$78:$H$78, 0)))*$K11*$F11</f>
        <v>1.3447619047619047E-2</v>
      </c>
      <c r="S11" s="544">
        <f>(INDEX('Dermal Calcs'!$B$79:$H$85, MATCH($L11,'Dermal Calcs'!$A$79:$A$85, 0), MATCH(S$3, 'Dermal Calcs'!$B$78:$H$78, 0)))*$K11*$F11</f>
        <v>3.1465531914893617E-2</v>
      </c>
      <c r="T11" s="554">
        <f t="shared" si="61"/>
        <v>0.21777434507016449</v>
      </c>
      <c r="U11" s="555">
        <f t="shared" si="62"/>
        <v>0.20610502793296093</v>
      </c>
      <c r="V11" s="555">
        <f t="shared" si="63"/>
        <v>0.22634366197183101</v>
      </c>
      <c r="W11" s="556">
        <f t="shared" si="64"/>
        <v>0.29126037735849059</v>
      </c>
      <c r="X11" s="556">
        <f t="shared" si="65"/>
        <v>0.37904516129032262</v>
      </c>
      <c r="Y11" s="556">
        <f t="shared" si="66"/>
        <v>0.48411428571428566</v>
      </c>
      <c r="Z11" s="556">
        <f t="shared" si="67"/>
        <v>1.1327591489361701</v>
      </c>
      <c r="AA11" s="554">
        <f t="shared" si="68"/>
        <v>6.0492873630601249E-3</v>
      </c>
      <c r="AB11" s="555">
        <f t="shared" si="69"/>
        <v>5.7251396648044699E-3</v>
      </c>
      <c r="AC11" s="555">
        <f t="shared" si="70"/>
        <v>6.2873239436619724E-3</v>
      </c>
      <c r="AD11" s="556">
        <f t="shared" si="71"/>
        <v>8.0905660377358496E-3</v>
      </c>
      <c r="AE11" s="556">
        <f t="shared" si="72"/>
        <v>1.0529032258064517E-2</v>
      </c>
      <c r="AF11" s="556">
        <f t="shared" si="73"/>
        <v>1.3447619047619047E-2</v>
      </c>
      <c r="AG11" s="556">
        <f t="shared" si="74"/>
        <v>3.1465531914893617E-2</v>
      </c>
      <c r="AH11" s="546">
        <f t="shared" si="75"/>
        <v>0.59664204128812193</v>
      </c>
      <c r="AI11" s="547">
        <f t="shared" si="76"/>
        <v>0.56467130940537236</v>
      </c>
      <c r="AJ11" s="547">
        <f t="shared" si="77"/>
        <v>0.62011962184063296</v>
      </c>
      <c r="AK11" s="547">
        <f t="shared" si="78"/>
        <v>0.79797363659860432</v>
      </c>
      <c r="AL11" s="547">
        <f t="shared" si="79"/>
        <v>1.0384798939460893</v>
      </c>
      <c r="AM11" s="547">
        <f t="shared" si="80"/>
        <v>1.3263405088062621</v>
      </c>
      <c r="AN11" s="548">
        <f t="shared" si="81"/>
        <v>3.1034497231127949</v>
      </c>
      <c r="AO11" s="547">
        <f t="shared" si="82"/>
        <v>6.0492873630601247</v>
      </c>
      <c r="AP11" s="547">
        <f t="shared" si="83"/>
        <v>5.7251396648044697</v>
      </c>
      <c r="AQ11" s="547">
        <f t="shared" si="84"/>
        <v>6.2873239436619723</v>
      </c>
      <c r="AR11" s="547">
        <f t="shared" si="85"/>
        <v>8.090566037735849</v>
      </c>
      <c r="AS11" s="547">
        <f t="shared" si="86"/>
        <v>10.529032258064516</v>
      </c>
      <c r="AT11" s="547">
        <f t="shared" si="87"/>
        <v>13.447619047619046</v>
      </c>
      <c r="AU11" s="548">
        <f t="shared" si="88"/>
        <v>31.465531914893617</v>
      </c>
      <c r="AV11" s="554">
        <f t="shared" si="89"/>
        <v>0.59664204128812193</v>
      </c>
      <c r="AW11" s="555">
        <f t="shared" si="90"/>
        <v>0.5923954656230026</v>
      </c>
      <c r="AX11" s="556">
        <f t="shared" si="91"/>
        <v>1.5665609406159378</v>
      </c>
      <c r="AY11" s="554">
        <f t="shared" si="92"/>
        <v>6.0492873630601247</v>
      </c>
      <c r="AZ11" s="555">
        <f t="shared" si="93"/>
        <v>6.006231804233221</v>
      </c>
      <c r="BA11" s="556">
        <f t="shared" si="94"/>
        <v>15.88318731457826</v>
      </c>
      <c r="BB11" s="549">
        <f t="shared" ref="BB11:BB12" si="96">1100/AH11</f>
        <v>1843.6515094128333</v>
      </c>
      <c r="BC11" s="549">
        <f t="shared" ref="BC11:BC12" si="97">1100/AI11</f>
        <v>1948.0359311301934</v>
      </c>
      <c r="BD11" s="549">
        <f t="shared" ref="BD11:BD12" si="98">1100/AJ11</f>
        <v>1773.8513042612501</v>
      </c>
      <c r="BE11" s="549">
        <f t="shared" ref="BE11:BE12" si="99">1100/AK11</f>
        <v>1378.4916563018242</v>
      </c>
      <c r="BF11" s="549">
        <f t="shared" ref="BF11:BF12" si="100">1100/AL11</f>
        <v>1059.2405364923748</v>
      </c>
      <c r="BG11" s="549">
        <f t="shared" ref="BG11:BG12" si="101">1100/AM11</f>
        <v>829.34962228517475</v>
      </c>
      <c r="BH11" s="549">
        <f t="shared" ref="BH11:BH12" si="102">1100/AN11</f>
        <v>354.44427915419482</v>
      </c>
      <c r="BI11" s="551">
        <f t="shared" si="95"/>
        <v>181.83960092838905</v>
      </c>
      <c r="BJ11" s="551">
        <f t="shared" ref="BJ11:BJ12" si="103">1100/AP11</f>
        <v>192.1350507416081</v>
      </c>
      <c r="BK11" s="551">
        <f t="shared" ref="BK11:BK12" si="104">1100/AQ11</f>
        <v>174.95519713261646</v>
      </c>
      <c r="BL11" s="551">
        <f t="shared" ref="BL11:BL12" si="105">1100/AR11</f>
        <v>135.96082089552237</v>
      </c>
      <c r="BM11" s="551">
        <f t="shared" ref="BM11:BM12" si="106">1100/AS11</f>
        <v>104.47303921568627</v>
      </c>
      <c r="BN11" s="551">
        <f t="shared" ref="BN11:BN12" si="107">1100/AT11</f>
        <v>81.798866855524082</v>
      </c>
      <c r="BO11" s="551">
        <f t="shared" ref="BO11:BO12" si="108">1100/AU11</f>
        <v>34.958887806989075</v>
      </c>
    </row>
    <row r="12" spans="1:67" s="564" customFormat="1" ht="14.5" customHeight="1">
      <c r="A12" s="888"/>
      <c r="B12" s="559" t="s">
        <v>65</v>
      </c>
      <c r="C12" s="888"/>
      <c r="D12" s="530">
        <v>1</v>
      </c>
      <c r="E12" s="531">
        <v>1</v>
      </c>
      <c r="F12" s="531">
        <v>1</v>
      </c>
      <c r="G12" s="235">
        <f>'Compiled Articles'!E14</f>
        <v>120</v>
      </c>
      <c r="H12" s="235">
        <f>'Compiled Articles'!$E$11</f>
        <v>36</v>
      </c>
      <c r="I12" s="235">
        <v>1</v>
      </c>
      <c r="J12" s="538">
        <f t="shared" si="59"/>
        <v>4.8000000000000001E-5</v>
      </c>
      <c r="K12" s="539">
        <f t="shared" si="60"/>
        <v>9.6000000000000002E-5</v>
      </c>
      <c r="L12" s="560" t="s">
        <v>1388</v>
      </c>
      <c r="M12" s="541">
        <f>(INDEX('Dermal Calcs'!$B$79:$H$85, MATCH($L12,'Dermal Calcs'!$A$79:$A$85, 0), MATCH(M$3, 'Dermal Calcs'!$B$78:$H$78, 0)))*$K12*$D12</f>
        <v>1.5123218407650312E-3</v>
      </c>
      <c r="N12" s="542">
        <f>(INDEX('Dermal Calcs'!$B$79:$H$85, MATCH($L12,'Dermal Calcs'!$A$79:$A$85, 0), MATCH(N$3, 'Dermal Calcs'!$B$78:$H$78, 0)))*$K12*$E12</f>
        <v>1.4312849162011175E-3</v>
      </c>
      <c r="O12" s="542">
        <f>(INDEX('Dermal Calcs'!$B$79:$H$85, MATCH($L12,'Dermal Calcs'!$A$79:$A$85, 0), MATCH(O$3, 'Dermal Calcs'!$B$78:$H$78, 0)))*$K12*$E12</f>
        <v>1.5718309859154931E-3</v>
      </c>
      <c r="P12" s="543">
        <f>(INDEX('Dermal Calcs'!$B$79:$H$85, MATCH($L12,'Dermal Calcs'!$A$79:$A$85, 0), MATCH(P$3, 'Dermal Calcs'!$B$78:$H$78, 0)))*$K12*$F12</f>
        <v>2.0226415094339624E-3</v>
      </c>
      <c r="Q12" s="543">
        <f>(INDEX('Dermal Calcs'!$B$79:$H$85, MATCH($L12,'Dermal Calcs'!$A$79:$A$85, 0), MATCH(Q$3, 'Dermal Calcs'!$B$78:$H$78, 0)))*$K12*$F12</f>
        <v>2.6322580645161292E-3</v>
      </c>
      <c r="R12" s="543">
        <f>(INDEX('Dermal Calcs'!$B$79:$H$85, MATCH($L12,'Dermal Calcs'!$A$79:$A$85, 0), MATCH(R$3, 'Dermal Calcs'!$B$78:$H$78, 0)))*$K12*$F12</f>
        <v>3.3619047619047617E-3</v>
      </c>
      <c r="S12" s="544">
        <f>(INDEX('Dermal Calcs'!$B$79:$H$85, MATCH($L12,'Dermal Calcs'!$A$79:$A$85, 0), MATCH(S$3, 'Dermal Calcs'!$B$78:$H$78, 0)))*$K12*$F12</f>
        <v>7.8663829787234043E-3</v>
      </c>
      <c r="T12" s="561">
        <f t="shared" si="61"/>
        <v>5.4443586267541123E-2</v>
      </c>
      <c r="U12" s="562">
        <f t="shared" si="62"/>
        <v>5.1526256983240232E-2</v>
      </c>
      <c r="V12" s="562">
        <f t="shared" si="63"/>
        <v>5.6585915492957752E-2</v>
      </c>
      <c r="W12" s="563">
        <f t="shared" si="64"/>
        <v>7.2815094339622646E-2</v>
      </c>
      <c r="X12" s="563">
        <f t="shared" si="65"/>
        <v>9.4761290322580655E-2</v>
      </c>
      <c r="Y12" s="563">
        <f t="shared" si="66"/>
        <v>0.12102857142857142</v>
      </c>
      <c r="Z12" s="563">
        <f t="shared" si="67"/>
        <v>0.28318978723404253</v>
      </c>
      <c r="AA12" s="561">
        <f t="shared" si="68"/>
        <v>1.5123218407650312E-3</v>
      </c>
      <c r="AB12" s="562">
        <f t="shared" si="69"/>
        <v>1.4312849162011175E-3</v>
      </c>
      <c r="AC12" s="562">
        <f t="shared" si="70"/>
        <v>1.5718309859154931E-3</v>
      </c>
      <c r="AD12" s="563">
        <f t="shared" si="71"/>
        <v>2.0226415094339624E-3</v>
      </c>
      <c r="AE12" s="563">
        <f t="shared" si="72"/>
        <v>2.6322580645161292E-3</v>
      </c>
      <c r="AF12" s="563">
        <f t="shared" si="73"/>
        <v>3.3619047619047617E-3</v>
      </c>
      <c r="AG12" s="563">
        <f t="shared" si="74"/>
        <v>7.8663829787234043E-3</v>
      </c>
      <c r="AH12" s="546">
        <f t="shared" si="75"/>
        <v>0.14916051032203048</v>
      </c>
      <c r="AI12" s="547">
        <f t="shared" si="76"/>
        <v>0.14116782735134309</v>
      </c>
      <c r="AJ12" s="547">
        <f t="shared" si="77"/>
        <v>0.15502990546015824</v>
      </c>
      <c r="AK12" s="547">
        <f t="shared" si="78"/>
        <v>0.19949340914965108</v>
      </c>
      <c r="AL12" s="547">
        <f t="shared" si="79"/>
        <v>0.25961997348652233</v>
      </c>
      <c r="AM12" s="547">
        <f t="shared" si="80"/>
        <v>0.33158512720156552</v>
      </c>
      <c r="AN12" s="548">
        <f t="shared" si="81"/>
        <v>0.77586243077819872</v>
      </c>
      <c r="AO12" s="547">
        <f t="shared" si="82"/>
        <v>1.5123218407650312</v>
      </c>
      <c r="AP12" s="547">
        <f t="shared" si="83"/>
        <v>1.4312849162011174</v>
      </c>
      <c r="AQ12" s="547">
        <f t="shared" si="84"/>
        <v>1.5718309859154931</v>
      </c>
      <c r="AR12" s="547">
        <f t="shared" si="85"/>
        <v>2.0226415094339623</v>
      </c>
      <c r="AS12" s="547">
        <f t="shared" si="86"/>
        <v>2.6322580645161291</v>
      </c>
      <c r="AT12" s="547">
        <f t="shared" si="87"/>
        <v>3.3619047619047615</v>
      </c>
      <c r="AU12" s="548">
        <f t="shared" si="88"/>
        <v>7.8663829787234043</v>
      </c>
      <c r="AV12" s="561">
        <f t="shared" si="89"/>
        <v>0.14916051032203048</v>
      </c>
      <c r="AW12" s="562">
        <f t="shared" si="90"/>
        <v>0.14809886640575065</v>
      </c>
      <c r="AX12" s="563">
        <f t="shared" si="91"/>
        <v>0.39164023515398444</v>
      </c>
      <c r="AY12" s="561">
        <f t="shared" si="92"/>
        <v>1.5123218407650312</v>
      </c>
      <c r="AZ12" s="562">
        <f t="shared" si="93"/>
        <v>1.5015579510583053</v>
      </c>
      <c r="BA12" s="563">
        <f t="shared" si="94"/>
        <v>3.970796828644565</v>
      </c>
      <c r="BB12" s="549">
        <f t="shared" si="96"/>
        <v>7374.6060376513333</v>
      </c>
      <c r="BC12" s="549">
        <f t="shared" si="97"/>
        <v>7792.1437245207735</v>
      </c>
      <c r="BD12" s="549">
        <f t="shared" si="98"/>
        <v>7095.4052170450004</v>
      </c>
      <c r="BE12" s="549">
        <f t="shared" si="99"/>
        <v>5513.9666252072966</v>
      </c>
      <c r="BF12" s="549">
        <f t="shared" si="100"/>
        <v>4236.962145969499</v>
      </c>
      <c r="BG12" s="549">
        <f t="shared" si="101"/>
        <v>3317.398489140699</v>
      </c>
      <c r="BH12" s="549">
        <f t="shared" si="102"/>
        <v>1417.7771166167793</v>
      </c>
      <c r="BI12" s="551">
        <f t="shared" si="95"/>
        <v>727.35840371355619</v>
      </c>
      <c r="BJ12" s="551">
        <f t="shared" si="103"/>
        <v>768.54020296643239</v>
      </c>
      <c r="BK12" s="551">
        <f t="shared" si="104"/>
        <v>699.82078853046585</v>
      </c>
      <c r="BL12" s="551">
        <f t="shared" si="105"/>
        <v>543.8432835820895</v>
      </c>
      <c r="BM12" s="551">
        <f t="shared" si="106"/>
        <v>417.89215686274508</v>
      </c>
      <c r="BN12" s="551">
        <f t="shared" si="107"/>
        <v>327.19546742209633</v>
      </c>
      <c r="BO12" s="551">
        <f t="shared" si="108"/>
        <v>139.8355512279563</v>
      </c>
    </row>
    <row r="13" spans="1:67" s="667" customFormat="1" ht="14.5" customHeight="1">
      <c r="A13" s="886" t="str">
        <f>'Compiled Articles'!F6</f>
        <v>Car Mats</v>
      </c>
      <c r="B13" s="461" t="s">
        <v>69</v>
      </c>
      <c r="C13" s="886" t="s">
        <v>876</v>
      </c>
      <c r="D13" s="527">
        <v>1</v>
      </c>
      <c r="E13" s="640">
        <v>1</v>
      </c>
      <c r="F13" s="640">
        <v>0</v>
      </c>
      <c r="G13" s="235">
        <f>'Compiled Articles'!F12</f>
        <v>60</v>
      </c>
      <c r="H13" s="235">
        <f>'Compiled Articles'!$F$11</f>
        <v>52</v>
      </c>
      <c r="I13" s="235">
        <v>1</v>
      </c>
      <c r="J13" s="538">
        <f t="shared" si="59"/>
        <v>4.8000000000000001E-5</v>
      </c>
      <c r="K13" s="539">
        <f t="shared" si="36"/>
        <v>4.8000000000000001E-5</v>
      </c>
      <c r="L13" s="540" t="s">
        <v>1390</v>
      </c>
      <c r="M13" s="541">
        <f>(INDEX('Dermal Calcs'!$B$79:$H$85, MATCH($L13,'Dermal Calcs'!$A$79:$A$85, 0), MATCH(M$3, 'Dermal Calcs'!$B$78:$H$78, 0)))*$K13*$D13</f>
        <v>5.9461400359066448E-5</v>
      </c>
      <c r="N13" s="542">
        <f>(INDEX('Dermal Calcs'!$B$79:$H$85, MATCH($L13,'Dermal Calcs'!$A$79:$A$85, 0), MATCH(N$3, 'Dermal Calcs'!$B$78:$H$78, 0)))*$K13*$E13</f>
        <v>5.5642458100558674E-5</v>
      </c>
      <c r="O13" s="542">
        <f>(INDEX('Dermal Calcs'!$B$79:$H$85, MATCH($L13,'Dermal Calcs'!$A$79:$A$85, 0), MATCH(O$3, 'Dermal Calcs'!$B$78:$H$78, 0)))*$K13*$E13</f>
        <v>6.0845070422535219E-5</v>
      </c>
      <c r="P13" s="543">
        <f>(INDEX('Dermal Calcs'!$B$79:$H$85, MATCH($L13,'Dermal Calcs'!$A$79:$A$85, 0), MATCH(P$3, 'Dermal Calcs'!$B$78:$H$78, 0)))*$K13*$F13</f>
        <v>0</v>
      </c>
      <c r="Q13" s="543">
        <f>(INDEX('Dermal Calcs'!$B$79:$H$85, MATCH($L13,'Dermal Calcs'!$A$79:$A$85, 0), MATCH(Q$3, 'Dermal Calcs'!$B$78:$H$78, 0)))*$K13*$F13</f>
        <v>0</v>
      </c>
      <c r="R13" s="543">
        <f>(INDEX('Dermal Calcs'!$B$79:$H$85, MATCH($L13,'Dermal Calcs'!$A$79:$A$85, 0), MATCH(R$3, 'Dermal Calcs'!$B$78:$H$78, 0)))*$K13*$F13</f>
        <v>0</v>
      </c>
      <c r="S13" s="544">
        <f>(INDEX('Dermal Calcs'!$B$79:$H$85, MATCH($L13,'Dermal Calcs'!$A$79:$A$85, 0), MATCH(S$3, 'Dermal Calcs'!$B$78:$H$78, 0)))*$K13*$F13</f>
        <v>0</v>
      </c>
      <c r="T13" s="541">
        <f t="shared" si="1"/>
        <v>3.0919928186714553E-3</v>
      </c>
      <c r="U13" s="542">
        <f t="shared" si="2"/>
        <v>2.8934078212290511E-3</v>
      </c>
      <c r="V13" s="542">
        <f t="shared" si="3"/>
        <v>3.1639436619718313E-3</v>
      </c>
      <c r="W13" s="545">
        <f t="shared" si="4"/>
        <v>0</v>
      </c>
      <c r="X13" s="545">
        <f t="shared" si="5"/>
        <v>0</v>
      </c>
      <c r="Y13" s="545">
        <f t="shared" si="6"/>
        <v>0</v>
      </c>
      <c r="Z13" s="545">
        <f t="shared" si="7"/>
        <v>0</v>
      </c>
      <c r="AA13" s="541">
        <f t="shared" si="8"/>
        <v>5.9461400359066448E-5</v>
      </c>
      <c r="AB13" s="542">
        <f t="shared" si="9"/>
        <v>5.5642458100558674E-5</v>
      </c>
      <c r="AC13" s="542">
        <f t="shared" si="10"/>
        <v>6.0845070422535219E-5</v>
      </c>
      <c r="AD13" s="545">
        <f t="shared" si="11"/>
        <v>0</v>
      </c>
      <c r="AE13" s="545">
        <f t="shared" si="12"/>
        <v>0</v>
      </c>
      <c r="AF13" s="545">
        <f t="shared" si="13"/>
        <v>0</v>
      </c>
      <c r="AG13" s="545">
        <f t="shared" si="14"/>
        <v>0</v>
      </c>
      <c r="AH13" s="546">
        <f t="shared" si="15"/>
        <v>8.4712132018396041E-3</v>
      </c>
      <c r="AI13" s="547">
        <f t="shared" si="16"/>
        <v>7.9271447156960308E-3</v>
      </c>
      <c r="AJ13" s="547">
        <f t="shared" si="17"/>
        <v>8.6683387999228253E-3</v>
      </c>
      <c r="AK13" s="547">
        <f t="shared" si="18"/>
        <v>0</v>
      </c>
      <c r="AL13" s="547">
        <f t="shared" si="19"/>
        <v>0</v>
      </c>
      <c r="AM13" s="547">
        <f t="shared" si="20"/>
        <v>0</v>
      </c>
      <c r="AN13" s="548">
        <f t="shared" si="21"/>
        <v>0</v>
      </c>
      <c r="AO13" s="547">
        <f t="shared" si="37"/>
        <v>5.9461400359066448E-2</v>
      </c>
      <c r="AP13" s="547">
        <f t="shared" si="22"/>
        <v>5.5642458100558671E-2</v>
      </c>
      <c r="AQ13" s="547">
        <f t="shared" si="23"/>
        <v>6.0845070422535216E-2</v>
      </c>
      <c r="AR13" s="547">
        <f t="shared" si="24"/>
        <v>0</v>
      </c>
      <c r="AS13" s="547">
        <f t="shared" si="25"/>
        <v>0</v>
      </c>
      <c r="AT13" s="547">
        <f t="shared" si="26"/>
        <v>0</v>
      </c>
      <c r="AU13" s="548">
        <f t="shared" si="27"/>
        <v>0</v>
      </c>
      <c r="AV13" s="541">
        <f t="shared" si="28"/>
        <v>8.4712132018396041E-3</v>
      </c>
      <c r="AW13" s="542">
        <f t="shared" si="29"/>
        <v>8.2977417578094289E-3</v>
      </c>
      <c r="AX13" s="545">
        <f t="shared" si="30"/>
        <v>0</v>
      </c>
      <c r="AY13" s="541">
        <f t="shared" si="31"/>
        <v>5.9461400359066448E-2</v>
      </c>
      <c r="AZ13" s="542">
        <f t="shared" si="32"/>
        <v>5.824376426154694E-2</v>
      </c>
      <c r="BA13" s="545">
        <f t="shared" si="33"/>
        <v>0</v>
      </c>
      <c r="BB13" s="549">
        <f t="shared" ref="BB13:BB15" si="109">1100/AH13</f>
        <v>129851.53056484573</v>
      </c>
      <c r="BC13" s="549">
        <f t="shared" ref="BC13:BC15" si="110">1100/AI13</f>
        <v>138763.70868087732</v>
      </c>
      <c r="BD13" s="549">
        <f t="shared" ref="BD13:BD15" si="111">1100/AJ13</f>
        <v>126898.59330484329</v>
      </c>
      <c r="BE13" s="557" t="s">
        <v>47</v>
      </c>
      <c r="BF13" s="557" t="s">
        <v>47</v>
      </c>
      <c r="BG13" s="557" t="s">
        <v>47</v>
      </c>
      <c r="BH13" s="558" t="s">
        <v>47</v>
      </c>
      <c r="BI13" s="551">
        <f t="shared" si="38"/>
        <v>18499.396135265695</v>
      </c>
      <c r="BJ13" s="551">
        <f t="shared" si="39"/>
        <v>19769.076305220879</v>
      </c>
      <c r="BK13" s="551">
        <f t="shared" si="54"/>
        <v>18078.703703703701</v>
      </c>
      <c r="BL13" s="557" t="s">
        <v>47</v>
      </c>
      <c r="BM13" s="557" t="s">
        <v>47</v>
      </c>
      <c r="BN13" s="557" t="s">
        <v>47</v>
      </c>
      <c r="BO13" s="558" t="s">
        <v>47</v>
      </c>
    </row>
    <row r="14" spans="1:67" s="667" customFormat="1" ht="14.5" customHeight="1">
      <c r="A14" s="887"/>
      <c r="B14" s="461" t="s">
        <v>1065</v>
      </c>
      <c r="C14" s="887"/>
      <c r="D14" s="527">
        <v>1</v>
      </c>
      <c r="E14" s="640">
        <v>1</v>
      </c>
      <c r="F14" s="640">
        <v>0</v>
      </c>
      <c r="G14" s="235">
        <f>'Compiled Articles'!F13</f>
        <v>30</v>
      </c>
      <c r="H14" s="235">
        <f>'Compiled Articles'!$F$11</f>
        <v>52</v>
      </c>
      <c r="I14" s="235">
        <v>1</v>
      </c>
      <c r="J14" s="538">
        <f t="shared" si="59"/>
        <v>4.8000000000000001E-5</v>
      </c>
      <c r="K14" s="539">
        <f t="shared" si="36"/>
        <v>2.4000000000000001E-5</v>
      </c>
      <c r="L14" s="553" t="s">
        <v>1390</v>
      </c>
      <c r="M14" s="541">
        <f>(INDEX('Dermal Calcs'!$B$79:$H$85, MATCH($L14,'Dermal Calcs'!$A$79:$A$85, 0), MATCH(M$3, 'Dermal Calcs'!$B$78:$H$78, 0)))*$K14*$D14</f>
        <v>2.9730700179533224E-5</v>
      </c>
      <c r="N14" s="542">
        <f>(INDEX('Dermal Calcs'!$B$79:$H$85, MATCH($L14,'Dermal Calcs'!$A$79:$A$85, 0), MATCH(N$3, 'Dermal Calcs'!$B$78:$H$78, 0)))*$K14*$E14</f>
        <v>2.7821229050279337E-5</v>
      </c>
      <c r="O14" s="542">
        <f>(INDEX('Dermal Calcs'!$B$79:$H$85, MATCH($L14,'Dermal Calcs'!$A$79:$A$85, 0), MATCH(O$3, 'Dermal Calcs'!$B$78:$H$78, 0)))*$K14*$E14</f>
        <v>3.042253521126761E-5</v>
      </c>
      <c r="P14" s="543">
        <f>(INDEX('Dermal Calcs'!$B$79:$H$85, MATCH($L14,'Dermal Calcs'!$A$79:$A$85, 0), MATCH(P$3, 'Dermal Calcs'!$B$78:$H$78, 0)))*$K14*$F14</f>
        <v>0</v>
      </c>
      <c r="Q14" s="543">
        <f>(INDEX('Dermal Calcs'!$B$79:$H$85, MATCH($L14,'Dermal Calcs'!$A$79:$A$85, 0), MATCH(Q$3, 'Dermal Calcs'!$B$78:$H$78, 0)))*$K14*$F14</f>
        <v>0</v>
      </c>
      <c r="R14" s="543">
        <f>(INDEX('Dermal Calcs'!$B$79:$H$85, MATCH($L14,'Dermal Calcs'!$A$79:$A$85, 0), MATCH(R$3, 'Dermal Calcs'!$B$78:$H$78, 0)))*$K14*$F14</f>
        <v>0</v>
      </c>
      <c r="S14" s="544">
        <f>(INDEX('Dermal Calcs'!$B$79:$H$85, MATCH($L14,'Dermal Calcs'!$A$79:$A$85, 0), MATCH(S$3, 'Dermal Calcs'!$B$78:$H$78, 0)))*$K14*$F14</f>
        <v>0</v>
      </c>
      <c r="T14" s="554">
        <f t="shared" si="1"/>
        <v>1.5459964093357276E-3</v>
      </c>
      <c r="U14" s="555">
        <f t="shared" si="2"/>
        <v>1.4467039106145255E-3</v>
      </c>
      <c r="V14" s="555">
        <f t="shared" si="3"/>
        <v>1.5819718309859157E-3</v>
      </c>
      <c r="W14" s="556">
        <f t="shared" si="4"/>
        <v>0</v>
      </c>
      <c r="X14" s="556">
        <f t="shared" si="5"/>
        <v>0</v>
      </c>
      <c r="Y14" s="556">
        <f t="shared" si="6"/>
        <v>0</v>
      </c>
      <c r="Z14" s="556">
        <f t="shared" si="7"/>
        <v>0</v>
      </c>
      <c r="AA14" s="554">
        <f t="shared" si="8"/>
        <v>2.9730700179533224E-5</v>
      </c>
      <c r="AB14" s="555">
        <f t="shared" si="9"/>
        <v>2.7821229050279337E-5</v>
      </c>
      <c r="AC14" s="555">
        <f t="shared" si="10"/>
        <v>3.042253521126761E-5</v>
      </c>
      <c r="AD14" s="556">
        <f t="shared" si="11"/>
        <v>0</v>
      </c>
      <c r="AE14" s="556">
        <f t="shared" si="12"/>
        <v>0</v>
      </c>
      <c r="AF14" s="556">
        <f t="shared" si="13"/>
        <v>0</v>
      </c>
      <c r="AG14" s="556">
        <f t="shared" si="14"/>
        <v>0</v>
      </c>
      <c r="AH14" s="546">
        <f t="shared" si="15"/>
        <v>4.235606600919802E-3</v>
      </c>
      <c r="AI14" s="547">
        <f t="shared" si="16"/>
        <v>3.9635723578480154E-3</v>
      </c>
      <c r="AJ14" s="547">
        <f t="shared" si="17"/>
        <v>4.3341693999614126E-3</v>
      </c>
      <c r="AK14" s="547">
        <f t="shared" si="18"/>
        <v>0</v>
      </c>
      <c r="AL14" s="547">
        <f t="shared" si="19"/>
        <v>0</v>
      </c>
      <c r="AM14" s="547">
        <f t="shared" si="20"/>
        <v>0</v>
      </c>
      <c r="AN14" s="548">
        <f t="shared" si="21"/>
        <v>0</v>
      </c>
      <c r="AO14" s="547">
        <f t="shared" si="37"/>
        <v>2.9730700179533224E-2</v>
      </c>
      <c r="AP14" s="547">
        <f t="shared" si="22"/>
        <v>2.7821229050279336E-2</v>
      </c>
      <c r="AQ14" s="547">
        <f t="shared" si="23"/>
        <v>3.0422535211267608E-2</v>
      </c>
      <c r="AR14" s="547">
        <f t="shared" si="24"/>
        <v>0</v>
      </c>
      <c r="AS14" s="547">
        <f t="shared" si="25"/>
        <v>0</v>
      </c>
      <c r="AT14" s="547">
        <f t="shared" si="26"/>
        <v>0</v>
      </c>
      <c r="AU14" s="548">
        <f t="shared" si="27"/>
        <v>0</v>
      </c>
      <c r="AV14" s="554">
        <f t="shared" si="28"/>
        <v>4.235606600919802E-3</v>
      </c>
      <c r="AW14" s="555">
        <f t="shared" si="29"/>
        <v>4.1488708789047144E-3</v>
      </c>
      <c r="AX14" s="556">
        <f t="shared" si="30"/>
        <v>0</v>
      </c>
      <c r="AY14" s="554">
        <f t="shared" si="31"/>
        <v>2.9730700179533224E-2</v>
      </c>
      <c r="AZ14" s="555">
        <f t="shared" si="32"/>
        <v>2.912188213077347E-2</v>
      </c>
      <c r="BA14" s="556">
        <f t="shared" si="33"/>
        <v>0</v>
      </c>
      <c r="BB14" s="549">
        <f t="shared" si="109"/>
        <v>259703.06112969146</v>
      </c>
      <c r="BC14" s="549">
        <f t="shared" si="110"/>
        <v>277527.41736175463</v>
      </c>
      <c r="BD14" s="549">
        <f t="shared" si="111"/>
        <v>253797.18660968659</v>
      </c>
      <c r="BE14" s="557" t="s">
        <v>47</v>
      </c>
      <c r="BF14" s="557" t="s">
        <v>47</v>
      </c>
      <c r="BG14" s="557" t="s">
        <v>47</v>
      </c>
      <c r="BH14" s="558" t="s">
        <v>47</v>
      </c>
      <c r="BI14" s="551">
        <f t="shared" si="38"/>
        <v>36998.79227053139</v>
      </c>
      <c r="BJ14" s="551">
        <f t="shared" si="39"/>
        <v>39538.152610441757</v>
      </c>
      <c r="BK14" s="551">
        <f t="shared" si="54"/>
        <v>36157.407407407401</v>
      </c>
      <c r="BL14" s="557" t="s">
        <v>47</v>
      </c>
      <c r="BM14" s="557" t="s">
        <v>47</v>
      </c>
      <c r="BN14" s="557" t="s">
        <v>47</v>
      </c>
      <c r="BO14" s="558" t="s">
        <v>47</v>
      </c>
    </row>
    <row r="15" spans="1:67" s="564" customFormat="1" ht="14.5" customHeight="1">
      <c r="A15" s="888"/>
      <c r="B15" s="559" t="s">
        <v>65</v>
      </c>
      <c r="C15" s="888"/>
      <c r="D15" s="530">
        <v>1</v>
      </c>
      <c r="E15" s="531">
        <v>1</v>
      </c>
      <c r="F15" s="531">
        <v>0</v>
      </c>
      <c r="G15" s="235">
        <f>'Compiled Articles'!F14</f>
        <v>15</v>
      </c>
      <c r="H15" s="235">
        <f>'Compiled Articles'!$F$11</f>
        <v>52</v>
      </c>
      <c r="I15" s="235">
        <v>1</v>
      </c>
      <c r="J15" s="538">
        <f t="shared" si="59"/>
        <v>4.8000000000000001E-5</v>
      </c>
      <c r="K15" s="539">
        <f t="shared" si="36"/>
        <v>1.2E-5</v>
      </c>
      <c r="L15" s="560" t="s">
        <v>1390</v>
      </c>
      <c r="M15" s="541">
        <f>(INDEX('Dermal Calcs'!$B$79:$H$85, MATCH($L15,'Dermal Calcs'!$A$79:$A$85, 0), MATCH(M$3, 'Dermal Calcs'!$B$78:$H$78, 0)))*$K15*$D15</f>
        <v>1.4865350089766612E-5</v>
      </c>
      <c r="N15" s="542">
        <f>(INDEX('Dermal Calcs'!$B$79:$H$85, MATCH($L15,'Dermal Calcs'!$A$79:$A$85, 0), MATCH(N$3, 'Dermal Calcs'!$B$78:$H$78, 0)))*$K15*$E15</f>
        <v>1.3910614525139668E-5</v>
      </c>
      <c r="O15" s="542">
        <f>(INDEX('Dermal Calcs'!$B$79:$H$85, MATCH($L15,'Dermal Calcs'!$A$79:$A$85, 0), MATCH(O$3, 'Dermal Calcs'!$B$78:$H$78, 0)))*$K15*$E15</f>
        <v>1.5211267605633805E-5</v>
      </c>
      <c r="P15" s="543">
        <f>(INDEX('Dermal Calcs'!$B$79:$H$85, MATCH($L15,'Dermal Calcs'!$A$79:$A$85, 0), MATCH(P$3, 'Dermal Calcs'!$B$78:$H$78, 0)))*$K15*$F15</f>
        <v>0</v>
      </c>
      <c r="Q15" s="543">
        <f>(INDEX('Dermal Calcs'!$B$79:$H$85, MATCH($L15,'Dermal Calcs'!$A$79:$A$85, 0), MATCH(Q$3, 'Dermal Calcs'!$B$78:$H$78, 0)))*$K15*$F15</f>
        <v>0</v>
      </c>
      <c r="R15" s="543">
        <f>(INDEX('Dermal Calcs'!$B$79:$H$85, MATCH($L15,'Dermal Calcs'!$A$79:$A$85, 0), MATCH(R$3, 'Dermal Calcs'!$B$78:$H$78, 0)))*$K15*$F15</f>
        <v>0</v>
      </c>
      <c r="S15" s="544">
        <f>(INDEX('Dermal Calcs'!$B$79:$H$85, MATCH($L15,'Dermal Calcs'!$A$79:$A$85, 0), MATCH(S$3, 'Dermal Calcs'!$B$78:$H$78, 0)))*$K15*$F15</f>
        <v>0</v>
      </c>
      <c r="T15" s="561">
        <f t="shared" si="1"/>
        <v>7.7299820466786382E-4</v>
      </c>
      <c r="U15" s="562">
        <f t="shared" si="2"/>
        <v>7.2335195530726277E-4</v>
      </c>
      <c r="V15" s="562">
        <f t="shared" si="3"/>
        <v>7.9098591549295783E-4</v>
      </c>
      <c r="W15" s="563">
        <f t="shared" si="4"/>
        <v>0</v>
      </c>
      <c r="X15" s="563">
        <f t="shared" si="5"/>
        <v>0</v>
      </c>
      <c r="Y15" s="563">
        <f t="shared" si="6"/>
        <v>0</v>
      </c>
      <c r="Z15" s="563">
        <f t="shared" si="7"/>
        <v>0</v>
      </c>
      <c r="AA15" s="561">
        <f t="shared" si="8"/>
        <v>1.4865350089766612E-5</v>
      </c>
      <c r="AB15" s="562">
        <f t="shared" si="9"/>
        <v>1.3910614525139668E-5</v>
      </c>
      <c r="AC15" s="562">
        <f t="shared" si="10"/>
        <v>1.5211267605633805E-5</v>
      </c>
      <c r="AD15" s="563">
        <f t="shared" si="11"/>
        <v>0</v>
      </c>
      <c r="AE15" s="563">
        <f t="shared" si="12"/>
        <v>0</v>
      </c>
      <c r="AF15" s="563">
        <f t="shared" si="13"/>
        <v>0</v>
      </c>
      <c r="AG15" s="563">
        <f t="shared" si="14"/>
        <v>0</v>
      </c>
      <c r="AH15" s="546">
        <f t="shared" si="15"/>
        <v>2.117803300459901E-3</v>
      </c>
      <c r="AI15" s="547">
        <f t="shared" si="16"/>
        <v>1.9817861789240077E-3</v>
      </c>
      <c r="AJ15" s="547">
        <f t="shared" si="17"/>
        <v>2.1670846999807063E-3</v>
      </c>
      <c r="AK15" s="547">
        <f t="shared" si="18"/>
        <v>0</v>
      </c>
      <c r="AL15" s="547">
        <f t="shared" si="19"/>
        <v>0</v>
      </c>
      <c r="AM15" s="547">
        <f t="shared" si="20"/>
        <v>0</v>
      </c>
      <c r="AN15" s="548">
        <f t="shared" si="21"/>
        <v>0</v>
      </c>
      <c r="AO15" s="547">
        <f t="shared" si="37"/>
        <v>1.4865350089766612E-2</v>
      </c>
      <c r="AP15" s="547">
        <f t="shared" si="22"/>
        <v>1.3910614525139668E-2</v>
      </c>
      <c r="AQ15" s="547">
        <f t="shared" si="23"/>
        <v>1.5211267605633804E-2</v>
      </c>
      <c r="AR15" s="547">
        <f t="shared" si="24"/>
        <v>0</v>
      </c>
      <c r="AS15" s="547">
        <f t="shared" si="25"/>
        <v>0</v>
      </c>
      <c r="AT15" s="547">
        <f t="shared" si="26"/>
        <v>0</v>
      </c>
      <c r="AU15" s="548">
        <f t="shared" si="27"/>
        <v>0</v>
      </c>
      <c r="AV15" s="561">
        <f t="shared" si="28"/>
        <v>2.117803300459901E-3</v>
      </c>
      <c r="AW15" s="562">
        <f t="shared" si="29"/>
        <v>2.0744354394523572E-3</v>
      </c>
      <c r="AX15" s="563">
        <f t="shared" si="30"/>
        <v>0</v>
      </c>
      <c r="AY15" s="561">
        <f t="shared" si="31"/>
        <v>1.4865350089766612E-2</v>
      </c>
      <c r="AZ15" s="562">
        <f t="shared" si="32"/>
        <v>1.4560941065386735E-2</v>
      </c>
      <c r="BA15" s="563">
        <f t="shared" si="33"/>
        <v>0</v>
      </c>
      <c r="BB15" s="549">
        <f t="shared" si="109"/>
        <v>519406.12225938292</v>
      </c>
      <c r="BC15" s="549">
        <f t="shared" si="110"/>
        <v>555054.83472350927</v>
      </c>
      <c r="BD15" s="549">
        <f t="shared" si="111"/>
        <v>507594.37321937317</v>
      </c>
      <c r="BE15" s="557" t="s">
        <v>47</v>
      </c>
      <c r="BF15" s="557" t="s">
        <v>47</v>
      </c>
      <c r="BG15" s="557" t="s">
        <v>47</v>
      </c>
      <c r="BH15" s="558" t="s">
        <v>47</v>
      </c>
      <c r="BI15" s="551">
        <f t="shared" si="38"/>
        <v>73997.584541062781</v>
      </c>
      <c r="BJ15" s="551">
        <f t="shared" si="39"/>
        <v>79076.305220883514</v>
      </c>
      <c r="BK15" s="551">
        <f t="shared" si="54"/>
        <v>72314.814814814803</v>
      </c>
      <c r="BL15" s="557" t="s">
        <v>47</v>
      </c>
      <c r="BM15" s="557" t="s">
        <v>47</v>
      </c>
      <c r="BN15" s="557" t="s">
        <v>47</v>
      </c>
      <c r="BO15" s="558" t="s">
        <v>47</v>
      </c>
    </row>
    <row r="16" spans="1:67" s="667" customFormat="1" ht="14.5" customHeight="1">
      <c r="A16" s="886" t="str">
        <f>'Compiled Articles'!G6</f>
        <v>Children's Toys (Legacy)</v>
      </c>
      <c r="B16" s="461" t="s">
        <v>69</v>
      </c>
      <c r="C16" s="886" t="s">
        <v>1391</v>
      </c>
      <c r="D16" s="527">
        <v>0</v>
      </c>
      <c r="E16" s="640">
        <v>1</v>
      </c>
      <c r="F16" s="640">
        <v>1</v>
      </c>
      <c r="G16" s="235">
        <f>'Compiled Articles'!G12</f>
        <v>137</v>
      </c>
      <c r="H16" s="235">
        <f>'Compiled Articles'!$G$11</f>
        <v>365</v>
      </c>
      <c r="I16" s="235">
        <v>1</v>
      </c>
      <c r="J16" s="538">
        <f t="shared" si="59"/>
        <v>4.8000000000000001E-5</v>
      </c>
      <c r="K16" s="539">
        <f t="shared" si="36"/>
        <v>1.0960000000000001E-4</v>
      </c>
      <c r="L16" s="540" t="s">
        <v>1386</v>
      </c>
      <c r="M16" s="541">
        <f>(INDEX('Dermal Calcs'!$B$79:$H$85, MATCH($L16,'Dermal Calcs'!$A$79:$A$85, 0), MATCH(M$3, 'Dermal Calcs'!$B$78:$H$78, 0)))*$K16*$D16</f>
        <v>0</v>
      </c>
      <c r="N16" s="542">
        <f>(INDEX('Dermal Calcs'!$B$79:$H$85, MATCH($L16,'Dermal Calcs'!$A$79:$A$85, 0), MATCH(N$3, 'Dermal Calcs'!$B$78:$H$78, 0)))*$K16*$E16</f>
        <v>6.3525139664804479E-4</v>
      </c>
      <c r="O16" s="542">
        <f>(INDEX('Dermal Calcs'!$B$79:$H$85, MATCH($L16,'Dermal Calcs'!$A$79:$A$85, 0), MATCH(O$3, 'Dermal Calcs'!$B$78:$H$78, 0)))*$K16*$E16</f>
        <v>6.9464788732394376E-4</v>
      </c>
      <c r="P16" s="543">
        <f>(INDEX('Dermal Calcs'!$B$79:$H$85, MATCH($L16,'Dermal Calcs'!$A$79:$A$85, 0), MATCH(P$3, 'Dermal Calcs'!$B$78:$H$78, 0)))*$K16*$F16</f>
        <v>8.7886792452830187E-4</v>
      </c>
      <c r="Q16" s="543">
        <f>(INDEX('Dermal Calcs'!$B$79:$H$85, MATCH($L16,'Dermal Calcs'!$A$79:$A$85, 0), MATCH(Q$3, 'Dermal Calcs'!$B$78:$H$78, 0)))*$K16*$F16</f>
        <v>1.0901075268817204E-3</v>
      </c>
      <c r="R16" s="543">
        <f>(INDEX('Dermal Calcs'!$B$79:$H$85, MATCH($L16,'Dermal Calcs'!$A$79:$A$85, 0), MATCH(R$3, 'Dermal Calcs'!$B$78:$H$78, 0)))*$K16*$F16</f>
        <v>1.2612698412698411E-3</v>
      </c>
      <c r="S16" s="544">
        <f>(INDEX('Dermal Calcs'!$B$79:$H$85, MATCH($L16,'Dermal Calcs'!$A$79:$A$85, 0), MATCH(S$3, 'Dermal Calcs'!$B$78:$H$78, 0)))*$K16*$F16</f>
        <v>1.4749361702127662E-3</v>
      </c>
      <c r="T16" s="541">
        <f t="shared" si="1"/>
        <v>0</v>
      </c>
      <c r="U16" s="542">
        <f t="shared" si="2"/>
        <v>0.23186675977653634</v>
      </c>
      <c r="V16" s="542">
        <f t="shared" si="3"/>
        <v>0.2535464788732395</v>
      </c>
      <c r="W16" s="545">
        <f t="shared" si="4"/>
        <v>0.32078679245283021</v>
      </c>
      <c r="X16" s="545">
        <f t="shared" si="5"/>
        <v>0.39788924731182795</v>
      </c>
      <c r="Y16" s="545">
        <f t="shared" si="6"/>
        <v>0.46036349206349197</v>
      </c>
      <c r="Z16" s="545">
        <f t="shared" si="7"/>
        <v>0.5383517021276597</v>
      </c>
      <c r="AA16" s="541">
        <f t="shared" si="8"/>
        <v>0</v>
      </c>
      <c r="AB16" s="542">
        <f t="shared" si="9"/>
        <v>6.3525139664804479E-4</v>
      </c>
      <c r="AC16" s="542">
        <f t="shared" si="10"/>
        <v>6.9464788732394376E-4</v>
      </c>
      <c r="AD16" s="545">
        <f t="shared" si="11"/>
        <v>8.7886792452830187E-4</v>
      </c>
      <c r="AE16" s="545">
        <f t="shared" si="12"/>
        <v>1.0901075268817204E-3</v>
      </c>
      <c r="AF16" s="545">
        <f t="shared" si="13"/>
        <v>1.2612698412698411E-3</v>
      </c>
      <c r="AG16" s="545">
        <f t="shared" si="14"/>
        <v>1.4749361702127662E-3</v>
      </c>
      <c r="AH16" s="546">
        <f t="shared" si="15"/>
        <v>0</v>
      </c>
      <c r="AI16" s="547">
        <f t="shared" si="16"/>
        <v>0.63525139664804475</v>
      </c>
      <c r="AJ16" s="547">
        <f t="shared" si="17"/>
        <v>0.69464788732394378</v>
      </c>
      <c r="AK16" s="547">
        <f t="shared" si="18"/>
        <v>0.87886792452830187</v>
      </c>
      <c r="AL16" s="547">
        <f t="shared" si="19"/>
        <v>1.0901075268817204</v>
      </c>
      <c r="AM16" s="547">
        <f t="shared" si="20"/>
        <v>1.2612698412698409</v>
      </c>
      <c r="AN16" s="548">
        <f t="shared" si="21"/>
        <v>1.4749361702127664</v>
      </c>
      <c r="AO16" s="547">
        <f t="shared" si="37"/>
        <v>0</v>
      </c>
      <c r="AP16" s="547">
        <f t="shared" si="22"/>
        <v>0.63525139664804475</v>
      </c>
      <c r="AQ16" s="547">
        <f t="shared" si="23"/>
        <v>0.69464788732394378</v>
      </c>
      <c r="AR16" s="547">
        <f t="shared" si="24"/>
        <v>0.87886792452830187</v>
      </c>
      <c r="AS16" s="547">
        <f t="shared" si="25"/>
        <v>1.0901075268817204</v>
      </c>
      <c r="AT16" s="547">
        <f t="shared" si="26"/>
        <v>1.2612698412698411</v>
      </c>
      <c r="AU16" s="548">
        <f t="shared" si="27"/>
        <v>1.4749361702127661</v>
      </c>
      <c r="AV16" s="541">
        <f t="shared" si="28"/>
        <v>0</v>
      </c>
      <c r="AW16" s="542">
        <f t="shared" si="29"/>
        <v>0.66494964198599427</v>
      </c>
      <c r="AX16" s="545">
        <f t="shared" si="30"/>
        <v>1.1762953657231574</v>
      </c>
      <c r="AY16" s="541">
        <f t="shared" si="31"/>
        <v>0</v>
      </c>
      <c r="AZ16" s="542">
        <f t="shared" si="32"/>
        <v>0.66494964198599427</v>
      </c>
      <c r="BA16" s="545">
        <f t="shared" si="33"/>
        <v>1.1762953657231574</v>
      </c>
      <c r="BB16" s="565" t="s">
        <v>47</v>
      </c>
      <c r="BC16" s="549">
        <f t="shared" ref="BC16:BC22" si="112">1100/AI16</f>
        <v>1731.5979245448948</v>
      </c>
      <c r="BD16" s="549">
        <f t="shared" ref="BD16" si="113">1100/AJ16</f>
        <v>1583.5360908353607</v>
      </c>
      <c r="BE16" s="549">
        <f t="shared" ref="BE16" si="114">1100/AK16</f>
        <v>1251.6101331043367</v>
      </c>
      <c r="BF16" s="549">
        <f t="shared" ref="BF16" si="115">1100/AL16</f>
        <v>1009.0747681988558</v>
      </c>
      <c r="BG16" s="549">
        <f t="shared" ref="BG16" si="116">1100/AM16</f>
        <v>872.13692423861085</v>
      </c>
      <c r="BH16" s="549">
        <f t="shared" ref="BH16" si="117">1100/AN16</f>
        <v>745.79498571881925</v>
      </c>
      <c r="BI16" s="565" t="s">
        <v>47</v>
      </c>
      <c r="BJ16" s="551">
        <f t="shared" si="39"/>
        <v>1731.5979245448948</v>
      </c>
      <c r="BK16" s="551">
        <f t="shared" si="54"/>
        <v>1583.5360908353607</v>
      </c>
      <c r="BL16" s="551">
        <f t="shared" ref="BL16:BL21" si="118">1100/AR16</f>
        <v>1251.6101331043367</v>
      </c>
      <c r="BM16" s="551">
        <f t="shared" ref="BM16:BM21" si="119">1100/AS16</f>
        <v>1009.0747681988558</v>
      </c>
      <c r="BN16" s="551">
        <f t="shared" ref="BN16:BN21" si="120">1100/AT16</f>
        <v>872.13692423861073</v>
      </c>
      <c r="BO16" s="551">
        <f t="shared" ref="BO16:BO21" si="121">1100/AU16</f>
        <v>745.79498571881936</v>
      </c>
    </row>
    <row r="17" spans="1:67" s="667" customFormat="1" ht="14.5" customHeight="1">
      <c r="A17" s="887"/>
      <c r="B17" s="461" t="s">
        <v>1065</v>
      </c>
      <c r="C17" s="887"/>
      <c r="D17" s="527">
        <v>0</v>
      </c>
      <c r="E17" s="640">
        <v>1</v>
      </c>
      <c r="F17" s="640">
        <v>1</v>
      </c>
      <c r="G17" s="235">
        <f>'Compiled Articles'!G13</f>
        <v>88</v>
      </c>
      <c r="H17" s="235">
        <f>'Compiled Articles'!$G$11</f>
        <v>365</v>
      </c>
      <c r="I17" s="235">
        <v>1</v>
      </c>
      <c r="J17" s="538">
        <f t="shared" si="59"/>
        <v>4.8000000000000001E-5</v>
      </c>
      <c r="K17" s="539">
        <f t="shared" si="36"/>
        <v>7.0400000000000004E-5</v>
      </c>
      <c r="L17" s="553" t="s">
        <v>1386</v>
      </c>
      <c r="M17" s="541">
        <f>(INDEX('Dermal Calcs'!$B$79:$H$85, MATCH($L17,'Dermal Calcs'!$A$79:$A$85, 0), MATCH(M$3, 'Dermal Calcs'!$B$78:$H$78, 0)))*$K17*$D17</f>
        <v>0</v>
      </c>
      <c r="N17" s="542">
        <f>(INDEX('Dermal Calcs'!$B$79:$H$85, MATCH($L17,'Dermal Calcs'!$A$79:$A$85, 0), MATCH(N$3, 'Dermal Calcs'!$B$78:$H$78, 0)))*$K17*$E17</f>
        <v>4.0804469273743023E-4</v>
      </c>
      <c r="O17" s="542">
        <f>(INDEX('Dermal Calcs'!$B$79:$H$85, MATCH($L17,'Dermal Calcs'!$A$79:$A$85, 0), MATCH(O$3, 'Dermal Calcs'!$B$78:$H$78, 0)))*$K17*$E17</f>
        <v>4.4619718309859158E-4</v>
      </c>
      <c r="P17" s="543">
        <f>(INDEX('Dermal Calcs'!$B$79:$H$85, MATCH($L17,'Dermal Calcs'!$A$79:$A$85, 0), MATCH(P$3, 'Dermal Calcs'!$B$78:$H$78, 0)))*$K17*$F17</f>
        <v>5.6452830188679249E-4</v>
      </c>
      <c r="Q17" s="543">
        <f>(INDEX('Dermal Calcs'!$B$79:$H$85, MATCH($L17,'Dermal Calcs'!$A$79:$A$85, 0), MATCH(Q$3, 'Dermal Calcs'!$B$78:$H$78, 0)))*$K17*$F17</f>
        <v>7.0021505376344087E-4</v>
      </c>
      <c r="R17" s="543">
        <f>(INDEX('Dermal Calcs'!$B$79:$H$85, MATCH($L17,'Dermal Calcs'!$A$79:$A$85, 0), MATCH(R$3, 'Dermal Calcs'!$B$78:$H$78, 0)))*$K17*$F17</f>
        <v>8.1015873015873009E-4</v>
      </c>
      <c r="S17" s="544">
        <f>(INDEX('Dermal Calcs'!$B$79:$H$85, MATCH($L17,'Dermal Calcs'!$A$79:$A$85, 0), MATCH(S$3, 'Dermal Calcs'!$B$78:$H$78, 0)))*$K17*$F17</f>
        <v>9.4740425531914907E-4</v>
      </c>
      <c r="T17" s="554">
        <f t="shared" si="1"/>
        <v>0</v>
      </c>
      <c r="U17" s="555">
        <f t="shared" si="2"/>
        <v>0.14893631284916203</v>
      </c>
      <c r="V17" s="555">
        <f t="shared" si="3"/>
        <v>0.16286197183098594</v>
      </c>
      <c r="W17" s="556">
        <f t="shared" si="4"/>
        <v>0.20605283018867926</v>
      </c>
      <c r="X17" s="556">
        <f t="shared" si="5"/>
        <v>0.25557849462365589</v>
      </c>
      <c r="Y17" s="556">
        <f t="shared" si="6"/>
        <v>0.29570793650793648</v>
      </c>
      <c r="Z17" s="556">
        <f t="shared" si="7"/>
        <v>0.34580255319148939</v>
      </c>
      <c r="AA17" s="554">
        <f t="shared" si="8"/>
        <v>0</v>
      </c>
      <c r="AB17" s="555">
        <f t="shared" si="9"/>
        <v>4.0804469273743023E-4</v>
      </c>
      <c r="AC17" s="555">
        <f t="shared" si="10"/>
        <v>4.4619718309859158E-4</v>
      </c>
      <c r="AD17" s="556">
        <f t="shared" si="11"/>
        <v>5.6452830188679249E-4</v>
      </c>
      <c r="AE17" s="556">
        <f t="shared" si="12"/>
        <v>7.0021505376344087E-4</v>
      </c>
      <c r="AF17" s="556">
        <f t="shared" si="13"/>
        <v>8.1015873015873009E-4</v>
      </c>
      <c r="AG17" s="556">
        <f t="shared" si="14"/>
        <v>9.4740425531914907E-4</v>
      </c>
      <c r="AH17" s="546">
        <f t="shared" si="15"/>
        <v>0</v>
      </c>
      <c r="AI17" s="547">
        <f t="shared" si="16"/>
        <v>0.40804469273743021</v>
      </c>
      <c r="AJ17" s="547">
        <f t="shared" si="17"/>
        <v>0.44619718309859163</v>
      </c>
      <c r="AK17" s="547">
        <f t="shared" si="18"/>
        <v>0.56452830188679248</v>
      </c>
      <c r="AL17" s="547">
        <f t="shared" si="19"/>
        <v>0.70021505376344084</v>
      </c>
      <c r="AM17" s="547">
        <f t="shared" si="20"/>
        <v>0.81015873015873008</v>
      </c>
      <c r="AN17" s="548">
        <f t="shared" si="21"/>
        <v>0.94740425531914896</v>
      </c>
      <c r="AO17" s="547">
        <f t="shared" si="37"/>
        <v>0</v>
      </c>
      <c r="AP17" s="547">
        <f t="shared" si="22"/>
        <v>0.40804469273743021</v>
      </c>
      <c r="AQ17" s="547">
        <f t="shared" si="23"/>
        <v>0.44619718309859158</v>
      </c>
      <c r="AR17" s="547">
        <f t="shared" si="24"/>
        <v>0.56452830188679248</v>
      </c>
      <c r="AS17" s="547">
        <f t="shared" si="25"/>
        <v>0.70021505376344084</v>
      </c>
      <c r="AT17" s="547">
        <f t="shared" si="26"/>
        <v>0.81015873015873008</v>
      </c>
      <c r="AU17" s="548">
        <f t="shared" si="27"/>
        <v>0.94740425531914907</v>
      </c>
      <c r="AV17" s="554">
        <f t="shared" si="28"/>
        <v>0</v>
      </c>
      <c r="AW17" s="555">
        <f t="shared" si="29"/>
        <v>0.42712093791801092</v>
      </c>
      <c r="AX17" s="556">
        <f t="shared" si="30"/>
        <v>0.7555765852820282</v>
      </c>
      <c r="AY17" s="554">
        <f t="shared" si="31"/>
        <v>0</v>
      </c>
      <c r="AZ17" s="555">
        <f t="shared" si="32"/>
        <v>0.42712093791801092</v>
      </c>
      <c r="BA17" s="556">
        <f t="shared" si="33"/>
        <v>0.75557658528202809</v>
      </c>
      <c r="BB17" s="565" t="s">
        <v>47</v>
      </c>
      <c r="BC17" s="549">
        <f t="shared" si="112"/>
        <v>2695.7831325301204</v>
      </c>
      <c r="BD17" s="549">
        <f t="shared" ref="BD17:BD22" si="122">1100/AJ17</f>
        <v>2465.2777777777774</v>
      </c>
      <c r="BE17" s="549">
        <f t="shared" ref="BE17:BE33" si="123">1100/AK17</f>
        <v>1948.5294117647059</v>
      </c>
      <c r="BF17" s="549">
        <f t="shared" ref="BF17:BF33" si="124">1100/AL17</f>
        <v>1570.9459459459461</v>
      </c>
      <c r="BG17" s="549">
        <f t="shared" ref="BG17:BG33" si="125">1100/AM17</f>
        <v>1357.7586206896553</v>
      </c>
      <c r="BH17" s="549">
        <f t="shared" ref="BH17:BH33" si="126">1100/AN17</f>
        <v>1161.0671936758893</v>
      </c>
      <c r="BI17" s="565" t="s">
        <v>47</v>
      </c>
      <c r="BJ17" s="551">
        <f t="shared" si="39"/>
        <v>2695.7831325301204</v>
      </c>
      <c r="BK17" s="551">
        <f t="shared" si="54"/>
        <v>2465.2777777777778</v>
      </c>
      <c r="BL17" s="551">
        <f t="shared" si="118"/>
        <v>1948.5294117647059</v>
      </c>
      <c r="BM17" s="551">
        <f t="shared" si="119"/>
        <v>1570.9459459459461</v>
      </c>
      <c r="BN17" s="551">
        <f t="shared" si="120"/>
        <v>1357.7586206896553</v>
      </c>
      <c r="BO17" s="551">
        <f t="shared" si="121"/>
        <v>1161.0671936758893</v>
      </c>
    </row>
    <row r="18" spans="1:67" s="564" customFormat="1" ht="14.5" customHeight="1">
      <c r="A18" s="888"/>
      <c r="B18" s="559" t="s">
        <v>65</v>
      </c>
      <c r="C18" s="888"/>
      <c r="D18" s="530">
        <v>0</v>
      </c>
      <c r="E18" s="531">
        <v>1</v>
      </c>
      <c r="F18" s="531">
        <v>1</v>
      </c>
      <c r="G18" s="235">
        <f>'Compiled Articles'!G14</f>
        <v>24</v>
      </c>
      <c r="H18" s="235">
        <f>'Compiled Articles'!$G$11</f>
        <v>365</v>
      </c>
      <c r="I18" s="235">
        <v>1</v>
      </c>
      <c r="J18" s="538">
        <f t="shared" si="59"/>
        <v>4.8000000000000001E-5</v>
      </c>
      <c r="K18" s="539">
        <f t="shared" si="36"/>
        <v>1.9199999999999999E-5</v>
      </c>
      <c r="L18" s="560" t="s">
        <v>1386</v>
      </c>
      <c r="M18" s="541">
        <f>(INDEX('Dermal Calcs'!$B$79:$H$85, MATCH($L18,'Dermal Calcs'!$A$79:$A$85, 0), MATCH(M$3, 'Dermal Calcs'!$B$78:$H$78, 0)))*$K18*$D18</f>
        <v>0</v>
      </c>
      <c r="N18" s="542">
        <f>(INDEX('Dermal Calcs'!$B$79:$H$85, MATCH($L18,'Dermal Calcs'!$A$79:$A$85, 0), MATCH(N$3, 'Dermal Calcs'!$B$78:$H$78, 0)))*$K18*$E18</f>
        <v>1.1128491620111733E-4</v>
      </c>
      <c r="O18" s="542">
        <f>(INDEX('Dermal Calcs'!$B$79:$H$85, MATCH($L18,'Dermal Calcs'!$A$79:$A$85, 0), MATCH(O$3, 'Dermal Calcs'!$B$78:$H$78, 0)))*$K18*$E18</f>
        <v>1.2169014084507042E-4</v>
      </c>
      <c r="P18" s="543">
        <f>(INDEX('Dermal Calcs'!$B$79:$H$85, MATCH($L18,'Dermal Calcs'!$A$79:$A$85, 0), MATCH(P$3, 'Dermal Calcs'!$B$78:$H$78, 0)))*$K18*$F18</f>
        <v>1.5396226415094339E-4</v>
      </c>
      <c r="Q18" s="543">
        <f>(INDEX('Dermal Calcs'!$B$79:$H$85, MATCH($L18,'Dermal Calcs'!$A$79:$A$85, 0), MATCH(Q$3, 'Dermal Calcs'!$B$78:$H$78, 0)))*$K18*$F18</f>
        <v>1.9096774193548384E-4</v>
      </c>
      <c r="R18" s="543">
        <f>(INDEX('Dermal Calcs'!$B$79:$H$85, MATCH($L18,'Dermal Calcs'!$A$79:$A$85, 0), MATCH(R$3, 'Dermal Calcs'!$B$78:$H$78, 0)))*$K18*$F18</f>
        <v>2.209523809523809E-4</v>
      </c>
      <c r="S18" s="544">
        <f>(INDEX('Dermal Calcs'!$B$79:$H$85, MATCH($L18,'Dermal Calcs'!$A$79:$A$85, 0), MATCH(S$3, 'Dermal Calcs'!$B$78:$H$78, 0)))*$K18*$F18</f>
        <v>2.5838297872340428E-4</v>
      </c>
      <c r="T18" s="561">
        <f t="shared" si="1"/>
        <v>0</v>
      </c>
      <c r="U18" s="562">
        <f t="shared" si="2"/>
        <v>4.0618994413407827E-2</v>
      </c>
      <c r="V18" s="562">
        <f t="shared" si="3"/>
        <v>4.4416901408450706E-2</v>
      </c>
      <c r="W18" s="563">
        <f t="shared" si="4"/>
        <v>5.6196226415094336E-2</v>
      </c>
      <c r="X18" s="563">
        <f t="shared" si="5"/>
        <v>6.9703225806451607E-2</v>
      </c>
      <c r="Y18" s="563">
        <f t="shared" si="6"/>
        <v>8.0647619047619024E-2</v>
      </c>
      <c r="Z18" s="563">
        <f t="shared" si="7"/>
        <v>9.4309787234042555E-2</v>
      </c>
      <c r="AA18" s="561">
        <f t="shared" si="8"/>
        <v>0</v>
      </c>
      <c r="AB18" s="562">
        <f t="shared" si="9"/>
        <v>1.1128491620111733E-4</v>
      </c>
      <c r="AC18" s="562">
        <f t="shared" si="10"/>
        <v>1.2169014084507042E-4</v>
      </c>
      <c r="AD18" s="563">
        <f t="shared" si="11"/>
        <v>1.5396226415094339E-4</v>
      </c>
      <c r="AE18" s="563">
        <f t="shared" si="12"/>
        <v>1.9096774193548384E-4</v>
      </c>
      <c r="AF18" s="563">
        <f t="shared" si="13"/>
        <v>2.209523809523809E-4</v>
      </c>
      <c r="AG18" s="563">
        <f t="shared" si="14"/>
        <v>2.5838297872340428E-4</v>
      </c>
      <c r="AH18" s="546">
        <f t="shared" si="15"/>
        <v>0</v>
      </c>
      <c r="AI18" s="547">
        <f t="shared" si="16"/>
        <v>0.11128491620111733</v>
      </c>
      <c r="AJ18" s="547">
        <f t="shared" si="17"/>
        <v>0.12169014084507043</v>
      </c>
      <c r="AK18" s="547">
        <f t="shared" si="18"/>
        <v>0.15396226415094338</v>
      </c>
      <c r="AL18" s="547">
        <f t="shared" si="19"/>
        <v>0.19096774193548388</v>
      </c>
      <c r="AM18" s="547">
        <f t="shared" si="20"/>
        <v>0.22095238095238087</v>
      </c>
      <c r="AN18" s="548">
        <f t="shared" si="21"/>
        <v>0.25838297872340427</v>
      </c>
      <c r="AO18" s="547">
        <f t="shared" si="37"/>
        <v>0</v>
      </c>
      <c r="AP18" s="547">
        <f t="shared" si="22"/>
        <v>0.11128491620111733</v>
      </c>
      <c r="AQ18" s="547">
        <f t="shared" si="23"/>
        <v>0.12169014084507042</v>
      </c>
      <c r="AR18" s="547">
        <f t="shared" si="24"/>
        <v>0.15396226415094338</v>
      </c>
      <c r="AS18" s="547">
        <f t="shared" si="25"/>
        <v>0.19096774193548383</v>
      </c>
      <c r="AT18" s="547">
        <f t="shared" si="26"/>
        <v>0.2209523809523809</v>
      </c>
      <c r="AU18" s="548">
        <f t="shared" si="27"/>
        <v>0.25838297872340427</v>
      </c>
      <c r="AV18" s="561">
        <f t="shared" si="28"/>
        <v>0</v>
      </c>
      <c r="AW18" s="562">
        <f t="shared" si="29"/>
        <v>0.11648752852309388</v>
      </c>
      <c r="AX18" s="563">
        <f t="shared" si="30"/>
        <v>0.20606634144055311</v>
      </c>
      <c r="AY18" s="561">
        <f t="shared" si="31"/>
        <v>0</v>
      </c>
      <c r="AZ18" s="562">
        <f t="shared" si="32"/>
        <v>0.11648752852309388</v>
      </c>
      <c r="BA18" s="563">
        <f t="shared" si="33"/>
        <v>0.20606634144055311</v>
      </c>
      <c r="BB18" s="565" t="s">
        <v>47</v>
      </c>
      <c r="BC18" s="549">
        <f t="shared" si="112"/>
        <v>9884.5381526104411</v>
      </c>
      <c r="BD18" s="549">
        <f t="shared" si="122"/>
        <v>9039.3518518518504</v>
      </c>
      <c r="BE18" s="549">
        <f t="shared" si="123"/>
        <v>7144.6078431372553</v>
      </c>
      <c r="BF18" s="549">
        <f t="shared" si="124"/>
        <v>5760.135135135135</v>
      </c>
      <c r="BG18" s="549">
        <f t="shared" si="125"/>
        <v>4978.4482758620707</v>
      </c>
      <c r="BH18" s="549">
        <f t="shared" si="126"/>
        <v>4257.246376811594</v>
      </c>
      <c r="BI18" s="565" t="s">
        <v>47</v>
      </c>
      <c r="BJ18" s="551">
        <f t="shared" si="39"/>
        <v>9884.5381526104411</v>
      </c>
      <c r="BK18" s="551">
        <f t="shared" si="54"/>
        <v>9039.3518518518522</v>
      </c>
      <c r="BL18" s="551">
        <f t="shared" si="118"/>
        <v>7144.6078431372553</v>
      </c>
      <c r="BM18" s="551">
        <f t="shared" si="119"/>
        <v>5760.1351351351368</v>
      </c>
      <c r="BN18" s="551">
        <f t="shared" si="120"/>
        <v>4978.4482758620697</v>
      </c>
      <c r="BO18" s="551">
        <f t="shared" si="121"/>
        <v>4257.246376811594</v>
      </c>
    </row>
    <row r="19" spans="1:67" s="667" customFormat="1" ht="14.5" customHeight="1">
      <c r="A19" s="886" t="str">
        <f>'Compiled Articles'!H6</f>
        <v>Children's Toys (New)</v>
      </c>
      <c r="B19" s="461" t="s">
        <v>69</v>
      </c>
      <c r="C19" s="886" t="s">
        <v>1392</v>
      </c>
      <c r="D19" s="527">
        <v>0</v>
      </c>
      <c r="E19" s="640">
        <v>1</v>
      </c>
      <c r="F19" s="640">
        <v>1</v>
      </c>
      <c r="G19" s="235">
        <f>'Compiled Articles'!H12</f>
        <v>137</v>
      </c>
      <c r="H19" s="235">
        <f>'Compiled Articles'!$H$11</f>
        <v>365</v>
      </c>
      <c r="I19" s="235">
        <v>1</v>
      </c>
      <c r="J19" s="538">
        <f t="shared" si="59"/>
        <v>4.8000000000000001E-5</v>
      </c>
      <c r="K19" s="539">
        <f t="shared" si="36"/>
        <v>1.0960000000000001E-4</v>
      </c>
      <c r="L19" s="540" t="s">
        <v>1386</v>
      </c>
      <c r="M19" s="541">
        <f>(INDEX('Dermal Calcs'!$B$79:$H$85, MATCH($L19,'Dermal Calcs'!$A$79:$A$85, 0), MATCH(M$3, 'Dermal Calcs'!$B$78:$H$78, 0)))*$K19*$D19</f>
        <v>0</v>
      </c>
      <c r="N19" s="542">
        <f>(INDEX('Dermal Calcs'!$B$79:$H$85, MATCH($L19,'Dermal Calcs'!$A$79:$A$85, 0), MATCH(N$3, 'Dermal Calcs'!$B$78:$H$78, 0)))*$K19*$E19</f>
        <v>6.3525139664804479E-4</v>
      </c>
      <c r="O19" s="542">
        <f>(INDEX('Dermal Calcs'!$B$79:$H$85, MATCH($L19,'Dermal Calcs'!$A$79:$A$85, 0), MATCH(O$3, 'Dermal Calcs'!$B$78:$H$78, 0)))*$K19*$E19</f>
        <v>6.9464788732394376E-4</v>
      </c>
      <c r="P19" s="543">
        <f>(INDEX('Dermal Calcs'!$B$79:$H$85, MATCH($L19,'Dermal Calcs'!$A$79:$A$85, 0), MATCH(P$3, 'Dermal Calcs'!$B$78:$H$78, 0)))*$K19*$F19</f>
        <v>8.7886792452830187E-4</v>
      </c>
      <c r="Q19" s="543">
        <f>(INDEX('Dermal Calcs'!$B$79:$H$85, MATCH($L19,'Dermal Calcs'!$A$79:$A$85, 0), MATCH(Q$3, 'Dermal Calcs'!$B$78:$H$78, 0)))*$K19*$F19</f>
        <v>1.0901075268817204E-3</v>
      </c>
      <c r="R19" s="543">
        <f>(INDEX('Dermal Calcs'!$B$79:$H$85, MATCH($L19,'Dermal Calcs'!$A$79:$A$85, 0), MATCH(R$3, 'Dermal Calcs'!$B$78:$H$78, 0)))*$K19*$F19</f>
        <v>1.2612698412698411E-3</v>
      </c>
      <c r="S19" s="544">
        <f>(INDEX('Dermal Calcs'!$B$79:$H$85, MATCH($L19,'Dermal Calcs'!$A$79:$A$85, 0), MATCH(S$3, 'Dermal Calcs'!$B$78:$H$78, 0)))*$K19*$F19</f>
        <v>1.4749361702127662E-3</v>
      </c>
      <c r="T19" s="541">
        <f t="shared" si="1"/>
        <v>0</v>
      </c>
      <c r="U19" s="542">
        <f t="shared" si="2"/>
        <v>0.23186675977653634</v>
      </c>
      <c r="V19" s="542">
        <f t="shared" si="3"/>
        <v>0.2535464788732395</v>
      </c>
      <c r="W19" s="545">
        <f t="shared" si="4"/>
        <v>0.32078679245283021</v>
      </c>
      <c r="X19" s="545">
        <f t="shared" si="5"/>
        <v>0.39788924731182795</v>
      </c>
      <c r="Y19" s="545">
        <f t="shared" si="6"/>
        <v>0.46036349206349197</v>
      </c>
      <c r="Z19" s="545">
        <f t="shared" si="7"/>
        <v>0.5383517021276597</v>
      </c>
      <c r="AA19" s="541">
        <f t="shared" si="8"/>
        <v>0</v>
      </c>
      <c r="AB19" s="542">
        <f t="shared" si="9"/>
        <v>6.3525139664804479E-4</v>
      </c>
      <c r="AC19" s="542">
        <f t="shared" si="10"/>
        <v>6.9464788732394376E-4</v>
      </c>
      <c r="AD19" s="545">
        <f t="shared" si="11"/>
        <v>8.7886792452830187E-4</v>
      </c>
      <c r="AE19" s="545">
        <f t="shared" si="12"/>
        <v>1.0901075268817204E-3</v>
      </c>
      <c r="AF19" s="545">
        <f t="shared" si="13"/>
        <v>1.2612698412698411E-3</v>
      </c>
      <c r="AG19" s="545">
        <f t="shared" si="14"/>
        <v>1.4749361702127662E-3</v>
      </c>
      <c r="AH19" s="546">
        <f t="shared" si="15"/>
        <v>0</v>
      </c>
      <c r="AI19" s="547">
        <f t="shared" si="16"/>
        <v>0.63525139664804475</v>
      </c>
      <c r="AJ19" s="547">
        <f t="shared" si="17"/>
        <v>0.69464788732394378</v>
      </c>
      <c r="AK19" s="547">
        <f t="shared" si="18"/>
        <v>0.87886792452830187</v>
      </c>
      <c r="AL19" s="547">
        <f t="shared" si="19"/>
        <v>1.0901075268817204</v>
      </c>
      <c r="AM19" s="547">
        <f t="shared" si="20"/>
        <v>1.2612698412698409</v>
      </c>
      <c r="AN19" s="548">
        <f t="shared" si="21"/>
        <v>1.4749361702127664</v>
      </c>
      <c r="AO19" s="547">
        <f t="shared" si="37"/>
        <v>0</v>
      </c>
      <c r="AP19" s="547">
        <f t="shared" si="22"/>
        <v>0.63525139664804475</v>
      </c>
      <c r="AQ19" s="547">
        <f t="shared" si="23"/>
        <v>0.69464788732394378</v>
      </c>
      <c r="AR19" s="547">
        <f t="shared" si="24"/>
        <v>0.87886792452830187</v>
      </c>
      <c r="AS19" s="547">
        <f t="shared" si="25"/>
        <v>1.0901075268817204</v>
      </c>
      <c r="AT19" s="547">
        <f t="shared" si="26"/>
        <v>1.2612698412698411</v>
      </c>
      <c r="AU19" s="548">
        <f t="shared" si="27"/>
        <v>1.4749361702127661</v>
      </c>
      <c r="AV19" s="541">
        <f t="shared" si="28"/>
        <v>0</v>
      </c>
      <c r="AW19" s="542">
        <f t="shared" si="29"/>
        <v>0.66494964198599427</v>
      </c>
      <c r="AX19" s="545">
        <f t="shared" si="30"/>
        <v>1.1762953657231574</v>
      </c>
      <c r="AY19" s="541">
        <f t="shared" si="31"/>
        <v>0</v>
      </c>
      <c r="AZ19" s="542">
        <f t="shared" si="32"/>
        <v>0.66494964198599427</v>
      </c>
      <c r="BA19" s="545">
        <f t="shared" si="33"/>
        <v>1.1762953657231574</v>
      </c>
      <c r="BB19" s="565" t="s">
        <v>47</v>
      </c>
      <c r="BC19" s="549">
        <f t="shared" si="112"/>
        <v>1731.5979245448948</v>
      </c>
      <c r="BD19" s="549">
        <f t="shared" si="122"/>
        <v>1583.5360908353607</v>
      </c>
      <c r="BE19" s="549">
        <f t="shared" si="123"/>
        <v>1251.6101331043367</v>
      </c>
      <c r="BF19" s="549">
        <f t="shared" si="124"/>
        <v>1009.0747681988558</v>
      </c>
      <c r="BG19" s="549">
        <f t="shared" si="125"/>
        <v>872.13692423861085</v>
      </c>
      <c r="BH19" s="549">
        <f t="shared" si="126"/>
        <v>745.79498571881925</v>
      </c>
      <c r="BI19" s="565" t="s">
        <v>47</v>
      </c>
      <c r="BJ19" s="551">
        <f t="shared" si="39"/>
        <v>1731.5979245448948</v>
      </c>
      <c r="BK19" s="551">
        <f t="shared" si="54"/>
        <v>1583.5360908353607</v>
      </c>
      <c r="BL19" s="551">
        <f t="shared" si="118"/>
        <v>1251.6101331043367</v>
      </c>
      <c r="BM19" s="551">
        <f t="shared" si="119"/>
        <v>1009.0747681988558</v>
      </c>
      <c r="BN19" s="551">
        <f t="shared" si="120"/>
        <v>872.13692423861073</v>
      </c>
      <c r="BO19" s="551">
        <f t="shared" si="121"/>
        <v>745.79498571881936</v>
      </c>
    </row>
    <row r="20" spans="1:67" s="667" customFormat="1" ht="14.5" customHeight="1">
      <c r="A20" s="887"/>
      <c r="B20" s="461" t="s">
        <v>1065</v>
      </c>
      <c r="C20" s="887"/>
      <c r="D20" s="527">
        <v>0</v>
      </c>
      <c r="E20" s="640">
        <v>1</v>
      </c>
      <c r="F20" s="640">
        <v>1</v>
      </c>
      <c r="G20" s="235">
        <f>'Compiled Articles'!H13</f>
        <v>88</v>
      </c>
      <c r="H20" s="235">
        <f>'Compiled Articles'!$H$11</f>
        <v>365</v>
      </c>
      <c r="I20" s="235">
        <v>1</v>
      </c>
      <c r="J20" s="538">
        <f t="shared" si="59"/>
        <v>4.8000000000000001E-5</v>
      </c>
      <c r="K20" s="539">
        <f t="shared" si="36"/>
        <v>7.0400000000000004E-5</v>
      </c>
      <c r="L20" s="553" t="s">
        <v>1386</v>
      </c>
      <c r="M20" s="541">
        <f>(INDEX('Dermal Calcs'!$B$79:$H$85, MATCH($L20,'Dermal Calcs'!$A$79:$A$85, 0), MATCH(M$3, 'Dermal Calcs'!$B$78:$H$78, 0)))*$K20*$D20</f>
        <v>0</v>
      </c>
      <c r="N20" s="542">
        <f>(INDEX('Dermal Calcs'!$B$79:$H$85, MATCH($L20,'Dermal Calcs'!$A$79:$A$85, 0), MATCH(N$3, 'Dermal Calcs'!$B$78:$H$78, 0)))*$K20*$E20</f>
        <v>4.0804469273743023E-4</v>
      </c>
      <c r="O20" s="542">
        <f>(INDEX('Dermal Calcs'!$B$79:$H$85, MATCH($L20,'Dermal Calcs'!$A$79:$A$85, 0), MATCH(O$3, 'Dermal Calcs'!$B$78:$H$78, 0)))*$K20*$E20</f>
        <v>4.4619718309859158E-4</v>
      </c>
      <c r="P20" s="543">
        <f>(INDEX('Dermal Calcs'!$B$79:$H$85, MATCH($L20,'Dermal Calcs'!$A$79:$A$85, 0), MATCH(P$3, 'Dermal Calcs'!$B$78:$H$78, 0)))*$K20*$F20</f>
        <v>5.6452830188679249E-4</v>
      </c>
      <c r="Q20" s="543">
        <f>(INDEX('Dermal Calcs'!$B$79:$H$85, MATCH($L20,'Dermal Calcs'!$A$79:$A$85, 0), MATCH(Q$3, 'Dermal Calcs'!$B$78:$H$78, 0)))*$K20*$F20</f>
        <v>7.0021505376344087E-4</v>
      </c>
      <c r="R20" s="543">
        <f>(INDEX('Dermal Calcs'!$B$79:$H$85, MATCH($L20,'Dermal Calcs'!$A$79:$A$85, 0), MATCH(R$3, 'Dermal Calcs'!$B$78:$H$78, 0)))*$K20*$F20</f>
        <v>8.1015873015873009E-4</v>
      </c>
      <c r="S20" s="544">
        <f>(INDEX('Dermal Calcs'!$B$79:$H$85, MATCH($L20,'Dermal Calcs'!$A$79:$A$85, 0), MATCH(S$3, 'Dermal Calcs'!$B$78:$H$78, 0)))*$K20*$F20</f>
        <v>9.4740425531914907E-4</v>
      </c>
      <c r="T20" s="554">
        <f t="shared" si="1"/>
        <v>0</v>
      </c>
      <c r="U20" s="555">
        <f t="shared" si="2"/>
        <v>0.14893631284916203</v>
      </c>
      <c r="V20" s="555">
        <f t="shared" si="3"/>
        <v>0.16286197183098594</v>
      </c>
      <c r="W20" s="556">
        <f t="shared" si="4"/>
        <v>0.20605283018867926</v>
      </c>
      <c r="X20" s="556">
        <f t="shared" si="5"/>
        <v>0.25557849462365589</v>
      </c>
      <c r="Y20" s="556">
        <f t="shared" si="6"/>
        <v>0.29570793650793648</v>
      </c>
      <c r="Z20" s="556">
        <f t="shared" si="7"/>
        <v>0.34580255319148939</v>
      </c>
      <c r="AA20" s="554">
        <f t="shared" si="8"/>
        <v>0</v>
      </c>
      <c r="AB20" s="555">
        <f t="shared" si="9"/>
        <v>4.0804469273743023E-4</v>
      </c>
      <c r="AC20" s="555">
        <f t="shared" si="10"/>
        <v>4.4619718309859158E-4</v>
      </c>
      <c r="AD20" s="556">
        <f t="shared" si="11"/>
        <v>5.6452830188679249E-4</v>
      </c>
      <c r="AE20" s="556">
        <f t="shared" si="12"/>
        <v>7.0021505376344087E-4</v>
      </c>
      <c r="AF20" s="556">
        <f t="shared" si="13"/>
        <v>8.1015873015873009E-4</v>
      </c>
      <c r="AG20" s="556">
        <f t="shared" si="14"/>
        <v>9.4740425531914907E-4</v>
      </c>
      <c r="AH20" s="546">
        <f t="shared" si="15"/>
        <v>0</v>
      </c>
      <c r="AI20" s="547">
        <f t="shared" si="16"/>
        <v>0.40804469273743021</v>
      </c>
      <c r="AJ20" s="547">
        <f t="shared" si="17"/>
        <v>0.44619718309859163</v>
      </c>
      <c r="AK20" s="547">
        <f t="shared" si="18"/>
        <v>0.56452830188679248</v>
      </c>
      <c r="AL20" s="547">
        <f t="shared" si="19"/>
        <v>0.70021505376344084</v>
      </c>
      <c r="AM20" s="547">
        <f t="shared" si="20"/>
        <v>0.81015873015873008</v>
      </c>
      <c r="AN20" s="548">
        <f t="shared" si="21"/>
        <v>0.94740425531914896</v>
      </c>
      <c r="AO20" s="547">
        <f t="shared" si="37"/>
        <v>0</v>
      </c>
      <c r="AP20" s="547">
        <f t="shared" si="22"/>
        <v>0.40804469273743021</v>
      </c>
      <c r="AQ20" s="547">
        <f t="shared" si="23"/>
        <v>0.44619718309859158</v>
      </c>
      <c r="AR20" s="547">
        <f t="shared" si="24"/>
        <v>0.56452830188679248</v>
      </c>
      <c r="AS20" s="547">
        <f t="shared" si="25"/>
        <v>0.70021505376344084</v>
      </c>
      <c r="AT20" s="547">
        <f t="shared" si="26"/>
        <v>0.81015873015873008</v>
      </c>
      <c r="AU20" s="548">
        <f t="shared" si="27"/>
        <v>0.94740425531914907</v>
      </c>
      <c r="AV20" s="554">
        <f t="shared" si="28"/>
        <v>0</v>
      </c>
      <c r="AW20" s="555">
        <f t="shared" si="29"/>
        <v>0.42712093791801092</v>
      </c>
      <c r="AX20" s="556">
        <f t="shared" si="30"/>
        <v>0.7555765852820282</v>
      </c>
      <c r="AY20" s="554">
        <f t="shared" si="31"/>
        <v>0</v>
      </c>
      <c r="AZ20" s="555">
        <f t="shared" si="32"/>
        <v>0.42712093791801092</v>
      </c>
      <c r="BA20" s="556">
        <f t="shared" si="33"/>
        <v>0.75557658528202809</v>
      </c>
      <c r="BB20" s="565" t="s">
        <v>47</v>
      </c>
      <c r="BC20" s="549">
        <f t="shared" si="112"/>
        <v>2695.7831325301204</v>
      </c>
      <c r="BD20" s="549">
        <f t="shared" si="122"/>
        <v>2465.2777777777774</v>
      </c>
      <c r="BE20" s="549">
        <f t="shared" si="123"/>
        <v>1948.5294117647059</v>
      </c>
      <c r="BF20" s="549">
        <f t="shared" si="124"/>
        <v>1570.9459459459461</v>
      </c>
      <c r="BG20" s="549">
        <f t="shared" si="125"/>
        <v>1357.7586206896553</v>
      </c>
      <c r="BH20" s="549">
        <f t="shared" si="126"/>
        <v>1161.0671936758893</v>
      </c>
      <c r="BI20" s="565" t="s">
        <v>47</v>
      </c>
      <c r="BJ20" s="551">
        <f t="shared" si="39"/>
        <v>2695.7831325301204</v>
      </c>
      <c r="BK20" s="551">
        <f t="shared" si="54"/>
        <v>2465.2777777777778</v>
      </c>
      <c r="BL20" s="551">
        <f t="shared" si="118"/>
        <v>1948.5294117647059</v>
      </c>
      <c r="BM20" s="551">
        <f t="shared" si="119"/>
        <v>1570.9459459459461</v>
      </c>
      <c r="BN20" s="551">
        <f t="shared" si="120"/>
        <v>1357.7586206896553</v>
      </c>
      <c r="BO20" s="551">
        <f t="shared" si="121"/>
        <v>1161.0671936758893</v>
      </c>
    </row>
    <row r="21" spans="1:67" s="564" customFormat="1" ht="14.5" customHeight="1">
      <c r="A21" s="888"/>
      <c r="B21" s="559" t="s">
        <v>65</v>
      </c>
      <c r="C21" s="888"/>
      <c r="D21" s="530">
        <v>0</v>
      </c>
      <c r="E21" s="531">
        <v>1</v>
      </c>
      <c r="F21" s="531">
        <v>1</v>
      </c>
      <c r="G21" s="235">
        <f>'Compiled Articles'!H14</f>
        <v>24</v>
      </c>
      <c r="H21" s="235">
        <f>'Compiled Articles'!$H$11</f>
        <v>365</v>
      </c>
      <c r="I21" s="235">
        <v>1</v>
      </c>
      <c r="J21" s="538">
        <f t="shared" si="59"/>
        <v>4.8000000000000001E-5</v>
      </c>
      <c r="K21" s="539">
        <f t="shared" si="36"/>
        <v>1.9199999999999999E-5</v>
      </c>
      <c r="L21" s="560" t="s">
        <v>1386</v>
      </c>
      <c r="M21" s="541">
        <f>(INDEX('Dermal Calcs'!$B$79:$H$85, MATCH($L21,'Dermal Calcs'!$A$79:$A$85, 0), MATCH(M$3, 'Dermal Calcs'!$B$78:$H$78, 0)))*$K21*$D21</f>
        <v>0</v>
      </c>
      <c r="N21" s="542">
        <f>(INDEX('Dermal Calcs'!$B$79:$H$85, MATCH($L21,'Dermal Calcs'!$A$79:$A$85, 0), MATCH(N$3, 'Dermal Calcs'!$B$78:$H$78, 0)))*$K21*$E21</f>
        <v>1.1128491620111733E-4</v>
      </c>
      <c r="O21" s="542">
        <f>(INDEX('Dermal Calcs'!$B$79:$H$85, MATCH($L21,'Dermal Calcs'!$A$79:$A$85, 0), MATCH(O$3, 'Dermal Calcs'!$B$78:$H$78, 0)))*$K21*$E21</f>
        <v>1.2169014084507042E-4</v>
      </c>
      <c r="P21" s="543">
        <f>(INDEX('Dermal Calcs'!$B$79:$H$85, MATCH($L21,'Dermal Calcs'!$A$79:$A$85, 0), MATCH(P$3, 'Dermal Calcs'!$B$78:$H$78, 0)))*$K21*$F21</f>
        <v>1.5396226415094339E-4</v>
      </c>
      <c r="Q21" s="543">
        <f>(INDEX('Dermal Calcs'!$B$79:$H$85, MATCH($L21,'Dermal Calcs'!$A$79:$A$85, 0), MATCH(Q$3, 'Dermal Calcs'!$B$78:$H$78, 0)))*$K21*$F21</f>
        <v>1.9096774193548384E-4</v>
      </c>
      <c r="R21" s="543">
        <f>(INDEX('Dermal Calcs'!$B$79:$H$85, MATCH($L21,'Dermal Calcs'!$A$79:$A$85, 0), MATCH(R$3, 'Dermal Calcs'!$B$78:$H$78, 0)))*$K21*$F21</f>
        <v>2.209523809523809E-4</v>
      </c>
      <c r="S21" s="544">
        <f>(INDEX('Dermal Calcs'!$B$79:$H$85, MATCH($L21,'Dermal Calcs'!$A$79:$A$85, 0), MATCH(S$3, 'Dermal Calcs'!$B$78:$H$78, 0)))*$K21*$F21</f>
        <v>2.5838297872340428E-4</v>
      </c>
      <c r="T21" s="561">
        <f t="shared" si="1"/>
        <v>0</v>
      </c>
      <c r="U21" s="562">
        <f t="shared" si="2"/>
        <v>4.0618994413407827E-2</v>
      </c>
      <c r="V21" s="562">
        <f t="shared" si="3"/>
        <v>4.4416901408450706E-2</v>
      </c>
      <c r="W21" s="563">
        <f t="shared" si="4"/>
        <v>5.6196226415094336E-2</v>
      </c>
      <c r="X21" s="563">
        <f t="shared" si="5"/>
        <v>6.9703225806451607E-2</v>
      </c>
      <c r="Y21" s="563">
        <f t="shared" si="6"/>
        <v>8.0647619047619024E-2</v>
      </c>
      <c r="Z21" s="563">
        <f t="shared" si="7"/>
        <v>9.4309787234042555E-2</v>
      </c>
      <c r="AA21" s="561">
        <f t="shared" si="8"/>
        <v>0</v>
      </c>
      <c r="AB21" s="562">
        <f t="shared" si="9"/>
        <v>1.1128491620111733E-4</v>
      </c>
      <c r="AC21" s="562">
        <f t="shared" si="10"/>
        <v>1.2169014084507042E-4</v>
      </c>
      <c r="AD21" s="563">
        <f t="shared" si="11"/>
        <v>1.5396226415094339E-4</v>
      </c>
      <c r="AE21" s="563">
        <f t="shared" si="12"/>
        <v>1.9096774193548384E-4</v>
      </c>
      <c r="AF21" s="563">
        <f t="shared" si="13"/>
        <v>2.209523809523809E-4</v>
      </c>
      <c r="AG21" s="563">
        <f t="shared" si="14"/>
        <v>2.5838297872340428E-4</v>
      </c>
      <c r="AH21" s="546">
        <f t="shared" si="15"/>
        <v>0</v>
      </c>
      <c r="AI21" s="547">
        <f t="shared" si="16"/>
        <v>0.11128491620111733</v>
      </c>
      <c r="AJ21" s="547">
        <f t="shared" si="17"/>
        <v>0.12169014084507043</v>
      </c>
      <c r="AK21" s="547">
        <f t="shared" si="18"/>
        <v>0.15396226415094338</v>
      </c>
      <c r="AL21" s="547">
        <f t="shared" si="19"/>
        <v>0.19096774193548388</v>
      </c>
      <c r="AM21" s="547">
        <f t="shared" si="20"/>
        <v>0.22095238095238087</v>
      </c>
      <c r="AN21" s="548">
        <f t="shared" si="21"/>
        <v>0.25838297872340427</v>
      </c>
      <c r="AO21" s="547">
        <f t="shared" si="37"/>
        <v>0</v>
      </c>
      <c r="AP21" s="547">
        <f t="shared" si="22"/>
        <v>0.11128491620111733</v>
      </c>
      <c r="AQ21" s="547">
        <f t="shared" si="23"/>
        <v>0.12169014084507042</v>
      </c>
      <c r="AR21" s="547">
        <f t="shared" si="24"/>
        <v>0.15396226415094338</v>
      </c>
      <c r="AS21" s="547">
        <f t="shared" si="25"/>
        <v>0.19096774193548383</v>
      </c>
      <c r="AT21" s="547">
        <f t="shared" si="26"/>
        <v>0.2209523809523809</v>
      </c>
      <c r="AU21" s="548">
        <f t="shared" si="27"/>
        <v>0.25838297872340427</v>
      </c>
      <c r="AV21" s="561">
        <f t="shared" si="28"/>
        <v>0</v>
      </c>
      <c r="AW21" s="562">
        <f t="shared" si="29"/>
        <v>0.11648752852309388</v>
      </c>
      <c r="AX21" s="563">
        <f t="shared" si="30"/>
        <v>0.20606634144055311</v>
      </c>
      <c r="AY21" s="561">
        <f t="shared" si="31"/>
        <v>0</v>
      </c>
      <c r="AZ21" s="562">
        <f t="shared" si="32"/>
        <v>0.11648752852309388</v>
      </c>
      <c r="BA21" s="563">
        <f t="shared" si="33"/>
        <v>0.20606634144055311</v>
      </c>
      <c r="BB21" s="565" t="s">
        <v>47</v>
      </c>
      <c r="BC21" s="549">
        <f t="shared" si="112"/>
        <v>9884.5381526104411</v>
      </c>
      <c r="BD21" s="549">
        <f t="shared" si="122"/>
        <v>9039.3518518518504</v>
      </c>
      <c r="BE21" s="549">
        <f t="shared" si="123"/>
        <v>7144.6078431372553</v>
      </c>
      <c r="BF21" s="549">
        <f t="shared" si="124"/>
        <v>5760.135135135135</v>
      </c>
      <c r="BG21" s="549">
        <f t="shared" si="125"/>
        <v>4978.4482758620707</v>
      </c>
      <c r="BH21" s="549">
        <f t="shared" si="126"/>
        <v>4257.246376811594</v>
      </c>
      <c r="BI21" s="565" t="s">
        <v>47</v>
      </c>
      <c r="BJ21" s="551">
        <f t="shared" si="39"/>
        <v>9884.5381526104411</v>
      </c>
      <c r="BK21" s="551">
        <f t="shared" si="54"/>
        <v>9039.3518518518522</v>
      </c>
      <c r="BL21" s="551">
        <f t="shared" si="118"/>
        <v>7144.6078431372553</v>
      </c>
      <c r="BM21" s="551">
        <f t="shared" si="119"/>
        <v>5760.1351351351368</v>
      </c>
      <c r="BN21" s="551">
        <f t="shared" si="120"/>
        <v>4978.4482758620697</v>
      </c>
      <c r="BO21" s="551">
        <f t="shared" si="121"/>
        <v>4257.246376811594</v>
      </c>
    </row>
    <row r="22" spans="1:67" s="667" customFormat="1" ht="14.5" customHeight="1">
      <c r="A22" s="886" t="str">
        <f>'Compiled Articles'!I6</f>
        <v>Clothing</v>
      </c>
      <c r="B22" s="461" t="s">
        <v>69</v>
      </c>
      <c r="C22" s="886" t="s">
        <v>944</v>
      </c>
      <c r="D22" s="527">
        <v>1</v>
      </c>
      <c r="E22" s="640">
        <v>1</v>
      </c>
      <c r="F22" s="640">
        <v>0</v>
      </c>
      <c r="G22" s="235">
        <f>'Compiled Articles'!I12</f>
        <v>480</v>
      </c>
      <c r="H22" s="235">
        <f>'Compiled Articles'!$I$11</f>
        <v>52</v>
      </c>
      <c r="I22" s="235">
        <v>1</v>
      </c>
      <c r="J22" s="538">
        <f t="shared" si="59"/>
        <v>4.8000000000000001E-5</v>
      </c>
      <c r="K22" s="539">
        <f t="shared" si="36"/>
        <v>3.8400000000000001E-4</v>
      </c>
      <c r="L22" s="540" t="s">
        <v>1393</v>
      </c>
      <c r="M22" s="541">
        <f>(INDEX('Dermal Calcs'!$B$79:$H$85, MATCH($L22,'Dermal Calcs'!$A$79:$A$85, 0), MATCH(M$3, 'Dermal Calcs'!$B$78:$H$78, 0)))*$K22*$D22</f>
        <v>4.721034697541493E-2</v>
      </c>
      <c r="N22" s="542">
        <f>(INDEX('Dermal Calcs'!$B$79:$H$85, MATCH($L22,'Dermal Calcs'!$A$79:$A$85, 0), MATCH(N$3, 'Dermal Calcs'!$B$78:$H$78, 0)))*$K22*$E22</f>
        <v>4.9340782122905033E-2</v>
      </c>
      <c r="O22" s="542">
        <f>(INDEX('Dermal Calcs'!$B$79:$H$85, MATCH($L22,'Dermal Calcs'!$A$79:$A$85, 0), MATCH(O$3, 'Dermal Calcs'!$B$78:$H$78, 0)))*$K22*$E22</f>
        <v>5.3746478873239439E-2</v>
      </c>
      <c r="P22" s="543">
        <f>(INDEX('Dermal Calcs'!$B$79:$H$85, MATCH($L22,'Dermal Calcs'!$A$79:$A$85, 0), MATCH(P$3, 'Dermal Calcs'!$B$78:$H$78, 0)))*$K22*$F22</f>
        <v>0</v>
      </c>
      <c r="Q22" s="543">
        <f>(INDEX('Dermal Calcs'!$B$79:$H$85, MATCH($L22,'Dermal Calcs'!$A$79:$A$85, 0), MATCH(Q$3, 'Dermal Calcs'!$B$78:$H$78, 0)))*$K22*$F22</f>
        <v>0</v>
      </c>
      <c r="R22" s="543">
        <f>(INDEX('Dermal Calcs'!$B$79:$H$85, MATCH($L22,'Dermal Calcs'!$A$79:$A$85, 0), MATCH(R$3, 'Dermal Calcs'!$B$78:$H$78, 0)))*$K22*$F22</f>
        <v>0</v>
      </c>
      <c r="S22" s="544">
        <f>(INDEX('Dermal Calcs'!$B$79:$H$85, MATCH($L22,'Dermal Calcs'!$A$79:$A$85, 0), MATCH(S$3, 'Dermal Calcs'!$B$78:$H$78, 0)))*$K22*$F22</f>
        <v>0</v>
      </c>
      <c r="T22" s="541">
        <f t="shared" si="1"/>
        <v>2.4549380427215763</v>
      </c>
      <c r="U22" s="542">
        <f t="shared" si="2"/>
        <v>2.5657206703910616</v>
      </c>
      <c r="V22" s="542">
        <f t="shared" si="3"/>
        <v>2.794816901408451</v>
      </c>
      <c r="W22" s="545">
        <f t="shared" si="4"/>
        <v>0</v>
      </c>
      <c r="X22" s="545">
        <f t="shared" si="5"/>
        <v>0</v>
      </c>
      <c r="Y22" s="545">
        <f t="shared" si="6"/>
        <v>0</v>
      </c>
      <c r="Z22" s="545">
        <f t="shared" si="7"/>
        <v>0</v>
      </c>
      <c r="AA22" s="541">
        <f t="shared" si="8"/>
        <v>4.721034697541493E-2</v>
      </c>
      <c r="AB22" s="542">
        <f t="shared" si="9"/>
        <v>4.9340782122905033E-2</v>
      </c>
      <c r="AC22" s="542">
        <f t="shared" si="10"/>
        <v>5.3746478873239439E-2</v>
      </c>
      <c r="AD22" s="545">
        <f t="shared" si="11"/>
        <v>0</v>
      </c>
      <c r="AE22" s="545">
        <f t="shared" si="12"/>
        <v>0</v>
      </c>
      <c r="AF22" s="545">
        <f t="shared" si="13"/>
        <v>0</v>
      </c>
      <c r="AG22" s="545">
        <f t="shared" si="14"/>
        <v>0</v>
      </c>
      <c r="AH22" s="546">
        <f t="shared" si="15"/>
        <v>6.7258576512919905</v>
      </c>
      <c r="AI22" s="547">
        <f t="shared" si="16"/>
        <v>7.0293716997015387</v>
      </c>
      <c r="AJ22" s="547">
        <f t="shared" si="17"/>
        <v>7.6570326065984959</v>
      </c>
      <c r="AK22" s="547">
        <f t="shared" si="18"/>
        <v>0</v>
      </c>
      <c r="AL22" s="547">
        <f t="shared" si="19"/>
        <v>0</v>
      </c>
      <c r="AM22" s="547">
        <f t="shared" si="20"/>
        <v>0</v>
      </c>
      <c r="AN22" s="548">
        <f t="shared" si="21"/>
        <v>0</v>
      </c>
      <c r="AO22" s="547">
        <f t="shared" si="37"/>
        <v>47.210346975414929</v>
      </c>
      <c r="AP22" s="547">
        <f t="shared" si="22"/>
        <v>49.340782122905033</v>
      </c>
      <c r="AQ22" s="547">
        <f t="shared" si="23"/>
        <v>53.74647887323944</v>
      </c>
      <c r="AR22" s="547">
        <f t="shared" si="24"/>
        <v>0</v>
      </c>
      <c r="AS22" s="547">
        <f t="shared" si="25"/>
        <v>0</v>
      </c>
      <c r="AT22" s="547">
        <f t="shared" si="26"/>
        <v>0</v>
      </c>
      <c r="AU22" s="548">
        <f t="shared" si="27"/>
        <v>0</v>
      </c>
      <c r="AV22" s="541">
        <f t="shared" si="28"/>
        <v>6.7258576512919905</v>
      </c>
      <c r="AW22" s="542">
        <f t="shared" si="29"/>
        <v>7.3432021531500169</v>
      </c>
      <c r="AX22" s="545">
        <f t="shared" si="30"/>
        <v>0</v>
      </c>
      <c r="AY22" s="541">
        <f t="shared" si="31"/>
        <v>47.210346975414929</v>
      </c>
      <c r="AZ22" s="542">
        <f t="shared" si="32"/>
        <v>51.54363049807224</v>
      </c>
      <c r="BA22" s="545">
        <f t="shared" si="33"/>
        <v>0</v>
      </c>
      <c r="BB22" s="549">
        <f t="shared" ref="BB22" si="127">1100/AH22</f>
        <v>163.54791567566073</v>
      </c>
      <c r="BC22" s="549">
        <f t="shared" si="112"/>
        <v>156.48624756131548</v>
      </c>
      <c r="BD22" s="549">
        <f t="shared" si="122"/>
        <v>143.65878487340751</v>
      </c>
      <c r="BE22" s="549" t="e">
        <f t="shared" si="123"/>
        <v>#DIV/0!</v>
      </c>
      <c r="BF22" s="549" t="e">
        <f t="shared" si="124"/>
        <v>#DIV/0!</v>
      </c>
      <c r="BG22" s="549" t="e">
        <f t="shared" si="125"/>
        <v>#DIV/0!</v>
      </c>
      <c r="BH22" s="549" t="e">
        <f t="shared" si="126"/>
        <v>#DIV/0!</v>
      </c>
      <c r="BI22" s="551">
        <f t="shared" ref="BI22:BI33" si="128">1100/AO22</f>
        <v>23.299977027765365</v>
      </c>
      <c r="BJ22" s="551">
        <f t="shared" ref="BJ22:BJ33" si="129">1100/AP22</f>
        <v>22.293931159420289</v>
      </c>
      <c r="BK22" s="551">
        <f t="shared" ref="BK22:BK33" si="130">1100/AQ22</f>
        <v>20.466457023060794</v>
      </c>
      <c r="BL22" s="551" t="e">
        <f t="shared" ref="BL22:BL33" si="131">1100/AR22</f>
        <v>#DIV/0!</v>
      </c>
      <c r="BM22" s="551" t="e">
        <f t="shared" ref="BM22:BM33" si="132">1100/AS22</f>
        <v>#DIV/0!</v>
      </c>
      <c r="BN22" s="551" t="e">
        <f t="shared" ref="BN22:BN33" si="133">1100/AT22</f>
        <v>#DIV/0!</v>
      </c>
      <c r="BO22" s="551" t="e">
        <f t="shared" ref="BO22:BO33" si="134">1100/AU22</f>
        <v>#DIV/0!</v>
      </c>
    </row>
    <row r="23" spans="1:67" s="667" customFormat="1" ht="14.5" customHeight="1">
      <c r="A23" s="887"/>
      <c r="B23" s="461" t="s">
        <v>1065</v>
      </c>
      <c r="C23" s="887"/>
      <c r="D23" s="527">
        <v>1</v>
      </c>
      <c r="E23" s="640">
        <v>1</v>
      </c>
      <c r="F23" s="640">
        <v>0</v>
      </c>
      <c r="G23" s="235">
        <f>'Compiled Articles'!I13</f>
        <v>240</v>
      </c>
      <c r="H23" s="235">
        <f>'Compiled Articles'!$I$11</f>
        <v>52</v>
      </c>
      <c r="I23" s="235">
        <v>1</v>
      </c>
      <c r="J23" s="538">
        <f t="shared" si="59"/>
        <v>4.8000000000000001E-5</v>
      </c>
      <c r="K23" s="539">
        <f t="shared" si="36"/>
        <v>1.92E-4</v>
      </c>
      <c r="L23" s="540" t="s">
        <v>1388</v>
      </c>
      <c r="M23" s="541">
        <f>(INDEX('Dermal Calcs'!$B$79:$H$85, MATCH($L23,'Dermal Calcs'!$A$79:$A$85, 0), MATCH(M$3, 'Dermal Calcs'!$B$78:$H$78, 0)))*$K23*$D23</f>
        <v>3.0246436815300625E-3</v>
      </c>
      <c r="N23" s="542">
        <f>(INDEX('Dermal Calcs'!$B$79:$H$85, MATCH($L23,'Dermal Calcs'!$A$79:$A$85, 0), MATCH(N$3, 'Dermal Calcs'!$B$78:$H$78, 0)))*$K23*$E23</f>
        <v>2.862569832402235E-3</v>
      </c>
      <c r="O23" s="542">
        <f>(INDEX('Dermal Calcs'!$B$79:$H$85, MATCH($L23,'Dermal Calcs'!$A$79:$A$85, 0), MATCH(O$3, 'Dermal Calcs'!$B$78:$H$78, 0)))*$K23*$E23</f>
        <v>3.1436619718309862E-3</v>
      </c>
      <c r="P23" s="543">
        <f>(INDEX('Dermal Calcs'!$B$79:$H$85, MATCH($L23,'Dermal Calcs'!$A$79:$A$85, 0), MATCH(P$3, 'Dermal Calcs'!$B$78:$H$78, 0)))*$K23*$F23</f>
        <v>0</v>
      </c>
      <c r="Q23" s="543">
        <f>(INDEX('Dermal Calcs'!$B$79:$H$85, MATCH($L23,'Dermal Calcs'!$A$79:$A$85, 0), MATCH(Q$3, 'Dermal Calcs'!$B$78:$H$78, 0)))*$K23*$F23</f>
        <v>0</v>
      </c>
      <c r="R23" s="543">
        <f>(INDEX('Dermal Calcs'!$B$79:$H$85, MATCH($L23,'Dermal Calcs'!$A$79:$A$85, 0), MATCH(R$3, 'Dermal Calcs'!$B$78:$H$78, 0)))*$K23*$F23</f>
        <v>0</v>
      </c>
      <c r="S23" s="544">
        <f>(INDEX('Dermal Calcs'!$B$79:$H$85, MATCH($L23,'Dermal Calcs'!$A$79:$A$85, 0), MATCH(S$3, 'Dermal Calcs'!$B$78:$H$78, 0)))*$K23*$F23</f>
        <v>0</v>
      </c>
      <c r="T23" s="554">
        <f t="shared" si="1"/>
        <v>0.15728147143956325</v>
      </c>
      <c r="U23" s="555">
        <f t="shared" si="2"/>
        <v>0.14885363128491622</v>
      </c>
      <c r="V23" s="555">
        <f t="shared" si="3"/>
        <v>0.16347042253521127</v>
      </c>
      <c r="W23" s="556">
        <f t="shared" si="4"/>
        <v>0</v>
      </c>
      <c r="X23" s="556">
        <f t="shared" si="5"/>
        <v>0</v>
      </c>
      <c r="Y23" s="556">
        <f t="shared" si="6"/>
        <v>0</v>
      </c>
      <c r="Z23" s="556">
        <f t="shared" si="7"/>
        <v>0</v>
      </c>
      <c r="AA23" s="554">
        <f t="shared" si="8"/>
        <v>3.0246436815300625E-3</v>
      </c>
      <c r="AB23" s="555">
        <f t="shared" si="9"/>
        <v>2.862569832402235E-3</v>
      </c>
      <c r="AC23" s="555">
        <f t="shared" si="10"/>
        <v>3.1436619718309862E-3</v>
      </c>
      <c r="AD23" s="556">
        <f t="shared" si="11"/>
        <v>0</v>
      </c>
      <c r="AE23" s="556">
        <f t="shared" si="12"/>
        <v>0</v>
      </c>
      <c r="AF23" s="556">
        <f t="shared" si="13"/>
        <v>0</v>
      </c>
      <c r="AG23" s="556">
        <f t="shared" si="14"/>
        <v>0</v>
      </c>
      <c r="AH23" s="546">
        <f t="shared" si="15"/>
        <v>0.43090814093031032</v>
      </c>
      <c r="AI23" s="547">
        <f t="shared" si="16"/>
        <v>0.40781816790388004</v>
      </c>
      <c r="AJ23" s="547">
        <f t="shared" si="17"/>
        <v>0.44786417132934597</v>
      </c>
      <c r="AK23" s="547">
        <f t="shared" si="18"/>
        <v>0</v>
      </c>
      <c r="AL23" s="547">
        <f t="shared" si="19"/>
        <v>0</v>
      </c>
      <c r="AM23" s="547">
        <f t="shared" si="20"/>
        <v>0</v>
      </c>
      <c r="AN23" s="548">
        <f t="shared" si="21"/>
        <v>0</v>
      </c>
      <c r="AO23" s="547">
        <f t="shared" si="37"/>
        <v>3.0246436815300624</v>
      </c>
      <c r="AP23" s="547">
        <f t="shared" si="22"/>
        <v>2.8625698324022348</v>
      </c>
      <c r="AQ23" s="547">
        <f t="shared" si="23"/>
        <v>3.1436619718309862</v>
      </c>
      <c r="AR23" s="547">
        <f t="shared" si="24"/>
        <v>0</v>
      </c>
      <c r="AS23" s="547">
        <f t="shared" si="25"/>
        <v>0</v>
      </c>
      <c r="AT23" s="547">
        <f t="shared" si="26"/>
        <v>0</v>
      </c>
      <c r="AU23" s="548">
        <f t="shared" si="27"/>
        <v>0</v>
      </c>
      <c r="AV23" s="554">
        <f t="shared" si="28"/>
        <v>0.43090814093031032</v>
      </c>
      <c r="AW23" s="555">
        <f t="shared" si="29"/>
        <v>0.42784116961661306</v>
      </c>
      <c r="AX23" s="556">
        <f t="shared" si="30"/>
        <v>0</v>
      </c>
      <c r="AY23" s="554">
        <f t="shared" si="31"/>
        <v>3.0246436815300624</v>
      </c>
      <c r="AZ23" s="555">
        <f t="shared" si="32"/>
        <v>3.0031159021166105</v>
      </c>
      <c r="BA23" s="556">
        <f t="shared" si="33"/>
        <v>0</v>
      </c>
      <c r="BB23" s="549">
        <f t="shared" ref="BB23:BB72" si="135">1100/AH23</f>
        <v>2552.7482438023844</v>
      </c>
      <c r="BC23" s="549">
        <f t="shared" ref="BC23:BC72" si="136">1100/AI23</f>
        <v>2697.2805200264215</v>
      </c>
      <c r="BD23" s="549">
        <f t="shared" ref="BD23:BD72" si="137">1100/AJ23</f>
        <v>2456.1018059001926</v>
      </c>
      <c r="BE23" s="549" t="e">
        <f t="shared" si="123"/>
        <v>#DIV/0!</v>
      </c>
      <c r="BF23" s="549" t="e">
        <f t="shared" si="124"/>
        <v>#DIV/0!</v>
      </c>
      <c r="BG23" s="549" t="e">
        <f t="shared" si="125"/>
        <v>#DIV/0!</v>
      </c>
      <c r="BH23" s="549" t="e">
        <f t="shared" si="126"/>
        <v>#DIV/0!</v>
      </c>
      <c r="BI23" s="551">
        <f t="shared" si="128"/>
        <v>363.67920185677809</v>
      </c>
      <c r="BJ23" s="551">
        <f t="shared" si="129"/>
        <v>384.27010148321619</v>
      </c>
      <c r="BK23" s="551">
        <f t="shared" si="130"/>
        <v>349.91039426523292</v>
      </c>
      <c r="BL23" s="551" t="e">
        <f t="shared" si="131"/>
        <v>#DIV/0!</v>
      </c>
      <c r="BM23" s="551" t="e">
        <f t="shared" si="132"/>
        <v>#DIV/0!</v>
      </c>
      <c r="BN23" s="551" t="e">
        <f t="shared" si="133"/>
        <v>#DIV/0!</v>
      </c>
      <c r="BO23" s="551" t="e">
        <f t="shared" si="134"/>
        <v>#DIV/0!</v>
      </c>
    </row>
    <row r="24" spans="1:67" s="667" customFormat="1" ht="14.5" customHeight="1" thickBot="1">
      <c r="A24" s="888"/>
      <c r="B24" s="559" t="s">
        <v>65</v>
      </c>
      <c r="C24" s="888"/>
      <c r="D24" s="527">
        <v>1</v>
      </c>
      <c r="E24" s="640">
        <v>1</v>
      </c>
      <c r="F24" s="640">
        <v>0</v>
      </c>
      <c r="G24" s="235">
        <f>'Compiled Articles'!I14</f>
        <v>120</v>
      </c>
      <c r="H24" s="235">
        <f>'Compiled Articles'!$I$11</f>
        <v>52</v>
      </c>
      <c r="I24" s="235">
        <v>1</v>
      </c>
      <c r="J24" s="538">
        <f t="shared" si="59"/>
        <v>4.8000000000000001E-5</v>
      </c>
      <c r="K24" s="539">
        <f t="shared" si="36"/>
        <v>9.6000000000000002E-5</v>
      </c>
      <c r="L24" s="540" t="s">
        <v>1394</v>
      </c>
      <c r="M24" s="541">
        <f>(INDEX('Dermal Calcs'!$B$79:$H$85, MATCH($L24,'Dermal Calcs'!$A$79:$A$85, 0), MATCH(M$3, 'Dermal Calcs'!$B$78:$H$78, 0)))*$K24*$D24</f>
        <v>1.189228007181329E-3</v>
      </c>
      <c r="N24" s="542">
        <f>(INDEX('Dermal Calcs'!$B$79:$H$85, MATCH($L24,'Dermal Calcs'!$A$79:$A$85, 0), MATCH(N$3, 'Dermal Calcs'!$B$78:$H$78, 0)))*$K24*$E24</f>
        <v>1.1128491620111733E-3</v>
      </c>
      <c r="O24" s="542">
        <f>(INDEX('Dermal Calcs'!$B$79:$H$85, MATCH($L24,'Dermal Calcs'!$A$79:$A$85, 0), MATCH(O$3, 'Dermal Calcs'!$B$78:$H$78, 0)))*$K24*$E24</f>
        <v>1.2169014084507043E-3</v>
      </c>
      <c r="P24" s="543">
        <f>(INDEX('Dermal Calcs'!$B$79:$H$85, MATCH($L24,'Dermal Calcs'!$A$79:$A$85, 0), MATCH(P$3, 'Dermal Calcs'!$B$78:$H$78, 0)))*$K24*$F24</f>
        <v>0</v>
      </c>
      <c r="Q24" s="543">
        <f>(INDEX('Dermal Calcs'!$B$79:$H$85, MATCH($L24,'Dermal Calcs'!$A$79:$A$85, 0), MATCH(Q$3, 'Dermal Calcs'!$B$78:$H$78, 0)))*$K24*$F24</f>
        <v>0</v>
      </c>
      <c r="R24" s="543">
        <f>(INDEX('Dermal Calcs'!$B$79:$H$85, MATCH($L24,'Dermal Calcs'!$A$79:$A$85, 0), MATCH(R$3, 'Dermal Calcs'!$B$78:$H$78, 0)))*$K24*$F24</f>
        <v>0</v>
      </c>
      <c r="S24" s="544">
        <f>(INDEX('Dermal Calcs'!$B$79:$H$85, MATCH($L24,'Dermal Calcs'!$A$79:$A$85, 0), MATCH(S$3, 'Dermal Calcs'!$B$78:$H$78, 0)))*$K24*$F24</f>
        <v>0</v>
      </c>
      <c r="T24" s="561">
        <f t="shared" si="1"/>
        <v>6.1839856373429106E-2</v>
      </c>
      <c r="U24" s="562">
        <f t="shared" si="2"/>
        <v>5.7868156424581013E-2</v>
      </c>
      <c r="V24" s="562">
        <f t="shared" si="3"/>
        <v>6.3278873239436623E-2</v>
      </c>
      <c r="W24" s="563">
        <f t="shared" si="4"/>
        <v>0</v>
      </c>
      <c r="X24" s="563">
        <f t="shared" si="5"/>
        <v>0</v>
      </c>
      <c r="Y24" s="563">
        <f t="shared" si="6"/>
        <v>0</v>
      </c>
      <c r="Z24" s="563">
        <f t="shared" si="7"/>
        <v>0</v>
      </c>
      <c r="AA24" s="561">
        <f t="shared" si="8"/>
        <v>1.189228007181329E-3</v>
      </c>
      <c r="AB24" s="562">
        <f t="shared" si="9"/>
        <v>1.1128491620111733E-3</v>
      </c>
      <c r="AC24" s="562">
        <f t="shared" si="10"/>
        <v>1.2169014084507043E-3</v>
      </c>
      <c r="AD24" s="563">
        <f t="shared" si="11"/>
        <v>0</v>
      </c>
      <c r="AE24" s="563">
        <f t="shared" si="12"/>
        <v>0</v>
      </c>
      <c r="AF24" s="563">
        <f t="shared" si="13"/>
        <v>0</v>
      </c>
      <c r="AG24" s="563">
        <f t="shared" si="14"/>
        <v>0</v>
      </c>
      <c r="AH24" s="546">
        <f t="shared" si="15"/>
        <v>0.16942426403679209</v>
      </c>
      <c r="AI24" s="547">
        <f t="shared" si="16"/>
        <v>0.1585428943139206</v>
      </c>
      <c r="AJ24" s="547">
        <f t="shared" si="17"/>
        <v>0.17336677599845648</v>
      </c>
      <c r="AK24" s="547">
        <f t="shared" si="18"/>
        <v>0</v>
      </c>
      <c r="AL24" s="547">
        <f t="shared" si="19"/>
        <v>0</v>
      </c>
      <c r="AM24" s="547">
        <f t="shared" si="20"/>
        <v>0</v>
      </c>
      <c r="AN24" s="548">
        <f t="shared" si="21"/>
        <v>0</v>
      </c>
      <c r="AO24" s="547">
        <f t="shared" si="37"/>
        <v>1.189228007181329</v>
      </c>
      <c r="AP24" s="547">
        <f t="shared" si="22"/>
        <v>1.1128491620111733</v>
      </c>
      <c r="AQ24" s="547">
        <f t="shared" si="23"/>
        <v>1.2169014084507044</v>
      </c>
      <c r="AR24" s="547">
        <f t="shared" si="24"/>
        <v>0</v>
      </c>
      <c r="AS24" s="547">
        <f t="shared" si="25"/>
        <v>0</v>
      </c>
      <c r="AT24" s="547">
        <f t="shared" si="26"/>
        <v>0</v>
      </c>
      <c r="AU24" s="548">
        <f t="shared" si="27"/>
        <v>0</v>
      </c>
      <c r="AV24" s="561">
        <f t="shared" si="28"/>
        <v>0.16942426403679209</v>
      </c>
      <c r="AW24" s="562">
        <f t="shared" si="29"/>
        <v>0.16595483515618856</v>
      </c>
      <c r="AX24" s="563">
        <f t="shared" si="30"/>
        <v>0</v>
      </c>
      <c r="AY24" s="561">
        <f t="shared" si="31"/>
        <v>1.189228007181329</v>
      </c>
      <c r="AZ24" s="562">
        <f t="shared" si="32"/>
        <v>1.1648752852309388</v>
      </c>
      <c r="BA24" s="563">
        <f t="shared" si="33"/>
        <v>0</v>
      </c>
      <c r="BB24" s="549">
        <f t="shared" si="135"/>
        <v>6492.5765282422863</v>
      </c>
      <c r="BC24" s="549">
        <f t="shared" si="136"/>
        <v>6938.1854340438658</v>
      </c>
      <c r="BD24" s="549">
        <f t="shared" si="137"/>
        <v>6344.9296652421654</v>
      </c>
      <c r="BE24" s="549" t="e">
        <f t="shared" si="123"/>
        <v>#DIV/0!</v>
      </c>
      <c r="BF24" s="549" t="e">
        <f t="shared" si="124"/>
        <v>#DIV/0!</v>
      </c>
      <c r="BG24" s="549" t="e">
        <f t="shared" si="125"/>
        <v>#DIV/0!</v>
      </c>
      <c r="BH24" s="549" t="e">
        <f t="shared" si="126"/>
        <v>#DIV/0!</v>
      </c>
      <c r="BI24" s="551">
        <f t="shared" si="128"/>
        <v>924.96980676328462</v>
      </c>
      <c r="BJ24" s="551">
        <f t="shared" si="129"/>
        <v>988.45381526104404</v>
      </c>
      <c r="BK24" s="551">
        <f t="shared" si="130"/>
        <v>903.93518518518511</v>
      </c>
      <c r="BL24" s="551" t="e">
        <f t="shared" si="131"/>
        <v>#DIV/0!</v>
      </c>
      <c r="BM24" s="551" t="e">
        <f t="shared" si="132"/>
        <v>#DIV/0!</v>
      </c>
      <c r="BN24" s="551" t="e">
        <f t="shared" si="133"/>
        <v>#DIV/0!</v>
      </c>
      <c r="BO24" s="551" t="e">
        <f t="shared" si="134"/>
        <v>#DIV/0!</v>
      </c>
    </row>
    <row r="25" spans="1:67" ht="14.5" customHeight="1">
      <c r="A25" s="886" t="str">
        <f>'Compiled Articles'!J6</f>
        <v>Erasers</v>
      </c>
      <c r="B25" s="566" t="s">
        <v>69</v>
      </c>
      <c r="C25" s="886" t="s">
        <v>499</v>
      </c>
      <c r="D25" s="527">
        <v>1</v>
      </c>
      <c r="E25" s="640">
        <v>1</v>
      </c>
      <c r="F25" s="640">
        <v>1</v>
      </c>
      <c r="G25" s="567">
        <f>'Compiled Articles'!J12</f>
        <v>60</v>
      </c>
      <c r="H25" s="235">
        <f>'Compiled Articles'!$J$11</f>
        <v>365</v>
      </c>
      <c r="I25" s="235">
        <v>1</v>
      </c>
      <c r="J25" s="538">
        <f t="shared" si="59"/>
        <v>4.8000000000000001E-5</v>
      </c>
      <c r="K25" s="539">
        <f t="shared" si="36"/>
        <v>4.8000000000000001E-5</v>
      </c>
      <c r="L25" s="540" t="s">
        <v>1390</v>
      </c>
      <c r="M25" s="541">
        <f>(INDEX('Dermal Calcs'!$B$79:$H$85, MATCH($L25,'Dermal Calcs'!$A$79:$A$85, 0), MATCH(M$3, 'Dermal Calcs'!$B$78:$H$78, 0)))*$K25*$D25</f>
        <v>5.9461400359066448E-5</v>
      </c>
      <c r="N25" s="542">
        <f>(INDEX('Dermal Calcs'!$B$79:$H$85, MATCH($L25,'Dermal Calcs'!$A$79:$A$85, 0), MATCH(N$3, 'Dermal Calcs'!$B$78:$H$78, 0)))*$K25*$E25</f>
        <v>5.5642458100558674E-5</v>
      </c>
      <c r="O25" s="542">
        <f>(INDEX('Dermal Calcs'!$B$79:$H$85, MATCH($L25,'Dermal Calcs'!$A$79:$A$85, 0), MATCH(O$3, 'Dermal Calcs'!$B$78:$H$78, 0)))*$K25*$E25</f>
        <v>6.0845070422535219E-5</v>
      </c>
      <c r="P25" s="543">
        <f>(INDEX('Dermal Calcs'!$B$79:$H$85, MATCH($L25,'Dermal Calcs'!$A$79:$A$85, 0), MATCH(P$3, 'Dermal Calcs'!$B$78:$H$78, 0)))*$K25*$F25</f>
        <v>7.6981132075471694E-5</v>
      </c>
      <c r="Q25" s="543">
        <f>(INDEX('Dermal Calcs'!$B$79:$H$85, MATCH($L25,'Dermal Calcs'!$A$79:$A$85, 0), MATCH(Q$3, 'Dermal Calcs'!$B$78:$H$78, 0)))*$K25*$F25</f>
        <v>9.5483870967741932E-5</v>
      </c>
      <c r="R25" s="543">
        <f>(INDEX('Dermal Calcs'!$B$79:$H$85, MATCH($L25,'Dermal Calcs'!$A$79:$A$85, 0), MATCH(R$3, 'Dermal Calcs'!$B$78:$H$78, 0)))*$K25*$F25</f>
        <v>1.1047619047619047E-4</v>
      </c>
      <c r="S25" s="544">
        <f>(INDEX('Dermal Calcs'!$B$79:$H$85, MATCH($L25,'Dermal Calcs'!$A$79:$A$85, 0), MATCH(S$3, 'Dermal Calcs'!$B$78:$H$78, 0)))*$K25*$F25</f>
        <v>1.2919148936170214E-4</v>
      </c>
      <c r="T25" s="554">
        <f t="shared" si="1"/>
        <v>2.1703411131059253E-2</v>
      </c>
      <c r="U25" s="555">
        <f t="shared" si="2"/>
        <v>2.0309497206703917E-2</v>
      </c>
      <c r="V25" s="555">
        <f t="shared" si="3"/>
        <v>2.2208450704225356E-2</v>
      </c>
      <c r="W25" s="556">
        <f t="shared" si="4"/>
        <v>2.8098113207547168E-2</v>
      </c>
      <c r="X25" s="556">
        <f t="shared" si="5"/>
        <v>3.4851612903225804E-2</v>
      </c>
      <c r="Y25" s="556">
        <f t="shared" si="6"/>
        <v>4.0323809523809526E-2</v>
      </c>
      <c r="Z25" s="556">
        <f t="shared" si="7"/>
        <v>4.7154893617021278E-2</v>
      </c>
      <c r="AA25" s="554">
        <f t="shared" si="8"/>
        <v>5.9461400359066448E-5</v>
      </c>
      <c r="AB25" s="555">
        <f t="shared" si="9"/>
        <v>5.5642458100558674E-5</v>
      </c>
      <c r="AC25" s="555">
        <f t="shared" si="10"/>
        <v>6.0845070422535219E-5</v>
      </c>
      <c r="AD25" s="556">
        <f t="shared" si="11"/>
        <v>7.6981132075471694E-5</v>
      </c>
      <c r="AE25" s="556">
        <f t="shared" si="12"/>
        <v>9.5483870967741932E-5</v>
      </c>
      <c r="AF25" s="556">
        <f t="shared" si="13"/>
        <v>1.1047619047619047E-4</v>
      </c>
      <c r="AG25" s="556">
        <f t="shared" si="14"/>
        <v>1.2919148936170214E-4</v>
      </c>
      <c r="AH25" s="568">
        <f>(T25*1000)/365</f>
        <v>5.9461400359066441E-2</v>
      </c>
      <c r="AI25" s="569">
        <f t="shared" ref="AI25:AN25" si="138">(U25*1000)/365</f>
        <v>5.5642458100558678E-2</v>
      </c>
      <c r="AJ25" s="569">
        <f t="shared" si="138"/>
        <v>6.0845070422535223E-2</v>
      </c>
      <c r="AK25" s="569">
        <f t="shared" si="138"/>
        <v>7.6981132075471692E-2</v>
      </c>
      <c r="AL25" s="569">
        <f t="shared" si="138"/>
        <v>9.5483870967741941E-2</v>
      </c>
      <c r="AM25" s="569">
        <f t="shared" si="138"/>
        <v>0.11047619047619048</v>
      </c>
      <c r="AN25" s="570">
        <f t="shared" si="138"/>
        <v>0.12919148936170213</v>
      </c>
      <c r="AO25" s="569">
        <f t="shared" ref="AO25:AO51" si="139">AA25*1000</f>
        <v>5.9461400359066448E-2</v>
      </c>
      <c r="AP25" s="569">
        <f t="shared" ref="AP25:AP51" si="140">AB25*1000</f>
        <v>5.5642458100558671E-2</v>
      </c>
      <c r="AQ25" s="569">
        <f t="shared" ref="AQ25:AQ51" si="141">AC25*1000</f>
        <v>6.0845070422535216E-2</v>
      </c>
      <c r="AR25" s="569">
        <f t="shared" ref="AR25:AR51" si="142">AD25*1000</f>
        <v>7.6981132075471692E-2</v>
      </c>
      <c r="AS25" s="569">
        <f t="shared" ref="AS25:AS51" si="143">AE25*1000</f>
        <v>9.5483870967741927E-2</v>
      </c>
      <c r="AT25" s="569">
        <f t="shared" ref="AT25:AT51" si="144">AF25*1000</f>
        <v>0.11047619047619048</v>
      </c>
      <c r="AU25" s="570">
        <f t="shared" ref="AU25:AU51" si="145">AG25*1000</f>
        <v>0.12919148936170213</v>
      </c>
      <c r="AV25" s="554">
        <f>(T25*1000)/365</f>
        <v>5.9461400359066441E-2</v>
      </c>
      <c r="AW25" s="555">
        <f t="shared" ref="AW25:AW27" si="146">(AVERAGE(U25:V25)*1000)/365</f>
        <v>5.8243764261546961E-2</v>
      </c>
      <c r="AX25" s="556">
        <f t="shared" ref="AX25:AX27" si="147">(AVERAGE(W25:Z25)*1000)/365</f>
        <v>0.10303317072027655</v>
      </c>
      <c r="AY25" s="554">
        <f t="shared" ref="AY25:AY27" si="148">AA25*1000</f>
        <v>5.9461400359066448E-2</v>
      </c>
      <c r="AZ25" s="555">
        <f t="shared" ref="AZ25:AZ27" si="149">AVERAGE(AB25:AC25)*1000</f>
        <v>5.824376426154694E-2</v>
      </c>
      <c r="BA25" s="556">
        <f t="shared" ref="BA25:BA27" si="150">AVERAGE(AD25:AG25)*1000</f>
        <v>0.10303317072027655</v>
      </c>
      <c r="BB25" s="549">
        <f t="shared" si="135"/>
        <v>18499.396135265695</v>
      </c>
      <c r="BC25" s="549">
        <f t="shared" si="136"/>
        <v>19769.076305220879</v>
      </c>
      <c r="BD25" s="549">
        <f t="shared" si="137"/>
        <v>18078.703703703701</v>
      </c>
      <c r="BE25" s="549">
        <f t="shared" si="123"/>
        <v>14289.215686274511</v>
      </c>
      <c r="BF25" s="549">
        <f t="shared" si="124"/>
        <v>11520.27027027027</v>
      </c>
      <c r="BG25" s="549">
        <f t="shared" si="125"/>
        <v>9956.8965517241377</v>
      </c>
      <c r="BH25" s="549">
        <f t="shared" si="126"/>
        <v>8514.492753623188</v>
      </c>
      <c r="BI25" s="551">
        <f t="shared" si="128"/>
        <v>18499.396135265695</v>
      </c>
      <c r="BJ25" s="551">
        <f t="shared" si="129"/>
        <v>19769.076305220879</v>
      </c>
      <c r="BK25" s="551">
        <f t="shared" si="130"/>
        <v>18078.703703703701</v>
      </c>
      <c r="BL25" s="551">
        <f t="shared" si="131"/>
        <v>14289.215686274511</v>
      </c>
      <c r="BM25" s="551">
        <f t="shared" si="132"/>
        <v>11520.270270270272</v>
      </c>
      <c r="BN25" s="551">
        <f t="shared" si="133"/>
        <v>9956.8965517241377</v>
      </c>
      <c r="BO25" s="551">
        <f t="shared" si="134"/>
        <v>8514.492753623188</v>
      </c>
    </row>
    <row r="26" spans="1:67">
      <c r="A26" s="887"/>
      <c r="B26" s="461" t="s">
        <v>1065</v>
      </c>
      <c r="C26" s="887"/>
      <c r="D26" s="527">
        <v>1</v>
      </c>
      <c r="E26" s="640">
        <v>1</v>
      </c>
      <c r="F26" s="640">
        <v>1</v>
      </c>
      <c r="G26" s="567">
        <f>'Compiled Articles'!J13</f>
        <v>30</v>
      </c>
      <c r="H26" s="235">
        <f>'Compiled Articles'!$J$11</f>
        <v>365</v>
      </c>
      <c r="I26" s="235">
        <v>1</v>
      </c>
      <c r="J26" s="538">
        <f t="shared" si="59"/>
        <v>4.8000000000000001E-5</v>
      </c>
      <c r="K26" s="539">
        <f t="shared" si="36"/>
        <v>2.4000000000000001E-5</v>
      </c>
      <c r="L26" s="553" t="s">
        <v>1390</v>
      </c>
      <c r="M26" s="541">
        <f>(INDEX('Dermal Calcs'!$B$79:$H$85, MATCH($L26,'Dermal Calcs'!$A$79:$A$85, 0), MATCH(M$3, 'Dermal Calcs'!$B$78:$H$78, 0)))*$K26*$D26</f>
        <v>2.9730700179533224E-5</v>
      </c>
      <c r="N26" s="542">
        <f>(INDEX('Dermal Calcs'!$B$79:$H$85, MATCH($L26,'Dermal Calcs'!$A$79:$A$85, 0), MATCH(N$3, 'Dermal Calcs'!$B$78:$H$78, 0)))*$K26*$E26</f>
        <v>2.7821229050279337E-5</v>
      </c>
      <c r="O26" s="542">
        <f>(INDEX('Dermal Calcs'!$B$79:$H$85, MATCH($L26,'Dermal Calcs'!$A$79:$A$85, 0), MATCH(O$3, 'Dermal Calcs'!$B$78:$H$78, 0)))*$K26*$E26</f>
        <v>3.042253521126761E-5</v>
      </c>
      <c r="P26" s="543">
        <f>(INDEX('Dermal Calcs'!$B$79:$H$85, MATCH($L26,'Dermal Calcs'!$A$79:$A$85, 0), MATCH(P$3, 'Dermal Calcs'!$B$78:$H$78, 0)))*$K26*$F26</f>
        <v>3.8490566037735847E-5</v>
      </c>
      <c r="Q26" s="543">
        <f>(INDEX('Dermal Calcs'!$B$79:$H$85, MATCH($L26,'Dermal Calcs'!$A$79:$A$85, 0), MATCH(Q$3, 'Dermal Calcs'!$B$78:$H$78, 0)))*$K26*$F26</f>
        <v>4.7741935483870966E-5</v>
      </c>
      <c r="R26" s="543">
        <f>(INDEX('Dermal Calcs'!$B$79:$H$85, MATCH($L26,'Dermal Calcs'!$A$79:$A$85, 0), MATCH(R$3, 'Dermal Calcs'!$B$78:$H$78, 0)))*$K26*$F26</f>
        <v>5.5238095238095237E-5</v>
      </c>
      <c r="S26" s="544">
        <f>(INDEX('Dermal Calcs'!$B$79:$H$85, MATCH($L26,'Dermal Calcs'!$A$79:$A$85, 0), MATCH(S$3, 'Dermal Calcs'!$B$78:$H$78, 0)))*$K26*$F26</f>
        <v>6.4595744680851069E-5</v>
      </c>
      <c r="T26" s="554">
        <f t="shared" si="1"/>
        <v>1.0851705565529626E-2</v>
      </c>
      <c r="U26" s="555">
        <f t="shared" si="2"/>
        <v>1.0154748603351959E-2</v>
      </c>
      <c r="V26" s="555">
        <f t="shared" si="3"/>
        <v>1.1104225352112678E-2</v>
      </c>
      <c r="W26" s="556">
        <f t="shared" si="4"/>
        <v>1.4049056603773584E-2</v>
      </c>
      <c r="X26" s="556">
        <f t="shared" si="5"/>
        <v>1.7425806451612902E-2</v>
      </c>
      <c r="Y26" s="556">
        <f t="shared" si="6"/>
        <v>2.0161904761904763E-2</v>
      </c>
      <c r="Z26" s="556">
        <f t="shared" si="7"/>
        <v>2.3577446808510639E-2</v>
      </c>
      <c r="AA26" s="554">
        <f t="shared" si="8"/>
        <v>2.9730700179533224E-5</v>
      </c>
      <c r="AB26" s="555">
        <f t="shared" si="9"/>
        <v>2.7821229050279337E-5</v>
      </c>
      <c r="AC26" s="555">
        <f t="shared" si="10"/>
        <v>3.042253521126761E-5</v>
      </c>
      <c r="AD26" s="556">
        <f t="shared" si="11"/>
        <v>3.8490566037735847E-5</v>
      </c>
      <c r="AE26" s="556">
        <f t="shared" si="12"/>
        <v>4.7741935483870966E-5</v>
      </c>
      <c r="AF26" s="556">
        <f t="shared" si="13"/>
        <v>5.5238095238095237E-5</v>
      </c>
      <c r="AG26" s="556">
        <f t="shared" si="14"/>
        <v>6.4595744680851069E-5</v>
      </c>
      <c r="AH26" s="546">
        <f t="shared" ref="AH26:AH34" si="151">(T26*1000)/365</f>
        <v>2.973070017953322E-2</v>
      </c>
      <c r="AI26" s="547">
        <f t="shared" ref="AI26:AI34" si="152">(U26*1000)/365</f>
        <v>2.7821229050279339E-2</v>
      </c>
      <c r="AJ26" s="547">
        <f t="shared" ref="AJ26:AJ34" si="153">(V26*1000)/365</f>
        <v>3.0422535211267612E-2</v>
      </c>
      <c r="AK26" s="547">
        <f t="shared" ref="AK26:AK34" si="154">(W26*1000)/365</f>
        <v>3.8490566037735846E-2</v>
      </c>
      <c r="AL26" s="547">
        <f t="shared" ref="AL26:AL34" si="155">(X26*1000)/365</f>
        <v>4.774193548387097E-2</v>
      </c>
      <c r="AM26" s="547">
        <f t="shared" ref="AM26:AM34" si="156">(Y26*1000)/365</f>
        <v>5.5238095238095239E-2</v>
      </c>
      <c r="AN26" s="548">
        <f t="shared" ref="AN26:AN34" si="157">(Z26*1000)/365</f>
        <v>6.4595744680851067E-2</v>
      </c>
      <c r="AO26" s="547">
        <f t="shared" si="139"/>
        <v>2.9730700179533224E-2</v>
      </c>
      <c r="AP26" s="547">
        <f t="shared" si="140"/>
        <v>2.7821229050279336E-2</v>
      </c>
      <c r="AQ26" s="547">
        <f t="shared" si="141"/>
        <v>3.0422535211267608E-2</v>
      </c>
      <c r="AR26" s="547">
        <f t="shared" si="142"/>
        <v>3.8490566037735846E-2</v>
      </c>
      <c r="AS26" s="547">
        <f t="shared" si="143"/>
        <v>4.7741935483870963E-2</v>
      </c>
      <c r="AT26" s="547">
        <f t="shared" si="144"/>
        <v>5.5238095238095239E-2</v>
      </c>
      <c r="AU26" s="548">
        <f t="shared" si="145"/>
        <v>6.4595744680851067E-2</v>
      </c>
      <c r="AV26" s="554">
        <f t="shared" ref="AV26:AV27" si="158">(T26*1000)/365</f>
        <v>2.973070017953322E-2</v>
      </c>
      <c r="AW26" s="555">
        <f t="shared" si="146"/>
        <v>2.9121882130773481E-2</v>
      </c>
      <c r="AX26" s="556">
        <f t="shared" si="147"/>
        <v>5.1516585360138277E-2</v>
      </c>
      <c r="AY26" s="554">
        <f t="shared" si="148"/>
        <v>2.9730700179533224E-2</v>
      </c>
      <c r="AZ26" s="555">
        <f t="shared" si="149"/>
        <v>2.912188213077347E-2</v>
      </c>
      <c r="BA26" s="556">
        <f t="shared" si="150"/>
        <v>5.1516585360138277E-2</v>
      </c>
      <c r="BB26" s="549">
        <f t="shared" si="135"/>
        <v>36998.79227053139</v>
      </c>
      <c r="BC26" s="549">
        <f t="shared" si="136"/>
        <v>39538.152610441757</v>
      </c>
      <c r="BD26" s="549">
        <f t="shared" si="137"/>
        <v>36157.407407407401</v>
      </c>
      <c r="BE26" s="549">
        <f t="shared" si="123"/>
        <v>28578.431372549021</v>
      </c>
      <c r="BF26" s="549">
        <f t="shared" si="124"/>
        <v>23040.54054054054</v>
      </c>
      <c r="BG26" s="549">
        <f t="shared" si="125"/>
        <v>19913.793103448275</v>
      </c>
      <c r="BH26" s="549">
        <f t="shared" si="126"/>
        <v>17028.985507246376</v>
      </c>
      <c r="BI26" s="551">
        <f t="shared" si="128"/>
        <v>36998.79227053139</v>
      </c>
      <c r="BJ26" s="551">
        <f t="shared" si="129"/>
        <v>39538.152610441757</v>
      </c>
      <c r="BK26" s="551">
        <f t="shared" si="130"/>
        <v>36157.407407407401</v>
      </c>
      <c r="BL26" s="551">
        <f t="shared" si="131"/>
        <v>28578.431372549021</v>
      </c>
      <c r="BM26" s="551">
        <f t="shared" si="132"/>
        <v>23040.540540540544</v>
      </c>
      <c r="BN26" s="551">
        <f t="shared" si="133"/>
        <v>19913.793103448275</v>
      </c>
      <c r="BO26" s="551">
        <f t="shared" si="134"/>
        <v>17028.985507246376</v>
      </c>
    </row>
    <row r="27" spans="1:67">
      <c r="A27" s="888"/>
      <c r="B27" s="559" t="s">
        <v>65</v>
      </c>
      <c r="C27" s="888"/>
      <c r="D27" s="527">
        <v>1</v>
      </c>
      <c r="E27" s="640">
        <v>1</v>
      </c>
      <c r="F27" s="640">
        <v>1</v>
      </c>
      <c r="G27" s="567">
        <f>'Compiled Articles'!J14</f>
        <v>15</v>
      </c>
      <c r="H27" s="235">
        <f>'Compiled Articles'!$J$11</f>
        <v>365</v>
      </c>
      <c r="I27" s="235">
        <v>1</v>
      </c>
      <c r="J27" s="538">
        <f t="shared" si="59"/>
        <v>4.8000000000000001E-5</v>
      </c>
      <c r="K27" s="539">
        <f t="shared" si="36"/>
        <v>1.2E-5</v>
      </c>
      <c r="L27" s="560" t="s">
        <v>1390</v>
      </c>
      <c r="M27" s="541">
        <f>(INDEX('Dermal Calcs'!$B$79:$H$85, MATCH($L27,'Dermal Calcs'!$A$79:$A$85, 0), MATCH(M$3, 'Dermal Calcs'!$B$78:$H$78, 0)))*$K27*$D27</f>
        <v>1.4865350089766612E-5</v>
      </c>
      <c r="N27" s="542">
        <f>(INDEX('Dermal Calcs'!$B$79:$H$85, MATCH($L27,'Dermal Calcs'!$A$79:$A$85, 0), MATCH(N$3, 'Dermal Calcs'!$B$78:$H$78, 0)))*$K27*$E27</f>
        <v>1.3910614525139668E-5</v>
      </c>
      <c r="O27" s="542">
        <f>(INDEX('Dermal Calcs'!$B$79:$H$85, MATCH($L27,'Dermal Calcs'!$A$79:$A$85, 0), MATCH(O$3, 'Dermal Calcs'!$B$78:$H$78, 0)))*$K27*$E27</f>
        <v>1.5211267605633805E-5</v>
      </c>
      <c r="P27" s="543">
        <f>(INDEX('Dermal Calcs'!$B$79:$H$85, MATCH($L27,'Dermal Calcs'!$A$79:$A$85, 0), MATCH(P$3, 'Dermal Calcs'!$B$78:$H$78, 0)))*$K27*$F27</f>
        <v>1.9245283018867924E-5</v>
      </c>
      <c r="Q27" s="543">
        <f>(INDEX('Dermal Calcs'!$B$79:$H$85, MATCH($L27,'Dermal Calcs'!$A$79:$A$85, 0), MATCH(Q$3, 'Dermal Calcs'!$B$78:$H$78, 0)))*$K27*$F27</f>
        <v>2.3870967741935483E-5</v>
      </c>
      <c r="R27" s="543">
        <f>(INDEX('Dermal Calcs'!$B$79:$H$85, MATCH($L27,'Dermal Calcs'!$A$79:$A$85, 0), MATCH(R$3, 'Dermal Calcs'!$B$78:$H$78, 0)))*$K27*$F27</f>
        <v>2.7619047619047619E-5</v>
      </c>
      <c r="S27" s="544">
        <f>(INDEX('Dermal Calcs'!$B$79:$H$85, MATCH($L27,'Dermal Calcs'!$A$79:$A$85, 0), MATCH(S$3, 'Dermal Calcs'!$B$78:$H$78, 0)))*$K27*$F27</f>
        <v>3.2297872340425535E-5</v>
      </c>
      <c r="T27" s="554">
        <f t="shared" si="1"/>
        <v>5.4258527827648131E-3</v>
      </c>
      <c r="U27" s="555">
        <f t="shared" si="2"/>
        <v>5.0773743016759793E-3</v>
      </c>
      <c r="V27" s="555">
        <f t="shared" si="3"/>
        <v>5.5521126760563391E-3</v>
      </c>
      <c r="W27" s="556">
        <f t="shared" si="4"/>
        <v>7.024528301886792E-3</v>
      </c>
      <c r="X27" s="556">
        <f t="shared" si="5"/>
        <v>8.7129032258064509E-3</v>
      </c>
      <c r="Y27" s="556">
        <f t="shared" si="6"/>
        <v>1.0080952380952381E-2</v>
      </c>
      <c r="Z27" s="556">
        <f t="shared" si="7"/>
        <v>1.1788723404255319E-2</v>
      </c>
      <c r="AA27" s="554">
        <f t="shared" si="8"/>
        <v>1.4865350089766612E-5</v>
      </c>
      <c r="AB27" s="555">
        <f t="shared" si="9"/>
        <v>1.3910614525139668E-5</v>
      </c>
      <c r="AC27" s="555">
        <f t="shared" si="10"/>
        <v>1.5211267605633805E-5</v>
      </c>
      <c r="AD27" s="556">
        <f t="shared" si="11"/>
        <v>1.9245283018867924E-5</v>
      </c>
      <c r="AE27" s="556">
        <f t="shared" si="12"/>
        <v>2.3870967741935483E-5</v>
      </c>
      <c r="AF27" s="556">
        <f t="shared" si="13"/>
        <v>2.7619047619047619E-5</v>
      </c>
      <c r="AG27" s="556">
        <f t="shared" si="14"/>
        <v>3.2297872340425535E-5</v>
      </c>
      <c r="AH27" s="546">
        <f t="shared" si="151"/>
        <v>1.486535008976661E-2</v>
      </c>
      <c r="AI27" s="547">
        <f t="shared" si="152"/>
        <v>1.391061452513967E-2</v>
      </c>
      <c r="AJ27" s="547">
        <f t="shared" si="153"/>
        <v>1.5211267605633806E-2</v>
      </c>
      <c r="AK27" s="547">
        <f t="shared" si="154"/>
        <v>1.9245283018867923E-2</v>
      </c>
      <c r="AL27" s="547">
        <f t="shared" si="155"/>
        <v>2.3870967741935485E-2</v>
      </c>
      <c r="AM27" s="547">
        <f t="shared" si="156"/>
        <v>2.7619047619047619E-2</v>
      </c>
      <c r="AN27" s="548">
        <f t="shared" si="157"/>
        <v>3.2297872340425533E-2</v>
      </c>
      <c r="AO27" s="547">
        <f t="shared" si="139"/>
        <v>1.4865350089766612E-2</v>
      </c>
      <c r="AP27" s="547">
        <f t="shared" si="140"/>
        <v>1.3910614525139668E-2</v>
      </c>
      <c r="AQ27" s="547">
        <f t="shared" si="141"/>
        <v>1.5211267605633804E-2</v>
      </c>
      <c r="AR27" s="547">
        <f t="shared" si="142"/>
        <v>1.9245283018867923E-2</v>
      </c>
      <c r="AS27" s="547">
        <f t="shared" si="143"/>
        <v>2.3870967741935482E-2</v>
      </c>
      <c r="AT27" s="547">
        <f t="shared" si="144"/>
        <v>2.7619047619047619E-2</v>
      </c>
      <c r="AU27" s="548">
        <f t="shared" si="145"/>
        <v>3.2297872340425533E-2</v>
      </c>
      <c r="AV27" s="554">
        <f t="shared" si="158"/>
        <v>1.486535008976661E-2</v>
      </c>
      <c r="AW27" s="555">
        <f t="shared" si="146"/>
        <v>1.456094106538674E-2</v>
      </c>
      <c r="AX27" s="556">
        <f t="shared" si="147"/>
        <v>2.5758292680069138E-2</v>
      </c>
      <c r="AY27" s="554">
        <f t="shared" si="148"/>
        <v>1.4865350089766612E-2</v>
      </c>
      <c r="AZ27" s="555">
        <f t="shared" si="149"/>
        <v>1.4560941065386735E-2</v>
      </c>
      <c r="BA27" s="556">
        <f t="shared" si="150"/>
        <v>2.5758292680069138E-2</v>
      </c>
      <c r="BB27" s="549">
        <f t="shared" si="135"/>
        <v>73997.584541062781</v>
      </c>
      <c r="BC27" s="549">
        <f t="shared" si="136"/>
        <v>79076.305220883514</v>
      </c>
      <c r="BD27" s="549">
        <f t="shared" si="137"/>
        <v>72314.814814814803</v>
      </c>
      <c r="BE27" s="549">
        <f t="shared" si="123"/>
        <v>57156.862745098042</v>
      </c>
      <c r="BF27" s="549">
        <f t="shared" si="124"/>
        <v>46081.08108108108</v>
      </c>
      <c r="BG27" s="549">
        <f t="shared" si="125"/>
        <v>39827.586206896551</v>
      </c>
      <c r="BH27" s="549">
        <f t="shared" si="126"/>
        <v>34057.971014492752</v>
      </c>
      <c r="BI27" s="551">
        <f t="shared" si="128"/>
        <v>73997.584541062781</v>
      </c>
      <c r="BJ27" s="551">
        <f t="shared" si="129"/>
        <v>79076.305220883514</v>
      </c>
      <c r="BK27" s="551">
        <f t="shared" si="130"/>
        <v>72314.814814814803</v>
      </c>
      <c r="BL27" s="551">
        <f t="shared" si="131"/>
        <v>57156.862745098042</v>
      </c>
      <c r="BM27" s="551">
        <f t="shared" si="132"/>
        <v>46081.081081081087</v>
      </c>
      <c r="BN27" s="551">
        <f t="shared" si="133"/>
        <v>39827.586206896551</v>
      </c>
      <c r="BO27" s="551">
        <f t="shared" si="134"/>
        <v>34057.971014492752</v>
      </c>
    </row>
    <row r="28" spans="1:67" ht="14.5" customHeight="1">
      <c r="A28" s="886" t="str">
        <f>'Compiled Articles'!K6</f>
        <v>Furniture Components (Textile)</v>
      </c>
      <c r="B28" s="566" t="s">
        <v>69</v>
      </c>
      <c r="C28" s="886" t="s">
        <v>945</v>
      </c>
      <c r="D28" s="527">
        <v>1</v>
      </c>
      <c r="E28" s="640">
        <v>1</v>
      </c>
      <c r="F28" s="640">
        <v>1</v>
      </c>
      <c r="G28" s="567">
        <f>'Compiled Articles'!K12</f>
        <v>480</v>
      </c>
      <c r="H28" s="235">
        <f>'Compiled Articles'!$K$11</f>
        <v>365</v>
      </c>
      <c r="I28" s="235">
        <v>1</v>
      </c>
      <c r="J28" s="538">
        <f t="shared" si="59"/>
        <v>4.8000000000000001E-5</v>
      </c>
      <c r="K28" s="539">
        <f t="shared" si="36"/>
        <v>3.8400000000000001E-4</v>
      </c>
      <c r="L28" s="540" t="s">
        <v>1393</v>
      </c>
      <c r="M28" s="541">
        <f>(INDEX('Dermal Calcs'!$B$79:$H$85, MATCH($L28,'Dermal Calcs'!$A$79:$A$85, 0), MATCH(M$3, 'Dermal Calcs'!$B$78:$H$78, 0)))*$K28*$D28</f>
        <v>4.721034697541493E-2</v>
      </c>
      <c r="N28" s="542">
        <f>(INDEX('Dermal Calcs'!$B$79:$H$85, MATCH($L28,'Dermal Calcs'!$A$79:$A$85, 0), MATCH(N$3, 'Dermal Calcs'!$B$78:$H$78, 0)))*$K28*$E28</f>
        <v>4.9340782122905033E-2</v>
      </c>
      <c r="O28" s="542">
        <f>(INDEX('Dermal Calcs'!$B$79:$H$85, MATCH($L28,'Dermal Calcs'!$A$79:$A$85, 0), MATCH(O$3, 'Dermal Calcs'!$B$78:$H$78, 0)))*$K28*$E28</f>
        <v>5.3746478873239439E-2</v>
      </c>
      <c r="P28" s="543">
        <f>(INDEX('Dermal Calcs'!$B$79:$H$85, MATCH($L28,'Dermal Calcs'!$A$79:$A$85, 0), MATCH(P$3, 'Dermal Calcs'!$B$78:$H$78, 0)))*$K28*$F28</f>
        <v>6.5207547169811322E-2</v>
      </c>
      <c r="Q28" s="543">
        <f>(INDEX('Dermal Calcs'!$B$79:$H$85, MATCH($L28,'Dermal Calcs'!$A$79:$A$85, 0), MATCH(Q$3, 'Dermal Calcs'!$B$78:$H$78, 0)))*$K28*$F28</f>
        <v>7.8451612903225804E-2</v>
      </c>
      <c r="R28" s="543">
        <f>(INDEX('Dermal Calcs'!$B$79:$H$85, MATCH($L28,'Dermal Calcs'!$A$79:$A$85, 0), MATCH(R$3, 'Dermal Calcs'!$B$78:$H$78, 0)))*$K28*$F28</f>
        <v>8.6857142857142869E-2</v>
      </c>
      <c r="S28" s="544">
        <f>(INDEX('Dermal Calcs'!$B$79:$H$85, MATCH($L28,'Dermal Calcs'!$A$79:$A$85, 0), MATCH(S$3, 'Dermal Calcs'!$B$78:$H$78, 0)))*$K28*$F28</f>
        <v>9.7838297872340427E-2</v>
      </c>
      <c r="T28" s="554">
        <f t="shared" si="1"/>
        <v>17.23177664602645</v>
      </c>
      <c r="U28" s="555">
        <f t="shared" si="2"/>
        <v>18.009385474860338</v>
      </c>
      <c r="V28" s="555">
        <f t="shared" si="3"/>
        <v>19.617464788732395</v>
      </c>
      <c r="W28" s="556">
        <f t="shared" si="4"/>
        <v>23.800754716981132</v>
      </c>
      <c r="X28" s="556">
        <f t="shared" si="5"/>
        <v>28.634838709677418</v>
      </c>
      <c r="Y28" s="556">
        <f t="shared" si="6"/>
        <v>31.702857142857148</v>
      </c>
      <c r="Z28" s="556">
        <f t="shared" si="7"/>
        <v>35.710978723404253</v>
      </c>
      <c r="AA28" s="554">
        <f t="shared" si="8"/>
        <v>4.721034697541493E-2</v>
      </c>
      <c r="AB28" s="555">
        <f t="shared" si="9"/>
        <v>4.9340782122905033E-2</v>
      </c>
      <c r="AC28" s="555">
        <f t="shared" si="10"/>
        <v>5.3746478873239439E-2</v>
      </c>
      <c r="AD28" s="556">
        <f t="shared" si="11"/>
        <v>6.5207547169811322E-2</v>
      </c>
      <c r="AE28" s="556">
        <f t="shared" si="12"/>
        <v>7.8451612903225804E-2</v>
      </c>
      <c r="AF28" s="556">
        <f t="shared" si="13"/>
        <v>8.6857142857142869E-2</v>
      </c>
      <c r="AG28" s="556">
        <f t="shared" si="14"/>
        <v>9.7838297872340427E-2</v>
      </c>
      <c r="AH28" s="546">
        <f t="shared" si="151"/>
        <v>47.210346975414929</v>
      </c>
      <c r="AI28" s="547">
        <f t="shared" si="152"/>
        <v>49.340782122905033</v>
      </c>
      <c r="AJ28" s="547">
        <f t="shared" si="153"/>
        <v>53.74647887323944</v>
      </c>
      <c r="AK28" s="547">
        <f t="shared" si="154"/>
        <v>65.20754716981132</v>
      </c>
      <c r="AL28" s="547">
        <f t="shared" si="155"/>
        <v>78.451612903225794</v>
      </c>
      <c r="AM28" s="547">
        <f t="shared" si="156"/>
        <v>86.857142857142875</v>
      </c>
      <c r="AN28" s="548">
        <f t="shared" si="157"/>
        <v>97.838297872340419</v>
      </c>
      <c r="AO28" s="547">
        <f t="shared" si="139"/>
        <v>47.210346975414929</v>
      </c>
      <c r="AP28" s="547">
        <f t="shared" si="140"/>
        <v>49.340782122905033</v>
      </c>
      <c r="AQ28" s="547">
        <f t="shared" si="141"/>
        <v>53.74647887323944</v>
      </c>
      <c r="AR28" s="547">
        <f t="shared" si="142"/>
        <v>65.20754716981132</v>
      </c>
      <c r="AS28" s="547">
        <f t="shared" si="143"/>
        <v>78.451612903225808</v>
      </c>
      <c r="AT28" s="547">
        <f t="shared" si="144"/>
        <v>86.857142857142875</v>
      </c>
      <c r="AU28" s="548">
        <f t="shared" si="145"/>
        <v>97.838297872340434</v>
      </c>
      <c r="AV28" s="554">
        <f t="shared" ref="AV28:AV60" si="159">(T28*1000)/365</f>
        <v>47.210346975414929</v>
      </c>
      <c r="AW28" s="555">
        <f t="shared" ref="AW28:AW60" si="160">(AVERAGE(U28:V28)*1000)/365</f>
        <v>51.543630498072233</v>
      </c>
      <c r="AX28" s="556">
        <f t="shared" ref="AX28:AX60" si="161">(AVERAGE(W28:Z28)*1000)/365</f>
        <v>82.088650200630099</v>
      </c>
      <c r="AY28" s="554">
        <f t="shared" ref="AY28:AY60" si="162">AA28*1000</f>
        <v>47.210346975414929</v>
      </c>
      <c r="AZ28" s="555">
        <f t="shared" ref="AZ28:AZ60" si="163">AVERAGE(AB28:AC28)*1000</f>
        <v>51.54363049807224</v>
      </c>
      <c r="BA28" s="556">
        <f t="shared" ref="BA28:BA60" si="164">AVERAGE(AD28:AG28)*1000</f>
        <v>82.088650200630113</v>
      </c>
      <c r="BB28" s="549">
        <f t="shared" si="135"/>
        <v>23.299977027765365</v>
      </c>
      <c r="BC28" s="549">
        <f t="shared" si="136"/>
        <v>22.293931159420289</v>
      </c>
      <c r="BD28" s="549">
        <f t="shared" si="137"/>
        <v>20.466457023060794</v>
      </c>
      <c r="BE28" s="549">
        <f t="shared" si="123"/>
        <v>16.869212962962962</v>
      </c>
      <c r="BF28" s="549">
        <f t="shared" si="124"/>
        <v>14.02138157894737</v>
      </c>
      <c r="BG28" s="549">
        <f t="shared" si="125"/>
        <v>12.664473684210524</v>
      </c>
      <c r="BH28" s="549">
        <f t="shared" si="126"/>
        <v>11.243041057759221</v>
      </c>
      <c r="BI28" s="551">
        <f t="shared" si="128"/>
        <v>23.299977027765365</v>
      </c>
      <c r="BJ28" s="551">
        <f t="shared" si="129"/>
        <v>22.293931159420289</v>
      </c>
      <c r="BK28" s="551">
        <f t="shared" si="130"/>
        <v>20.466457023060794</v>
      </c>
      <c r="BL28" s="551">
        <f t="shared" si="131"/>
        <v>16.869212962962962</v>
      </c>
      <c r="BM28" s="551">
        <f t="shared" si="132"/>
        <v>14.021381578947368</v>
      </c>
      <c r="BN28" s="551">
        <f t="shared" si="133"/>
        <v>12.664473684210524</v>
      </c>
      <c r="BO28" s="551">
        <f t="shared" si="134"/>
        <v>11.243041057759219</v>
      </c>
    </row>
    <row r="29" spans="1:67">
      <c r="A29" s="887"/>
      <c r="B29" s="461" t="s">
        <v>1065</v>
      </c>
      <c r="C29" s="887"/>
      <c r="D29" s="527">
        <v>1</v>
      </c>
      <c r="E29" s="640">
        <v>1</v>
      </c>
      <c r="F29" s="640">
        <v>1</v>
      </c>
      <c r="G29" s="567">
        <f>'Compiled Articles'!K13</f>
        <v>240</v>
      </c>
      <c r="H29" s="235">
        <f>'Compiled Articles'!$K$11</f>
        <v>365</v>
      </c>
      <c r="I29" s="235">
        <v>1</v>
      </c>
      <c r="J29" s="538">
        <f t="shared" si="59"/>
        <v>4.8000000000000001E-5</v>
      </c>
      <c r="K29" s="539">
        <f t="shared" si="36"/>
        <v>1.92E-4</v>
      </c>
      <c r="L29" s="540" t="s">
        <v>1388</v>
      </c>
      <c r="M29" s="541">
        <f>(INDEX('Dermal Calcs'!$B$79:$H$85, MATCH($L29,'Dermal Calcs'!$A$79:$A$85, 0), MATCH(M$3, 'Dermal Calcs'!$B$78:$H$78, 0)))*$K29*$D29</f>
        <v>3.0246436815300625E-3</v>
      </c>
      <c r="N29" s="542">
        <f>(INDEX('Dermal Calcs'!$B$79:$H$85, MATCH($L29,'Dermal Calcs'!$A$79:$A$85, 0), MATCH(N$3, 'Dermal Calcs'!$B$78:$H$78, 0)))*$K29*$E29</f>
        <v>2.862569832402235E-3</v>
      </c>
      <c r="O29" s="542">
        <f>(INDEX('Dermal Calcs'!$B$79:$H$85, MATCH($L29,'Dermal Calcs'!$A$79:$A$85, 0), MATCH(O$3, 'Dermal Calcs'!$B$78:$H$78, 0)))*$K29*$E29</f>
        <v>3.1436619718309862E-3</v>
      </c>
      <c r="P29" s="543">
        <f>(INDEX('Dermal Calcs'!$B$79:$H$85, MATCH($L29,'Dermal Calcs'!$A$79:$A$85, 0), MATCH(P$3, 'Dermal Calcs'!$B$78:$H$78, 0)))*$K29*$F29</f>
        <v>4.0452830188679248E-3</v>
      </c>
      <c r="Q29" s="543">
        <f>(INDEX('Dermal Calcs'!$B$79:$H$85, MATCH($L29,'Dermal Calcs'!$A$79:$A$85, 0), MATCH(Q$3, 'Dermal Calcs'!$B$78:$H$78, 0)))*$K29*$F29</f>
        <v>5.2645161290322583E-3</v>
      </c>
      <c r="R29" s="543">
        <f>(INDEX('Dermal Calcs'!$B$79:$H$85, MATCH($L29,'Dermal Calcs'!$A$79:$A$85, 0), MATCH(R$3, 'Dermal Calcs'!$B$78:$H$78, 0)))*$K29*$F29</f>
        <v>6.7238095238095234E-3</v>
      </c>
      <c r="S29" s="544">
        <f>(INDEX('Dermal Calcs'!$B$79:$H$85, MATCH($L29,'Dermal Calcs'!$A$79:$A$85, 0), MATCH(S$3, 'Dermal Calcs'!$B$78:$H$78, 0)))*$K29*$F29</f>
        <v>1.5732765957446809E-2</v>
      </c>
      <c r="T29" s="554">
        <f t="shared" si="1"/>
        <v>1.1039949437584728</v>
      </c>
      <c r="U29" s="555">
        <f t="shared" si="2"/>
        <v>1.0448379888268158</v>
      </c>
      <c r="V29" s="555">
        <f t="shared" si="3"/>
        <v>1.1474366197183099</v>
      </c>
      <c r="W29" s="556">
        <f t="shared" si="4"/>
        <v>1.4765283018867925</v>
      </c>
      <c r="X29" s="556">
        <f t="shared" si="5"/>
        <v>1.9215483870967742</v>
      </c>
      <c r="Y29" s="556">
        <f t="shared" si="6"/>
        <v>2.454190476190476</v>
      </c>
      <c r="Z29" s="556">
        <f t="shared" si="7"/>
        <v>5.7424595744680849</v>
      </c>
      <c r="AA29" s="554">
        <f t="shared" si="8"/>
        <v>3.0246436815300625E-3</v>
      </c>
      <c r="AB29" s="555">
        <f t="shared" si="9"/>
        <v>2.862569832402235E-3</v>
      </c>
      <c r="AC29" s="555">
        <f t="shared" si="10"/>
        <v>3.1436619718309862E-3</v>
      </c>
      <c r="AD29" s="556">
        <f t="shared" si="11"/>
        <v>4.0452830188679248E-3</v>
      </c>
      <c r="AE29" s="556">
        <f t="shared" si="12"/>
        <v>5.2645161290322583E-3</v>
      </c>
      <c r="AF29" s="556">
        <f t="shared" si="13"/>
        <v>6.7238095238095234E-3</v>
      </c>
      <c r="AG29" s="556">
        <f t="shared" si="14"/>
        <v>1.5732765957446809E-2</v>
      </c>
      <c r="AH29" s="546">
        <f t="shared" si="151"/>
        <v>3.0246436815300624</v>
      </c>
      <c r="AI29" s="547">
        <f t="shared" si="152"/>
        <v>2.8625698324022348</v>
      </c>
      <c r="AJ29" s="547">
        <f t="shared" si="153"/>
        <v>3.1436619718309862</v>
      </c>
      <c r="AK29" s="547">
        <f t="shared" si="154"/>
        <v>4.0452830188679245</v>
      </c>
      <c r="AL29" s="547">
        <f t="shared" si="155"/>
        <v>5.2645161290322582</v>
      </c>
      <c r="AM29" s="547">
        <f t="shared" si="156"/>
        <v>6.7238095238095239</v>
      </c>
      <c r="AN29" s="548">
        <f t="shared" si="157"/>
        <v>15.732765957446807</v>
      </c>
      <c r="AO29" s="547">
        <f t="shared" si="139"/>
        <v>3.0246436815300624</v>
      </c>
      <c r="AP29" s="547">
        <f t="shared" si="140"/>
        <v>2.8625698324022348</v>
      </c>
      <c r="AQ29" s="547">
        <f t="shared" si="141"/>
        <v>3.1436619718309862</v>
      </c>
      <c r="AR29" s="547">
        <f t="shared" si="142"/>
        <v>4.0452830188679245</v>
      </c>
      <c r="AS29" s="547">
        <f t="shared" si="143"/>
        <v>5.2645161290322582</v>
      </c>
      <c r="AT29" s="547">
        <f t="shared" si="144"/>
        <v>6.723809523809523</v>
      </c>
      <c r="AU29" s="548">
        <f t="shared" si="145"/>
        <v>15.732765957446809</v>
      </c>
      <c r="AV29" s="554">
        <f t="shared" si="159"/>
        <v>3.0246436815300624</v>
      </c>
      <c r="AW29" s="555">
        <f t="shared" si="160"/>
        <v>3.0031159021166109</v>
      </c>
      <c r="AX29" s="556">
        <f t="shared" si="161"/>
        <v>7.9415936572891281</v>
      </c>
      <c r="AY29" s="554">
        <f t="shared" si="162"/>
        <v>3.0246436815300624</v>
      </c>
      <c r="AZ29" s="555">
        <f t="shared" si="163"/>
        <v>3.0031159021166105</v>
      </c>
      <c r="BA29" s="556">
        <f t="shared" si="164"/>
        <v>7.9415936572891299</v>
      </c>
      <c r="BB29" s="549">
        <f t="shared" si="135"/>
        <v>363.67920185677809</v>
      </c>
      <c r="BC29" s="549">
        <f t="shared" si="136"/>
        <v>384.27010148321619</v>
      </c>
      <c r="BD29" s="549">
        <f t="shared" si="137"/>
        <v>349.91039426523292</v>
      </c>
      <c r="BE29" s="549">
        <f t="shared" si="123"/>
        <v>271.92164179104475</v>
      </c>
      <c r="BF29" s="549">
        <f t="shared" si="124"/>
        <v>208.94607843137254</v>
      </c>
      <c r="BG29" s="549">
        <f t="shared" si="125"/>
        <v>163.59773371104816</v>
      </c>
      <c r="BH29" s="549">
        <f t="shared" si="126"/>
        <v>69.917775613978151</v>
      </c>
      <c r="BI29" s="551">
        <f t="shared" si="128"/>
        <v>363.67920185677809</v>
      </c>
      <c r="BJ29" s="551">
        <f t="shared" si="129"/>
        <v>384.27010148321619</v>
      </c>
      <c r="BK29" s="551">
        <f t="shared" si="130"/>
        <v>349.91039426523292</v>
      </c>
      <c r="BL29" s="551">
        <f t="shared" si="131"/>
        <v>271.92164179104475</v>
      </c>
      <c r="BM29" s="551">
        <f t="shared" si="132"/>
        <v>208.94607843137254</v>
      </c>
      <c r="BN29" s="551">
        <f t="shared" si="133"/>
        <v>163.59773371104816</v>
      </c>
      <c r="BO29" s="551">
        <f t="shared" si="134"/>
        <v>69.917775613978151</v>
      </c>
    </row>
    <row r="30" spans="1:67">
      <c r="A30" s="888"/>
      <c r="B30" s="559" t="s">
        <v>65</v>
      </c>
      <c r="C30" s="888"/>
      <c r="D30" s="527">
        <v>1</v>
      </c>
      <c r="E30" s="640">
        <v>1</v>
      </c>
      <c r="F30" s="640">
        <v>1</v>
      </c>
      <c r="G30" s="567">
        <f>'Compiled Articles'!K14</f>
        <v>120</v>
      </c>
      <c r="H30" s="235">
        <f>'Compiled Articles'!$K$11</f>
        <v>365</v>
      </c>
      <c r="I30" s="235">
        <v>1</v>
      </c>
      <c r="J30" s="538">
        <f t="shared" si="59"/>
        <v>4.8000000000000001E-5</v>
      </c>
      <c r="K30" s="539">
        <f t="shared" si="36"/>
        <v>9.6000000000000002E-5</v>
      </c>
      <c r="L30" s="540" t="s">
        <v>1386</v>
      </c>
      <c r="M30" s="541">
        <f>(INDEX('Dermal Calcs'!$B$79:$H$85, MATCH($L30,'Dermal Calcs'!$A$79:$A$85, 0), MATCH(M$3, 'Dermal Calcs'!$B$78:$H$78, 0)))*$K30*$D30</f>
        <v>5.9461400359066448E-4</v>
      </c>
      <c r="N30" s="542">
        <f>(INDEX('Dermal Calcs'!$B$79:$H$85, MATCH($L30,'Dermal Calcs'!$A$79:$A$85, 0), MATCH(N$3, 'Dermal Calcs'!$B$78:$H$78, 0)))*$K30*$E30</f>
        <v>5.5642458100558666E-4</v>
      </c>
      <c r="O30" s="542">
        <f>(INDEX('Dermal Calcs'!$B$79:$H$85, MATCH($L30,'Dermal Calcs'!$A$79:$A$85, 0), MATCH(O$3, 'Dermal Calcs'!$B$78:$H$78, 0)))*$K30*$E30</f>
        <v>6.0845070422535215E-4</v>
      </c>
      <c r="P30" s="543">
        <f>(INDEX('Dermal Calcs'!$B$79:$H$85, MATCH($L30,'Dermal Calcs'!$A$79:$A$85, 0), MATCH(P$3, 'Dermal Calcs'!$B$78:$H$78, 0)))*$K30*$F30</f>
        <v>7.6981132075471697E-4</v>
      </c>
      <c r="Q30" s="543">
        <f>(INDEX('Dermal Calcs'!$B$79:$H$85, MATCH($L30,'Dermal Calcs'!$A$79:$A$85, 0), MATCH(Q$3, 'Dermal Calcs'!$B$78:$H$78, 0)))*$K30*$F30</f>
        <v>9.5483870967741932E-4</v>
      </c>
      <c r="R30" s="543">
        <f>(INDEX('Dermal Calcs'!$B$79:$H$85, MATCH($L30,'Dermal Calcs'!$A$79:$A$85, 0), MATCH(R$3, 'Dermal Calcs'!$B$78:$H$78, 0)))*$K30*$F30</f>
        <v>1.1047619047619046E-3</v>
      </c>
      <c r="S30" s="544">
        <f>(INDEX('Dermal Calcs'!$B$79:$H$85, MATCH($L30,'Dermal Calcs'!$A$79:$A$85, 0), MATCH(S$3, 'Dermal Calcs'!$B$78:$H$78, 0)))*$K30*$F30</f>
        <v>1.2919148936170214E-3</v>
      </c>
      <c r="T30" s="554">
        <f t="shared" si="1"/>
        <v>0.21703411131059253</v>
      </c>
      <c r="U30" s="555">
        <f t="shared" si="2"/>
        <v>0.20309497206703914</v>
      </c>
      <c r="V30" s="555">
        <f t="shared" si="3"/>
        <v>0.22208450704225355</v>
      </c>
      <c r="W30" s="556">
        <f t="shared" si="4"/>
        <v>0.28098113207547171</v>
      </c>
      <c r="X30" s="556">
        <f t="shared" si="5"/>
        <v>0.34851612903225804</v>
      </c>
      <c r="Y30" s="556">
        <f t="shared" si="6"/>
        <v>0.40323809523809517</v>
      </c>
      <c r="Z30" s="556">
        <f t="shared" si="7"/>
        <v>0.47154893617021282</v>
      </c>
      <c r="AA30" s="554">
        <f t="shared" si="8"/>
        <v>5.9461400359066448E-4</v>
      </c>
      <c r="AB30" s="555">
        <f t="shared" si="9"/>
        <v>5.5642458100558666E-4</v>
      </c>
      <c r="AC30" s="555">
        <f t="shared" si="10"/>
        <v>6.0845070422535215E-4</v>
      </c>
      <c r="AD30" s="556">
        <f t="shared" si="11"/>
        <v>7.6981132075471697E-4</v>
      </c>
      <c r="AE30" s="556">
        <f t="shared" si="12"/>
        <v>9.5483870967741932E-4</v>
      </c>
      <c r="AF30" s="556">
        <f t="shared" si="13"/>
        <v>1.1047619047619046E-3</v>
      </c>
      <c r="AG30" s="556">
        <f t="shared" si="14"/>
        <v>1.2919148936170214E-3</v>
      </c>
      <c r="AH30" s="546">
        <f t="shared" si="151"/>
        <v>0.59461400359066441</v>
      </c>
      <c r="AI30" s="547">
        <f t="shared" si="152"/>
        <v>0.55642458100558667</v>
      </c>
      <c r="AJ30" s="547">
        <f t="shared" si="153"/>
        <v>0.60845070422535219</v>
      </c>
      <c r="AK30" s="547">
        <f t="shared" si="154"/>
        <v>0.76981132075471692</v>
      </c>
      <c r="AL30" s="547">
        <f t="shared" si="155"/>
        <v>0.95483870967741935</v>
      </c>
      <c r="AM30" s="547">
        <f t="shared" si="156"/>
        <v>1.1047619047619046</v>
      </c>
      <c r="AN30" s="548">
        <f t="shared" si="157"/>
        <v>1.2919148936170215</v>
      </c>
      <c r="AO30" s="547">
        <f t="shared" si="139"/>
        <v>0.59461400359066452</v>
      </c>
      <c r="AP30" s="547">
        <f t="shared" si="140"/>
        <v>0.55642458100558667</v>
      </c>
      <c r="AQ30" s="547">
        <f t="shared" si="141"/>
        <v>0.60845070422535219</v>
      </c>
      <c r="AR30" s="547">
        <f t="shared" si="142"/>
        <v>0.76981132075471692</v>
      </c>
      <c r="AS30" s="547">
        <f t="shared" si="143"/>
        <v>0.95483870967741935</v>
      </c>
      <c r="AT30" s="547">
        <f t="shared" si="144"/>
        <v>1.1047619047619046</v>
      </c>
      <c r="AU30" s="548">
        <f t="shared" si="145"/>
        <v>1.2919148936170215</v>
      </c>
      <c r="AV30" s="554">
        <f t="shared" si="159"/>
        <v>0.59461400359066441</v>
      </c>
      <c r="AW30" s="555">
        <f t="shared" si="160"/>
        <v>0.58243764261546938</v>
      </c>
      <c r="AX30" s="556">
        <f t="shared" si="161"/>
        <v>1.0303317072027656</v>
      </c>
      <c r="AY30" s="554">
        <f t="shared" si="162"/>
        <v>0.59461400359066452</v>
      </c>
      <c r="AZ30" s="555">
        <f t="shared" si="163"/>
        <v>0.58243764261546938</v>
      </c>
      <c r="BA30" s="556">
        <f t="shared" si="164"/>
        <v>1.0303317072027656</v>
      </c>
      <c r="BB30" s="549">
        <f t="shared" si="135"/>
        <v>1849.9396135265697</v>
      </c>
      <c r="BC30" s="549">
        <f t="shared" si="136"/>
        <v>1976.9076305220881</v>
      </c>
      <c r="BD30" s="549">
        <f t="shared" si="137"/>
        <v>1807.8703703703702</v>
      </c>
      <c r="BE30" s="549">
        <f t="shared" si="123"/>
        <v>1428.9215686274511</v>
      </c>
      <c r="BF30" s="549">
        <f t="shared" si="124"/>
        <v>1152.0270270270271</v>
      </c>
      <c r="BG30" s="549">
        <f t="shared" si="125"/>
        <v>995.68965517241395</v>
      </c>
      <c r="BH30" s="549">
        <f t="shared" si="126"/>
        <v>851.44927536231864</v>
      </c>
      <c r="BI30" s="551">
        <f t="shared" si="128"/>
        <v>1849.9396135265692</v>
      </c>
      <c r="BJ30" s="551">
        <f t="shared" si="129"/>
        <v>1976.9076305220881</v>
      </c>
      <c r="BK30" s="551">
        <f t="shared" si="130"/>
        <v>1807.8703703703702</v>
      </c>
      <c r="BL30" s="551">
        <f t="shared" si="131"/>
        <v>1428.9215686274511</v>
      </c>
      <c r="BM30" s="551">
        <f t="shared" si="132"/>
        <v>1152.0270270270271</v>
      </c>
      <c r="BN30" s="551">
        <f t="shared" si="133"/>
        <v>995.68965517241395</v>
      </c>
      <c r="BO30" s="551">
        <f t="shared" si="134"/>
        <v>851.44927536231864</v>
      </c>
    </row>
    <row r="31" spans="1:67" ht="14.5" customHeight="1">
      <c r="A31" s="886" t="str">
        <f>'Compiled Articles'!L6</f>
        <v>Insulated Cords</v>
      </c>
      <c r="B31" s="566" t="s">
        <v>69</v>
      </c>
      <c r="C31" s="886" t="s">
        <v>490</v>
      </c>
      <c r="D31" s="527">
        <v>1</v>
      </c>
      <c r="E31" s="640">
        <v>1</v>
      </c>
      <c r="F31" s="640">
        <v>1</v>
      </c>
      <c r="G31" s="567">
        <f>'Compiled Articles'!L12</f>
        <v>60</v>
      </c>
      <c r="H31" s="235">
        <f>'Compiled Articles'!$L$11</f>
        <v>365</v>
      </c>
      <c r="I31" s="235">
        <v>1</v>
      </c>
      <c r="J31" s="538">
        <f t="shared" si="59"/>
        <v>4.8000000000000001E-5</v>
      </c>
      <c r="K31" s="539">
        <f t="shared" si="36"/>
        <v>4.8000000000000001E-5</v>
      </c>
      <c r="L31" s="540" t="s">
        <v>1390</v>
      </c>
      <c r="M31" s="541">
        <f>(INDEX('Dermal Calcs'!$B$79:$H$85, MATCH($L31,'Dermal Calcs'!$A$79:$A$85, 0), MATCH(M$3, 'Dermal Calcs'!$B$78:$H$78, 0)))*$K31*$D31</f>
        <v>5.9461400359066448E-5</v>
      </c>
      <c r="N31" s="542">
        <f>(INDEX('Dermal Calcs'!$B$79:$H$85, MATCH($L31,'Dermal Calcs'!$A$79:$A$85, 0), MATCH(N$3, 'Dermal Calcs'!$B$78:$H$78, 0)))*$K31*$E31</f>
        <v>5.5642458100558674E-5</v>
      </c>
      <c r="O31" s="542">
        <f>(INDEX('Dermal Calcs'!$B$79:$H$85, MATCH($L31,'Dermal Calcs'!$A$79:$A$85, 0), MATCH(O$3, 'Dermal Calcs'!$B$78:$H$78, 0)))*$K31*$E31</f>
        <v>6.0845070422535219E-5</v>
      </c>
      <c r="P31" s="543">
        <f>(INDEX('Dermal Calcs'!$B$79:$H$85, MATCH($L31,'Dermal Calcs'!$A$79:$A$85, 0), MATCH(P$3, 'Dermal Calcs'!$B$78:$H$78, 0)))*$K31*$F31</f>
        <v>7.6981132075471694E-5</v>
      </c>
      <c r="Q31" s="543">
        <f>(INDEX('Dermal Calcs'!$B$79:$H$85, MATCH($L31,'Dermal Calcs'!$A$79:$A$85, 0), MATCH(Q$3, 'Dermal Calcs'!$B$78:$H$78, 0)))*$K31*$F31</f>
        <v>9.5483870967741932E-5</v>
      </c>
      <c r="R31" s="543">
        <f>(INDEX('Dermal Calcs'!$B$79:$H$85, MATCH($L31,'Dermal Calcs'!$A$79:$A$85, 0), MATCH(R$3, 'Dermal Calcs'!$B$78:$H$78, 0)))*$K31*$F31</f>
        <v>1.1047619047619047E-4</v>
      </c>
      <c r="S31" s="544">
        <f>(INDEX('Dermal Calcs'!$B$79:$H$85, MATCH($L31,'Dermal Calcs'!$A$79:$A$85, 0), MATCH(S$3, 'Dermal Calcs'!$B$78:$H$78, 0)))*$K31*$F31</f>
        <v>1.2919148936170214E-4</v>
      </c>
      <c r="T31" s="541">
        <f t="shared" si="1"/>
        <v>2.1703411131059253E-2</v>
      </c>
      <c r="U31" s="542">
        <f t="shared" si="2"/>
        <v>2.0309497206703917E-2</v>
      </c>
      <c r="V31" s="542">
        <f t="shared" si="3"/>
        <v>2.2208450704225356E-2</v>
      </c>
      <c r="W31" s="545">
        <f t="shared" si="4"/>
        <v>2.8098113207547168E-2</v>
      </c>
      <c r="X31" s="545">
        <f t="shared" si="5"/>
        <v>3.4851612903225804E-2</v>
      </c>
      <c r="Y31" s="545">
        <f t="shared" si="6"/>
        <v>4.0323809523809526E-2</v>
      </c>
      <c r="Z31" s="545">
        <f t="shared" si="7"/>
        <v>4.7154893617021278E-2</v>
      </c>
      <c r="AA31" s="541">
        <f t="shared" si="8"/>
        <v>5.9461400359066448E-5</v>
      </c>
      <c r="AB31" s="542">
        <f t="shared" si="9"/>
        <v>5.5642458100558674E-5</v>
      </c>
      <c r="AC31" s="542">
        <f t="shared" si="10"/>
        <v>6.0845070422535219E-5</v>
      </c>
      <c r="AD31" s="545">
        <f t="shared" si="11"/>
        <v>7.6981132075471694E-5</v>
      </c>
      <c r="AE31" s="545">
        <f t="shared" si="12"/>
        <v>9.5483870967741932E-5</v>
      </c>
      <c r="AF31" s="545">
        <f t="shared" si="13"/>
        <v>1.1047619047619047E-4</v>
      </c>
      <c r="AG31" s="545">
        <f t="shared" si="14"/>
        <v>1.2919148936170214E-4</v>
      </c>
      <c r="AH31" s="546">
        <f t="shared" si="151"/>
        <v>5.9461400359066441E-2</v>
      </c>
      <c r="AI31" s="547">
        <f t="shared" si="152"/>
        <v>5.5642458100558678E-2</v>
      </c>
      <c r="AJ31" s="547">
        <f t="shared" si="153"/>
        <v>6.0845070422535223E-2</v>
      </c>
      <c r="AK31" s="547">
        <f t="shared" si="154"/>
        <v>7.6981132075471692E-2</v>
      </c>
      <c r="AL31" s="547">
        <f t="shared" si="155"/>
        <v>9.5483870967741941E-2</v>
      </c>
      <c r="AM31" s="547">
        <f t="shared" si="156"/>
        <v>0.11047619047619048</v>
      </c>
      <c r="AN31" s="548">
        <f t="shared" si="157"/>
        <v>0.12919148936170213</v>
      </c>
      <c r="AO31" s="547">
        <f t="shared" si="139"/>
        <v>5.9461400359066448E-2</v>
      </c>
      <c r="AP31" s="547">
        <f t="shared" si="140"/>
        <v>5.5642458100558671E-2</v>
      </c>
      <c r="AQ31" s="547">
        <f t="shared" si="141"/>
        <v>6.0845070422535216E-2</v>
      </c>
      <c r="AR31" s="547">
        <f t="shared" si="142"/>
        <v>7.6981132075471692E-2</v>
      </c>
      <c r="AS31" s="547">
        <f t="shared" si="143"/>
        <v>9.5483870967741927E-2</v>
      </c>
      <c r="AT31" s="547">
        <f t="shared" si="144"/>
        <v>0.11047619047619048</v>
      </c>
      <c r="AU31" s="548">
        <f t="shared" si="145"/>
        <v>0.12919148936170213</v>
      </c>
      <c r="AV31" s="541">
        <f t="shared" si="159"/>
        <v>5.9461400359066441E-2</v>
      </c>
      <c r="AW31" s="542">
        <f t="shared" si="160"/>
        <v>5.8243764261546961E-2</v>
      </c>
      <c r="AX31" s="545">
        <f t="shared" si="161"/>
        <v>0.10303317072027655</v>
      </c>
      <c r="AY31" s="541">
        <f t="shared" si="162"/>
        <v>5.9461400359066448E-2</v>
      </c>
      <c r="AZ31" s="542">
        <f t="shared" si="163"/>
        <v>5.824376426154694E-2</v>
      </c>
      <c r="BA31" s="545">
        <f t="shared" si="164"/>
        <v>0.10303317072027655</v>
      </c>
      <c r="BB31" s="549">
        <f t="shared" si="135"/>
        <v>18499.396135265695</v>
      </c>
      <c r="BC31" s="549">
        <f t="shared" si="136"/>
        <v>19769.076305220879</v>
      </c>
      <c r="BD31" s="549">
        <f t="shared" si="137"/>
        <v>18078.703703703701</v>
      </c>
      <c r="BE31" s="549">
        <f t="shared" si="123"/>
        <v>14289.215686274511</v>
      </c>
      <c r="BF31" s="549">
        <f t="shared" si="124"/>
        <v>11520.27027027027</v>
      </c>
      <c r="BG31" s="549">
        <f t="shared" si="125"/>
        <v>9956.8965517241377</v>
      </c>
      <c r="BH31" s="549">
        <f t="shared" si="126"/>
        <v>8514.492753623188</v>
      </c>
      <c r="BI31" s="551">
        <f t="shared" si="128"/>
        <v>18499.396135265695</v>
      </c>
      <c r="BJ31" s="551">
        <f t="shared" si="129"/>
        <v>19769.076305220879</v>
      </c>
      <c r="BK31" s="551">
        <f t="shared" si="130"/>
        <v>18078.703703703701</v>
      </c>
      <c r="BL31" s="551">
        <f t="shared" si="131"/>
        <v>14289.215686274511</v>
      </c>
      <c r="BM31" s="551">
        <f t="shared" si="132"/>
        <v>11520.270270270272</v>
      </c>
      <c r="BN31" s="551">
        <f t="shared" si="133"/>
        <v>9956.8965517241377</v>
      </c>
      <c r="BO31" s="551">
        <f t="shared" si="134"/>
        <v>8514.492753623188</v>
      </c>
    </row>
    <row r="32" spans="1:67">
      <c r="A32" s="887"/>
      <c r="B32" s="461" t="s">
        <v>1065</v>
      </c>
      <c r="C32" s="887"/>
      <c r="D32" s="527">
        <v>1</v>
      </c>
      <c r="E32" s="640">
        <v>1</v>
      </c>
      <c r="F32" s="640">
        <v>1</v>
      </c>
      <c r="G32" s="567">
        <f>'Compiled Articles'!L13</f>
        <v>30</v>
      </c>
      <c r="H32" s="235">
        <f>'Compiled Articles'!$L$11</f>
        <v>365</v>
      </c>
      <c r="I32" s="235">
        <v>1</v>
      </c>
      <c r="J32" s="538">
        <f t="shared" si="59"/>
        <v>4.8000000000000001E-5</v>
      </c>
      <c r="K32" s="539">
        <f t="shared" si="36"/>
        <v>2.4000000000000001E-5</v>
      </c>
      <c r="L32" s="553" t="s">
        <v>1390</v>
      </c>
      <c r="M32" s="541">
        <f>(INDEX('Dermal Calcs'!$B$79:$H$85, MATCH($L32,'Dermal Calcs'!$A$79:$A$85, 0), MATCH(M$3, 'Dermal Calcs'!$B$78:$H$78, 0)))*$K32*$D32</f>
        <v>2.9730700179533224E-5</v>
      </c>
      <c r="N32" s="542">
        <f>(INDEX('Dermal Calcs'!$B$79:$H$85, MATCH($L32,'Dermal Calcs'!$A$79:$A$85, 0), MATCH(N$3, 'Dermal Calcs'!$B$78:$H$78, 0)))*$K32*$E32</f>
        <v>2.7821229050279337E-5</v>
      </c>
      <c r="O32" s="542">
        <f>(INDEX('Dermal Calcs'!$B$79:$H$85, MATCH($L32,'Dermal Calcs'!$A$79:$A$85, 0), MATCH(O$3, 'Dermal Calcs'!$B$78:$H$78, 0)))*$K32*$E32</f>
        <v>3.042253521126761E-5</v>
      </c>
      <c r="P32" s="543">
        <f>(INDEX('Dermal Calcs'!$B$79:$H$85, MATCH($L32,'Dermal Calcs'!$A$79:$A$85, 0), MATCH(P$3, 'Dermal Calcs'!$B$78:$H$78, 0)))*$K32*$F32</f>
        <v>3.8490566037735847E-5</v>
      </c>
      <c r="Q32" s="543">
        <f>(INDEX('Dermal Calcs'!$B$79:$H$85, MATCH($L32,'Dermal Calcs'!$A$79:$A$85, 0), MATCH(Q$3, 'Dermal Calcs'!$B$78:$H$78, 0)))*$K32*$F32</f>
        <v>4.7741935483870966E-5</v>
      </c>
      <c r="R32" s="543">
        <f>(INDEX('Dermal Calcs'!$B$79:$H$85, MATCH($L32,'Dermal Calcs'!$A$79:$A$85, 0), MATCH(R$3, 'Dermal Calcs'!$B$78:$H$78, 0)))*$K32*$F32</f>
        <v>5.5238095238095237E-5</v>
      </c>
      <c r="S32" s="544">
        <f>(INDEX('Dermal Calcs'!$B$79:$H$85, MATCH($L32,'Dermal Calcs'!$A$79:$A$85, 0), MATCH(S$3, 'Dermal Calcs'!$B$78:$H$78, 0)))*$K32*$F32</f>
        <v>6.4595744680851069E-5</v>
      </c>
      <c r="T32" s="554">
        <f t="shared" si="1"/>
        <v>1.0851705565529626E-2</v>
      </c>
      <c r="U32" s="555">
        <f t="shared" si="2"/>
        <v>1.0154748603351959E-2</v>
      </c>
      <c r="V32" s="555">
        <f t="shared" si="3"/>
        <v>1.1104225352112678E-2</v>
      </c>
      <c r="W32" s="556">
        <f t="shared" si="4"/>
        <v>1.4049056603773584E-2</v>
      </c>
      <c r="X32" s="556">
        <f t="shared" si="5"/>
        <v>1.7425806451612902E-2</v>
      </c>
      <c r="Y32" s="556">
        <f t="shared" si="6"/>
        <v>2.0161904761904763E-2</v>
      </c>
      <c r="Z32" s="556">
        <f t="shared" si="7"/>
        <v>2.3577446808510639E-2</v>
      </c>
      <c r="AA32" s="554">
        <f t="shared" si="8"/>
        <v>2.9730700179533224E-5</v>
      </c>
      <c r="AB32" s="555">
        <f t="shared" si="9"/>
        <v>2.7821229050279337E-5</v>
      </c>
      <c r="AC32" s="555">
        <f t="shared" si="10"/>
        <v>3.042253521126761E-5</v>
      </c>
      <c r="AD32" s="556">
        <f t="shared" si="11"/>
        <v>3.8490566037735847E-5</v>
      </c>
      <c r="AE32" s="556">
        <f t="shared" si="12"/>
        <v>4.7741935483870966E-5</v>
      </c>
      <c r="AF32" s="556">
        <f t="shared" si="13"/>
        <v>5.5238095238095237E-5</v>
      </c>
      <c r="AG32" s="556">
        <f t="shared" si="14"/>
        <v>6.4595744680851069E-5</v>
      </c>
      <c r="AH32" s="546">
        <f t="shared" si="151"/>
        <v>2.973070017953322E-2</v>
      </c>
      <c r="AI32" s="547">
        <f t="shared" si="152"/>
        <v>2.7821229050279339E-2</v>
      </c>
      <c r="AJ32" s="547">
        <f t="shared" si="153"/>
        <v>3.0422535211267612E-2</v>
      </c>
      <c r="AK32" s="547">
        <f t="shared" si="154"/>
        <v>3.8490566037735846E-2</v>
      </c>
      <c r="AL32" s="547">
        <f t="shared" si="155"/>
        <v>4.774193548387097E-2</v>
      </c>
      <c r="AM32" s="547">
        <f t="shared" si="156"/>
        <v>5.5238095238095239E-2</v>
      </c>
      <c r="AN32" s="548">
        <f t="shared" si="157"/>
        <v>6.4595744680851067E-2</v>
      </c>
      <c r="AO32" s="547">
        <f t="shared" si="139"/>
        <v>2.9730700179533224E-2</v>
      </c>
      <c r="AP32" s="547">
        <f t="shared" si="140"/>
        <v>2.7821229050279336E-2</v>
      </c>
      <c r="AQ32" s="547">
        <f t="shared" si="141"/>
        <v>3.0422535211267608E-2</v>
      </c>
      <c r="AR32" s="547">
        <f t="shared" si="142"/>
        <v>3.8490566037735846E-2</v>
      </c>
      <c r="AS32" s="547">
        <f t="shared" si="143"/>
        <v>4.7741935483870963E-2</v>
      </c>
      <c r="AT32" s="547">
        <f t="shared" si="144"/>
        <v>5.5238095238095239E-2</v>
      </c>
      <c r="AU32" s="548">
        <f t="shared" si="145"/>
        <v>6.4595744680851067E-2</v>
      </c>
      <c r="AV32" s="554">
        <f t="shared" si="159"/>
        <v>2.973070017953322E-2</v>
      </c>
      <c r="AW32" s="555">
        <f t="shared" si="160"/>
        <v>2.9121882130773481E-2</v>
      </c>
      <c r="AX32" s="556">
        <f t="shared" si="161"/>
        <v>5.1516585360138277E-2</v>
      </c>
      <c r="AY32" s="554">
        <f t="shared" si="162"/>
        <v>2.9730700179533224E-2</v>
      </c>
      <c r="AZ32" s="555">
        <f t="shared" si="163"/>
        <v>2.912188213077347E-2</v>
      </c>
      <c r="BA32" s="556">
        <f t="shared" si="164"/>
        <v>5.1516585360138277E-2</v>
      </c>
      <c r="BB32" s="549">
        <f t="shared" si="135"/>
        <v>36998.79227053139</v>
      </c>
      <c r="BC32" s="549">
        <f t="shared" si="136"/>
        <v>39538.152610441757</v>
      </c>
      <c r="BD32" s="549">
        <f t="shared" si="137"/>
        <v>36157.407407407401</v>
      </c>
      <c r="BE32" s="549">
        <f t="shared" si="123"/>
        <v>28578.431372549021</v>
      </c>
      <c r="BF32" s="549">
        <f t="shared" si="124"/>
        <v>23040.54054054054</v>
      </c>
      <c r="BG32" s="549">
        <f t="shared" si="125"/>
        <v>19913.793103448275</v>
      </c>
      <c r="BH32" s="549">
        <f t="shared" si="126"/>
        <v>17028.985507246376</v>
      </c>
      <c r="BI32" s="551">
        <f t="shared" si="128"/>
        <v>36998.79227053139</v>
      </c>
      <c r="BJ32" s="551">
        <f t="shared" si="129"/>
        <v>39538.152610441757</v>
      </c>
      <c r="BK32" s="551">
        <f t="shared" si="130"/>
        <v>36157.407407407401</v>
      </c>
      <c r="BL32" s="551">
        <f t="shared" si="131"/>
        <v>28578.431372549021</v>
      </c>
      <c r="BM32" s="551">
        <f t="shared" si="132"/>
        <v>23040.540540540544</v>
      </c>
      <c r="BN32" s="551">
        <f t="shared" si="133"/>
        <v>19913.793103448275</v>
      </c>
      <c r="BO32" s="551">
        <f t="shared" si="134"/>
        <v>17028.985507246376</v>
      </c>
    </row>
    <row r="33" spans="1:67">
      <c r="A33" s="888"/>
      <c r="B33" s="559" t="s">
        <v>65</v>
      </c>
      <c r="C33" s="888"/>
      <c r="D33" s="527">
        <v>1</v>
      </c>
      <c r="E33" s="640">
        <v>1</v>
      </c>
      <c r="F33" s="640">
        <v>1</v>
      </c>
      <c r="G33" s="567">
        <f>'Compiled Articles'!L14</f>
        <v>15</v>
      </c>
      <c r="H33" s="235">
        <f>'Compiled Articles'!$L$11</f>
        <v>365</v>
      </c>
      <c r="I33" s="235">
        <v>1</v>
      </c>
      <c r="J33" s="538">
        <f t="shared" si="59"/>
        <v>4.8000000000000001E-5</v>
      </c>
      <c r="K33" s="539">
        <f t="shared" si="36"/>
        <v>1.2E-5</v>
      </c>
      <c r="L33" s="560" t="s">
        <v>1390</v>
      </c>
      <c r="M33" s="541">
        <f>(INDEX('Dermal Calcs'!$B$79:$H$85, MATCH($L33,'Dermal Calcs'!$A$79:$A$85, 0), MATCH(M$3, 'Dermal Calcs'!$B$78:$H$78, 0)))*$K33*$D33</f>
        <v>1.4865350089766612E-5</v>
      </c>
      <c r="N33" s="542">
        <f>(INDEX('Dermal Calcs'!$B$79:$H$85, MATCH($L33,'Dermal Calcs'!$A$79:$A$85, 0), MATCH(N$3, 'Dermal Calcs'!$B$78:$H$78, 0)))*$K33*$E33</f>
        <v>1.3910614525139668E-5</v>
      </c>
      <c r="O33" s="542">
        <f>(INDEX('Dermal Calcs'!$B$79:$H$85, MATCH($L33,'Dermal Calcs'!$A$79:$A$85, 0), MATCH(O$3, 'Dermal Calcs'!$B$78:$H$78, 0)))*$K33*$E33</f>
        <v>1.5211267605633805E-5</v>
      </c>
      <c r="P33" s="543">
        <f>(INDEX('Dermal Calcs'!$B$79:$H$85, MATCH($L33,'Dermal Calcs'!$A$79:$A$85, 0), MATCH(P$3, 'Dermal Calcs'!$B$78:$H$78, 0)))*$K33*$F33</f>
        <v>1.9245283018867924E-5</v>
      </c>
      <c r="Q33" s="543">
        <f>(INDEX('Dermal Calcs'!$B$79:$H$85, MATCH($L33,'Dermal Calcs'!$A$79:$A$85, 0), MATCH(Q$3, 'Dermal Calcs'!$B$78:$H$78, 0)))*$K33*$F33</f>
        <v>2.3870967741935483E-5</v>
      </c>
      <c r="R33" s="543">
        <f>(INDEX('Dermal Calcs'!$B$79:$H$85, MATCH($L33,'Dermal Calcs'!$A$79:$A$85, 0), MATCH(R$3, 'Dermal Calcs'!$B$78:$H$78, 0)))*$K33*$F33</f>
        <v>2.7619047619047619E-5</v>
      </c>
      <c r="S33" s="544">
        <f>(INDEX('Dermal Calcs'!$B$79:$H$85, MATCH($L33,'Dermal Calcs'!$A$79:$A$85, 0), MATCH(S$3, 'Dermal Calcs'!$B$78:$H$78, 0)))*$K33*$F33</f>
        <v>3.2297872340425535E-5</v>
      </c>
      <c r="T33" s="561">
        <f t="shared" si="1"/>
        <v>5.4258527827648131E-3</v>
      </c>
      <c r="U33" s="562">
        <f t="shared" si="2"/>
        <v>5.0773743016759793E-3</v>
      </c>
      <c r="V33" s="562">
        <f t="shared" si="3"/>
        <v>5.5521126760563391E-3</v>
      </c>
      <c r="W33" s="563">
        <f t="shared" si="4"/>
        <v>7.024528301886792E-3</v>
      </c>
      <c r="X33" s="563">
        <f t="shared" si="5"/>
        <v>8.7129032258064509E-3</v>
      </c>
      <c r="Y33" s="563">
        <f t="shared" si="6"/>
        <v>1.0080952380952381E-2</v>
      </c>
      <c r="Z33" s="563">
        <f t="shared" si="7"/>
        <v>1.1788723404255319E-2</v>
      </c>
      <c r="AA33" s="561">
        <f t="shared" si="8"/>
        <v>1.4865350089766612E-5</v>
      </c>
      <c r="AB33" s="562">
        <f t="shared" si="9"/>
        <v>1.3910614525139668E-5</v>
      </c>
      <c r="AC33" s="562">
        <f t="shared" si="10"/>
        <v>1.5211267605633805E-5</v>
      </c>
      <c r="AD33" s="563">
        <f t="shared" si="11"/>
        <v>1.9245283018867924E-5</v>
      </c>
      <c r="AE33" s="563">
        <f t="shared" si="12"/>
        <v>2.3870967741935483E-5</v>
      </c>
      <c r="AF33" s="563">
        <f t="shared" si="13"/>
        <v>2.7619047619047619E-5</v>
      </c>
      <c r="AG33" s="563">
        <f t="shared" si="14"/>
        <v>3.2297872340425535E-5</v>
      </c>
      <c r="AH33" s="546">
        <f t="shared" si="151"/>
        <v>1.486535008976661E-2</v>
      </c>
      <c r="AI33" s="547">
        <f t="shared" si="152"/>
        <v>1.391061452513967E-2</v>
      </c>
      <c r="AJ33" s="547">
        <f t="shared" si="153"/>
        <v>1.5211267605633806E-2</v>
      </c>
      <c r="AK33" s="547">
        <f t="shared" si="154"/>
        <v>1.9245283018867923E-2</v>
      </c>
      <c r="AL33" s="547">
        <f t="shared" si="155"/>
        <v>2.3870967741935485E-2</v>
      </c>
      <c r="AM33" s="547">
        <f t="shared" si="156"/>
        <v>2.7619047619047619E-2</v>
      </c>
      <c r="AN33" s="548">
        <f t="shared" si="157"/>
        <v>3.2297872340425533E-2</v>
      </c>
      <c r="AO33" s="547">
        <f t="shared" si="139"/>
        <v>1.4865350089766612E-2</v>
      </c>
      <c r="AP33" s="547">
        <f t="shared" si="140"/>
        <v>1.3910614525139668E-2</v>
      </c>
      <c r="AQ33" s="547">
        <f t="shared" si="141"/>
        <v>1.5211267605633804E-2</v>
      </c>
      <c r="AR33" s="547">
        <f t="shared" si="142"/>
        <v>1.9245283018867923E-2</v>
      </c>
      <c r="AS33" s="547">
        <f t="shared" si="143"/>
        <v>2.3870967741935482E-2</v>
      </c>
      <c r="AT33" s="547">
        <f t="shared" si="144"/>
        <v>2.7619047619047619E-2</v>
      </c>
      <c r="AU33" s="548">
        <f t="shared" si="145"/>
        <v>3.2297872340425533E-2</v>
      </c>
      <c r="AV33" s="561">
        <f t="shared" si="159"/>
        <v>1.486535008976661E-2</v>
      </c>
      <c r="AW33" s="562">
        <f t="shared" si="160"/>
        <v>1.456094106538674E-2</v>
      </c>
      <c r="AX33" s="563">
        <f t="shared" si="161"/>
        <v>2.5758292680069138E-2</v>
      </c>
      <c r="AY33" s="561">
        <f t="shared" si="162"/>
        <v>1.4865350089766612E-2</v>
      </c>
      <c r="AZ33" s="562">
        <f t="shared" si="163"/>
        <v>1.4560941065386735E-2</v>
      </c>
      <c r="BA33" s="563">
        <f t="shared" si="164"/>
        <v>2.5758292680069138E-2</v>
      </c>
      <c r="BB33" s="549">
        <f t="shared" si="135"/>
        <v>73997.584541062781</v>
      </c>
      <c r="BC33" s="549">
        <f t="shared" si="136"/>
        <v>79076.305220883514</v>
      </c>
      <c r="BD33" s="549">
        <f t="shared" si="137"/>
        <v>72314.814814814803</v>
      </c>
      <c r="BE33" s="549">
        <f t="shared" si="123"/>
        <v>57156.862745098042</v>
      </c>
      <c r="BF33" s="549">
        <f t="shared" si="124"/>
        <v>46081.08108108108</v>
      </c>
      <c r="BG33" s="549">
        <f t="shared" si="125"/>
        <v>39827.586206896551</v>
      </c>
      <c r="BH33" s="549">
        <f t="shared" si="126"/>
        <v>34057.971014492752</v>
      </c>
      <c r="BI33" s="551">
        <f t="shared" si="128"/>
        <v>73997.584541062781</v>
      </c>
      <c r="BJ33" s="551">
        <f t="shared" si="129"/>
        <v>79076.305220883514</v>
      </c>
      <c r="BK33" s="551">
        <f t="shared" si="130"/>
        <v>72314.814814814803</v>
      </c>
      <c r="BL33" s="551">
        <f t="shared" si="131"/>
        <v>57156.862745098042</v>
      </c>
      <c r="BM33" s="551">
        <f t="shared" si="132"/>
        <v>46081.081081081087</v>
      </c>
      <c r="BN33" s="551">
        <f t="shared" si="133"/>
        <v>39827.586206896551</v>
      </c>
      <c r="BO33" s="551">
        <f t="shared" si="134"/>
        <v>34057.971014492752</v>
      </c>
    </row>
    <row r="34" spans="1:67">
      <c r="A34" s="886" t="str">
        <f>'Compiled Articles'!M6</f>
        <v>Mobile Phone Covers</v>
      </c>
      <c r="B34" s="566" t="s">
        <v>69</v>
      </c>
      <c r="C34" s="886" t="s">
        <v>507</v>
      </c>
      <c r="D34" s="527">
        <v>1</v>
      </c>
      <c r="E34" s="640">
        <v>1</v>
      </c>
      <c r="F34" s="640">
        <v>1</v>
      </c>
      <c r="G34" s="567">
        <f>'Compiled Articles'!M12</f>
        <v>360</v>
      </c>
      <c r="H34" s="235">
        <f>'Compiled Articles'!$M$11</f>
        <v>365</v>
      </c>
      <c r="I34" s="235">
        <v>1</v>
      </c>
      <c r="J34" s="538">
        <f t="shared" si="59"/>
        <v>4.8000000000000001E-5</v>
      </c>
      <c r="K34" s="539">
        <f t="shared" si="36"/>
        <v>2.8800000000000001E-4</v>
      </c>
      <c r="L34" s="540" t="s">
        <v>1395</v>
      </c>
      <c r="M34" s="541">
        <f>(INDEX('Dermal Calcs'!$B$79:$H$85, MATCH($L34,'Dermal Calcs'!$A$79:$A$85, 0), MATCH(M$3, 'Dermal Calcs'!$B$78:$H$78, 0)))*$K34*$D34</f>
        <v>8.9192100538599672E-4</v>
      </c>
      <c r="N34" s="542">
        <f>(INDEX('Dermal Calcs'!$B$79:$H$85, MATCH($L34,'Dermal Calcs'!$A$79:$A$85, 0), MATCH(N$3, 'Dermal Calcs'!$B$78:$H$78, 0)))*$K34*$E34</f>
        <v>8.3463687150838004E-4</v>
      </c>
      <c r="O34" s="542">
        <f>(INDEX('Dermal Calcs'!$B$79:$H$85, MATCH($L34,'Dermal Calcs'!$A$79:$A$85, 0), MATCH(O$3, 'Dermal Calcs'!$B$78:$H$78, 0)))*$K34*$E34</f>
        <v>9.1267605633802828E-4</v>
      </c>
      <c r="P34" s="543">
        <f>(INDEX('Dermal Calcs'!$B$79:$H$85, MATCH($L34,'Dermal Calcs'!$A$79:$A$85, 0), MATCH(P$3, 'Dermal Calcs'!$B$78:$H$78, 0)))*$K34*$F34</f>
        <v>1.1547169811320754E-3</v>
      </c>
      <c r="Q34" s="543">
        <f>(INDEX('Dermal Calcs'!$B$79:$H$85, MATCH($L34,'Dermal Calcs'!$A$79:$A$85, 0), MATCH(Q$3, 'Dermal Calcs'!$B$78:$H$78, 0)))*$K34*$F34</f>
        <v>1.432258064516129E-3</v>
      </c>
      <c r="R34" s="543">
        <f>(INDEX('Dermal Calcs'!$B$79:$H$85, MATCH($L34,'Dermal Calcs'!$A$79:$A$85, 0), MATCH(R$3, 'Dermal Calcs'!$B$78:$H$78, 0)))*$K34*$F34</f>
        <v>1.657142857142857E-3</v>
      </c>
      <c r="S34" s="544">
        <f>(INDEX('Dermal Calcs'!$B$79:$H$85, MATCH($L34,'Dermal Calcs'!$A$79:$A$85, 0), MATCH(S$3, 'Dermal Calcs'!$B$78:$H$78, 0)))*$K34*$F34</f>
        <v>1.9378723404255322E-3</v>
      </c>
      <c r="T34" s="554">
        <f t="shared" si="1"/>
        <v>0.32555116696588882</v>
      </c>
      <c r="U34" s="555">
        <f t="shared" si="2"/>
        <v>0.30464245810055873</v>
      </c>
      <c r="V34" s="555">
        <f t="shared" si="3"/>
        <v>0.33312676056338031</v>
      </c>
      <c r="W34" s="556">
        <f t="shared" si="4"/>
        <v>0.4214716981132075</v>
      </c>
      <c r="X34" s="556">
        <f t="shared" si="5"/>
        <v>0.52277419354838706</v>
      </c>
      <c r="Y34" s="556">
        <f t="shared" si="6"/>
        <v>0.60485714285714276</v>
      </c>
      <c r="Z34" s="556">
        <f t="shared" si="7"/>
        <v>0.70732340425531925</v>
      </c>
      <c r="AA34" s="554">
        <f t="shared" si="8"/>
        <v>8.9192100538599672E-4</v>
      </c>
      <c r="AB34" s="555">
        <f t="shared" si="9"/>
        <v>8.3463687150838004E-4</v>
      </c>
      <c r="AC34" s="555">
        <f t="shared" si="10"/>
        <v>9.1267605633802828E-4</v>
      </c>
      <c r="AD34" s="556">
        <f t="shared" si="11"/>
        <v>1.1547169811320754E-3</v>
      </c>
      <c r="AE34" s="556">
        <f t="shared" si="12"/>
        <v>1.432258064516129E-3</v>
      </c>
      <c r="AF34" s="556">
        <f t="shared" si="13"/>
        <v>1.657142857142857E-3</v>
      </c>
      <c r="AG34" s="556">
        <f t="shared" si="14"/>
        <v>1.9378723404255322E-3</v>
      </c>
      <c r="AH34" s="546">
        <f t="shared" si="151"/>
        <v>0.89192100538599672</v>
      </c>
      <c r="AI34" s="547">
        <f t="shared" si="152"/>
        <v>0.83463687150838006</v>
      </c>
      <c r="AJ34" s="547">
        <f t="shared" si="153"/>
        <v>0.91267605633802817</v>
      </c>
      <c r="AK34" s="547">
        <f t="shared" si="154"/>
        <v>1.1547169811320752</v>
      </c>
      <c r="AL34" s="547">
        <f t="shared" si="155"/>
        <v>1.4322580645161289</v>
      </c>
      <c r="AM34" s="547">
        <f t="shared" si="156"/>
        <v>1.657142857142857</v>
      </c>
      <c r="AN34" s="548">
        <f t="shared" si="157"/>
        <v>1.9378723404255322</v>
      </c>
      <c r="AO34" s="547">
        <f t="shared" si="139"/>
        <v>0.89192100538599672</v>
      </c>
      <c r="AP34" s="547">
        <f t="shared" si="140"/>
        <v>0.83463687150838006</v>
      </c>
      <c r="AQ34" s="547">
        <f t="shared" si="141"/>
        <v>0.91267605633802829</v>
      </c>
      <c r="AR34" s="547">
        <f t="shared" si="142"/>
        <v>1.1547169811320754</v>
      </c>
      <c r="AS34" s="547">
        <f t="shared" si="143"/>
        <v>1.4322580645161291</v>
      </c>
      <c r="AT34" s="547">
        <f t="shared" si="144"/>
        <v>1.657142857142857</v>
      </c>
      <c r="AU34" s="548">
        <f t="shared" si="145"/>
        <v>1.9378723404255322</v>
      </c>
      <c r="AV34" s="554">
        <f t="shared" si="159"/>
        <v>0.89192100538599672</v>
      </c>
      <c r="AW34" s="555">
        <f t="shared" si="160"/>
        <v>0.87365646392320406</v>
      </c>
      <c r="AX34" s="556">
        <f t="shared" si="161"/>
        <v>1.5454975608041481</v>
      </c>
      <c r="AY34" s="554">
        <f t="shared" si="162"/>
        <v>0.89192100538599672</v>
      </c>
      <c r="AZ34" s="555">
        <f t="shared" si="163"/>
        <v>0.87365646392320406</v>
      </c>
      <c r="BA34" s="556">
        <f t="shared" si="164"/>
        <v>1.5454975608041481</v>
      </c>
      <c r="BB34" s="549">
        <f t="shared" si="135"/>
        <v>1233.2930756843796</v>
      </c>
      <c r="BC34" s="549">
        <f t="shared" si="136"/>
        <v>1317.9384203480586</v>
      </c>
      <c r="BD34" s="549">
        <f t="shared" si="137"/>
        <v>1205.2469135802469</v>
      </c>
      <c r="BE34" s="557" t="s">
        <v>47</v>
      </c>
      <c r="BF34" s="557" t="s">
        <v>47</v>
      </c>
      <c r="BG34" s="557" t="s">
        <v>47</v>
      </c>
      <c r="BH34" s="558" t="s">
        <v>47</v>
      </c>
      <c r="BI34" s="551">
        <f t="shared" ref="BI34:BI38" si="165">1100/AO34</f>
        <v>1233.2930756843796</v>
      </c>
      <c r="BJ34" s="551">
        <f t="shared" ref="BJ34:BJ38" si="166">1100/AP34</f>
        <v>1317.9384203480586</v>
      </c>
      <c r="BK34" s="551">
        <f t="shared" ref="BK34:BK37" si="167">1100/AQ34</f>
        <v>1205.2469135802467</v>
      </c>
      <c r="BL34" s="557" t="s">
        <v>47</v>
      </c>
      <c r="BM34" s="557" t="s">
        <v>47</v>
      </c>
      <c r="BN34" s="557" t="s">
        <v>47</v>
      </c>
      <c r="BO34" s="558" t="s">
        <v>47</v>
      </c>
    </row>
    <row r="35" spans="1:67">
      <c r="A35" s="887"/>
      <c r="B35" s="461" t="s">
        <v>1065</v>
      </c>
      <c r="C35" s="887"/>
      <c r="D35" s="527">
        <v>1</v>
      </c>
      <c r="E35" s="640">
        <v>1</v>
      </c>
      <c r="F35" s="640">
        <v>1</v>
      </c>
      <c r="G35" s="567">
        <f>'Compiled Articles'!M13</f>
        <v>180</v>
      </c>
      <c r="H35" s="235">
        <f>'Compiled Articles'!$M$11</f>
        <v>365</v>
      </c>
      <c r="I35" s="235">
        <v>1</v>
      </c>
      <c r="J35" s="538">
        <f t="shared" si="59"/>
        <v>4.8000000000000001E-5</v>
      </c>
      <c r="K35" s="539">
        <f t="shared" si="36"/>
        <v>1.44E-4</v>
      </c>
      <c r="L35" s="553" t="s">
        <v>1395</v>
      </c>
      <c r="M35" s="541">
        <f>(INDEX('Dermal Calcs'!$B$79:$H$85, MATCH($L35,'Dermal Calcs'!$A$79:$A$85, 0), MATCH(M$3, 'Dermal Calcs'!$B$78:$H$78, 0)))*$K35*$D35</f>
        <v>4.4596050269299836E-4</v>
      </c>
      <c r="N35" s="542">
        <f>(INDEX('Dermal Calcs'!$B$79:$H$85, MATCH($L35,'Dermal Calcs'!$A$79:$A$85, 0), MATCH(N$3, 'Dermal Calcs'!$B$78:$H$78, 0)))*$K35*$E35</f>
        <v>4.1731843575419002E-4</v>
      </c>
      <c r="O35" s="542">
        <f>(INDEX('Dermal Calcs'!$B$79:$H$85, MATCH($L35,'Dermal Calcs'!$A$79:$A$85, 0), MATCH(O$3, 'Dermal Calcs'!$B$78:$H$78, 0)))*$K35*$E35</f>
        <v>4.5633802816901414E-4</v>
      </c>
      <c r="P35" s="543">
        <f>(INDEX('Dermal Calcs'!$B$79:$H$85, MATCH($L35,'Dermal Calcs'!$A$79:$A$85, 0), MATCH(P$3, 'Dermal Calcs'!$B$78:$H$78, 0)))*$K35*$F35</f>
        <v>5.773584905660377E-4</v>
      </c>
      <c r="Q35" s="543">
        <f>(INDEX('Dermal Calcs'!$B$79:$H$85, MATCH($L35,'Dermal Calcs'!$A$79:$A$85, 0), MATCH(Q$3, 'Dermal Calcs'!$B$78:$H$78, 0)))*$K35*$F35</f>
        <v>7.1612903225806452E-4</v>
      </c>
      <c r="R35" s="543">
        <f>(INDEX('Dermal Calcs'!$B$79:$H$85, MATCH($L35,'Dermal Calcs'!$A$79:$A$85, 0), MATCH(R$3, 'Dermal Calcs'!$B$78:$H$78, 0)))*$K35*$F35</f>
        <v>8.2857142857142851E-4</v>
      </c>
      <c r="S35" s="544">
        <f>(INDEX('Dermal Calcs'!$B$79:$H$85, MATCH($L35,'Dermal Calcs'!$A$79:$A$85, 0), MATCH(S$3, 'Dermal Calcs'!$B$78:$H$78, 0)))*$K35*$F35</f>
        <v>9.6893617021276608E-4</v>
      </c>
      <c r="T35" s="554">
        <f t="shared" si="1"/>
        <v>0.16277558348294441</v>
      </c>
      <c r="U35" s="555">
        <f t="shared" si="2"/>
        <v>0.15232122905027937</v>
      </c>
      <c r="V35" s="555">
        <f t="shared" si="3"/>
        <v>0.16656338028169015</v>
      </c>
      <c r="W35" s="556">
        <f t="shared" si="4"/>
        <v>0.21073584905660375</v>
      </c>
      <c r="X35" s="556">
        <f t="shared" si="5"/>
        <v>0.26138709677419353</v>
      </c>
      <c r="Y35" s="556">
        <f t="shared" si="6"/>
        <v>0.30242857142857138</v>
      </c>
      <c r="Z35" s="556">
        <f t="shared" si="7"/>
        <v>0.35366170212765963</v>
      </c>
      <c r="AA35" s="554">
        <f t="shared" si="8"/>
        <v>4.4596050269299836E-4</v>
      </c>
      <c r="AB35" s="555">
        <f t="shared" si="9"/>
        <v>4.1731843575419002E-4</v>
      </c>
      <c r="AC35" s="555">
        <f t="shared" si="10"/>
        <v>4.5633802816901414E-4</v>
      </c>
      <c r="AD35" s="556">
        <f t="shared" si="11"/>
        <v>5.773584905660377E-4</v>
      </c>
      <c r="AE35" s="556">
        <f t="shared" si="12"/>
        <v>7.1612903225806452E-4</v>
      </c>
      <c r="AF35" s="556">
        <f t="shared" si="13"/>
        <v>8.2857142857142851E-4</v>
      </c>
      <c r="AG35" s="556">
        <f t="shared" si="14"/>
        <v>9.6893617021276608E-4</v>
      </c>
      <c r="AH35" s="546">
        <f t="shared" ref="AH35:AH66" si="168">(T35*1000)/365</f>
        <v>0.44596050269299836</v>
      </c>
      <c r="AI35" s="547">
        <f t="shared" ref="AI35:AI66" si="169">(U35*1000)/365</f>
        <v>0.41731843575419003</v>
      </c>
      <c r="AJ35" s="547">
        <f t="shared" ref="AJ35:AJ66" si="170">(V35*1000)/365</f>
        <v>0.45633802816901409</v>
      </c>
      <c r="AK35" s="547">
        <f t="shared" ref="AK35:AK66" si="171">(W35*1000)/365</f>
        <v>0.57735849056603761</v>
      </c>
      <c r="AL35" s="547">
        <f t="shared" ref="AL35:AL66" si="172">(X35*1000)/365</f>
        <v>0.71612903225806446</v>
      </c>
      <c r="AM35" s="547">
        <f t="shared" ref="AM35:AM66" si="173">(Y35*1000)/365</f>
        <v>0.82857142857142851</v>
      </c>
      <c r="AN35" s="548">
        <f t="shared" ref="AN35:AN66" si="174">(Z35*1000)/365</f>
        <v>0.96893617021276612</v>
      </c>
      <c r="AO35" s="547">
        <f t="shared" si="139"/>
        <v>0.44596050269299836</v>
      </c>
      <c r="AP35" s="547">
        <f t="shared" si="140"/>
        <v>0.41731843575419003</v>
      </c>
      <c r="AQ35" s="547">
        <f t="shared" si="141"/>
        <v>0.45633802816901414</v>
      </c>
      <c r="AR35" s="547">
        <f t="shared" si="142"/>
        <v>0.57735849056603772</v>
      </c>
      <c r="AS35" s="547">
        <f t="shared" si="143"/>
        <v>0.71612903225806457</v>
      </c>
      <c r="AT35" s="547">
        <f t="shared" si="144"/>
        <v>0.82857142857142851</v>
      </c>
      <c r="AU35" s="548">
        <f t="shared" si="145"/>
        <v>0.96893617021276612</v>
      </c>
      <c r="AV35" s="554">
        <f t="shared" si="159"/>
        <v>0.44596050269299836</v>
      </c>
      <c r="AW35" s="555">
        <f t="shared" si="160"/>
        <v>0.43682823196160203</v>
      </c>
      <c r="AX35" s="556">
        <f t="shared" si="161"/>
        <v>0.77274878040207406</v>
      </c>
      <c r="AY35" s="554">
        <f t="shared" si="162"/>
        <v>0.44596050269299836</v>
      </c>
      <c r="AZ35" s="555">
        <f t="shared" si="163"/>
        <v>0.43682823196160203</v>
      </c>
      <c r="BA35" s="556">
        <f t="shared" si="164"/>
        <v>0.77274878040207406</v>
      </c>
      <c r="BB35" s="549">
        <f t="shared" si="135"/>
        <v>2466.5861513687591</v>
      </c>
      <c r="BC35" s="549">
        <f t="shared" si="136"/>
        <v>2635.8768406961171</v>
      </c>
      <c r="BD35" s="549">
        <f t="shared" si="137"/>
        <v>2410.4938271604938</v>
      </c>
      <c r="BE35" s="557" t="s">
        <v>47</v>
      </c>
      <c r="BF35" s="557" t="s">
        <v>47</v>
      </c>
      <c r="BG35" s="557" t="s">
        <v>47</v>
      </c>
      <c r="BH35" s="558" t="s">
        <v>47</v>
      </c>
      <c r="BI35" s="551">
        <f t="shared" si="165"/>
        <v>2466.5861513687591</v>
      </c>
      <c r="BJ35" s="551">
        <f t="shared" si="166"/>
        <v>2635.8768406961171</v>
      </c>
      <c r="BK35" s="551">
        <f t="shared" si="167"/>
        <v>2410.4938271604933</v>
      </c>
      <c r="BL35" s="557" t="s">
        <v>47</v>
      </c>
      <c r="BM35" s="557" t="s">
        <v>47</v>
      </c>
      <c r="BN35" s="557" t="s">
        <v>47</v>
      </c>
      <c r="BO35" s="558" t="s">
        <v>47</v>
      </c>
    </row>
    <row r="36" spans="1:67">
      <c r="A36" s="888"/>
      <c r="B36" s="559" t="s">
        <v>65</v>
      </c>
      <c r="C36" s="888"/>
      <c r="D36" s="530">
        <v>1</v>
      </c>
      <c r="E36" s="531">
        <v>1</v>
      </c>
      <c r="F36" s="531">
        <v>1</v>
      </c>
      <c r="G36" s="567">
        <f>'Compiled Articles'!M14</f>
        <v>90</v>
      </c>
      <c r="H36" s="235">
        <f>'Compiled Articles'!$M$11</f>
        <v>365</v>
      </c>
      <c r="I36" s="235">
        <v>1</v>
      </c>
      <c r="J36" s="538">
        <f t="shared" si="59"/>
        <v>4.8000000000000001E-5</v>
      </c>
      <c r="K36" s="539">
        <f t="shared" si="36"/>
        <v>7.2000000000000002E-5</v>
      </c>
      <c r="L36" s="560" t="s">
        <v>1395</v>
      </c>
      <c r="M36" s="541">
        <f>(INDEX('Dermal Calcs'!$B$79:$H$85, MATCH($L36,'Dermal Calcs'!$A$79:$A$85, 0), MATCH(M$3, 'Dermal Calcs'!$B$78:$H$78, 0)))*$K36*$D36</f>
        <v>2.2298025134649918E-4</v>
      </c>
      <c r="N36" s="542">
        <f>(INDEX('Dermal Calcs'!$B$79:$H$85, MATCH($L36,'Dermal Calcs'!$A$79:$A$85, 0), MATCH(N$3, 'Dermal Calcs'!$B$78:$H$78, 0)))*$K36*$E36</f>
        <v>2.0865921787709501E-4</v>
      </c>
      <c r="O36" s="542">
        <f>(INDEX('Dermal Calcs'!$B$79:$H$85, MATCH($L36,'Dermal Calcs'!$A$79:$A$85, 0), MATCH(O$3, 'Dermal Calcs'!$B$78:$H$78, 0)))*$K36*$E36</f>
        <v>2.2816901408450707E-4</v>
      </c>
      <c r="P36" s="543">
        <f>(INDEX('Dermal Calcs'!$B$79:$H$85, MATCH($L36,'Dermal Calcs'!$A$79:$A$85, 0), MATCH(P$3, 'Dermal Calcs'!$B$78:$H$78, 0)))*$K36*$F36</f>
        <v>2.8867924528301885E-4</v>
      </c>
      <c r="Q36" s="543">
        <f>(INDEX('Dermal Calcs'!$B$79:$H$85, MATCH($L36,'Dermal Calcs'!$A$79:$A$85, 0), MATCH(Q$3, 'Dermal Calcs'!$B$78:$H$78, 0)))*$K36*$F36</f>
        <v>3.5806451612903226E-4</v>
      </c>
      <c r="R36" s="543">
        <f>(INDEX('Dermal Calcs'!$B$79:$H$85, MATCH($L36,'Dermal Calcs'!$A$79:$A$85, 0), MATCH(R$3, 'Dermal Calcs'!$B$78:$H$78, 0)))*$K36*$F36</f>
        <v>4.1428571428571426E-4</v>
      </c>
      <c r="S36" s="544">
        <f>(INDEX('Dermal Calcs'!$B$79:$H$85, MATCH($L36,'Dermal Calcs'!$A$79:$A$85, 0), MATCH(S$3, 'Dermal Calcs'!$B$78:$H$78, 0)))*$K36*$F36</f>
        <v>4.8446808510638304E-4</v>
      </c>
      <c r="T36" s="554">
        <f t="shared" si="1"/>
        <v>8.1387791741472204E-2</v>
      </c>
      <c r="U36" s="555">
        <f t="shared" si="2"/>
        <v>7.6160614525139683E-2</v>
      </c>
      <c r="V36" s="555">
        <f t="shared" si="3"/>
        <v>8.3281690140845077E-2</v>
      </c>
      <c r="W36" s="556">
        <f t="shared" si="4"/>
        <v>0.10536792452830188</v>
      </c>
      <c r="X36" s="556">
        <f t="shared" si="5"/>
        <v>0.13069354838709676</v>
      </c>
      <c r="Y36" s="556">
        <f t="shared" si="6"/>
        <v>0.15121428571428569</v>
      </c>
      <c r="Z36" s="556">
        <f t="shared" si="7"/>
        <v>0.17683085106382981</v>
      </c>
      <c r="AA36" s="554">
        <f t="shared" si="8"/>
        <v>2.2298025134649918E-4</v>
      </c>
      <c r="AB36" s="555">
        <f t="shared" si="9"/>
        <v>2.0865921787709501E-4</v>
      </c>
      <c r="AC36" s="555">
        <f t="shared" si="10"/>
        <v>2.2816901408450707E-4</v>
      </c>
      <c r="AD36" s="556">
        <f t="shared" si="11"/>
        <v>2.8867924528301885E-4</v>
      </c>
      <c r="AE36" s="556">
        <f t="shared" si="12"/>
        <v>3.5806451612903226E-4</v>
      </c>
      <c r="AF36" s="556">
        <f t="shared" si="13"/>
        <v>4.1428571428571426E-4</v>
      </c>
      <c r="AG36" s="556">
        <f t="shared" si="14"/>
        <v>4.8446808510638304E-4</v>
      </c>
      <c r="AH36" s="546">
        <f t="shared" si="168"/>
        <v>0.22298025134649918</v>
      </c>
      <c r="AI36" s="547">
        <f t="shared" si="169"/>
        <v>0.20865921787709502</v>
      </c>
      <c r="AJ36" s="547">
        <f t="shared" si="170"/>
        <v>0.22816901408450704</v>
      </c>
      <c r="AK36" s="547">
        <f t="shared" si="171"/>
        <v>0.2886792452830188</v>
      </c>
      <c r="AL36" s="547">
        <f t="shared" si="172"/>
        <v>0.35806451612903223</v>
      </c>
      <c r="AM36" s="547">
        <f t="shared" si="173"/>
        <v>0.41428571428571426</v>
      </c>
      <c r="AN36" s="548">
        <f t="shared" si="174"/>
        <v>0.48446808510638306</v>
      </c>
      <c r="AO36" s="547">
        <f t="shared" si="139"/>
        <v>0.22298025134649918</v>
      </c>
      <c r="AP36" s="547">
        <f t="shared" si="140"/>
        <v>0.20865921787709502</v>
      </c>
      <c r="AQ36" s="547">
        <f t="shared" si="141"/>
        <v>0.22816901408450707</v>
      </c>
      <c r="AR36" s="547">
        <f t="shared" si="142"/>
        <v>0.28867924528301886</v>
      </c>
      <c r="AS36" s="547">
        <f t="shared" si="143"/>
        <v>0.35806451612903228</v>
      </c>
      <c r="AT36" s="547">
        <f t="shared" si="144"/>
        <v>0.41428571428571426</v>
      </c>
      <c r="AU36" s="548">
        <f t="shared" si="145"/>
        <v>0.48446808510638306</v>
      </c>
      <c r="AV36" s="554">
        <f t="shared" si="159"/>
        <v>0.22298025134649918</v>
      </c>
      <c r="AW36" s="555">
        <f t="shared" si="160"/>
        <v>0.21841411598080102</v>
      </c>
      <c r="AX36" s="556">
        <f t="shared" si="161"/>
        <v>0.38637439020103703</v>
      </c>
      <c r="AY36" s="554">
        <f t="shared" si="162"/>
        <v>0.22298025134649918</v>
      </c>
      <c r="AZ36" s="555">
        <f t="shared" si="163"/>
        <v>0.21841411598080102</v>
      </c>
      <c r="BA36" s="556">
        <f t="shared" si="164"/>
        <v>0.38637439020103703</v>
      </c>
      <c r="BB36" s="549">
        <f t="shared" si="135"/>
        <v>4933.1723027375183</v>
      </c>
      <c r="BC36" s="549">
        <f t="shared" si="136"/>
        <v>5271.7536813922343</v>
      </c>
      <c r="BD36" s="549">
        <f t="shared" si="137"/>
        <v>4820.9876543209875</v>
      </c>
      <c r="BE36" s="557" t="s">
        <v>47</v>
      </c>
      <c r="BF36" s="557" t="s">
        <v>47</v>
      </c>
      <c r="BG36" s="557" t="s">
        <v>47</v>
      </c>
      <c r="BH36" s="558" t="s">
        <v>47</v>
      </c>
      <c r="BI36" s="551">
        <f t="shared" si="165"/>
        <v>4933.1723027375183</v>
      </c>
      <c r="BJ36" s="551">
        <f t="shared" si="166"/>
        <v>5271.7536813922343</v>
      </c>
      <c r="BK36" s="551">
        <f t="shared" si="167"/>
        <v>4820.9876543209866</v>
      </c>
      <c r="BL36" s="557" t="s">
        <v>47</v>
      </c>
      <c r="BM36" s="557" t="s">
        <v>47</v>
      </c>
      <c r="BN36" s="557" t="s">
        <v>47</v>
      </c>
      <c r="BO36" s="558" t="s">
        <v>47</v>
      </c>
    </row>
    <row r="37" spans="1:67" ht="14.5" customHeight="1">
      <c r="A37" s="886" t="str">
        <f>'Compiled Articles'!N6</f>
        <v>Shower Curtains</v>
      </c>
      <c r="B37" s="566" t="s">
        <v>69</v>
      </c>
      <c r="C37" s="886" t="s">
        <v>473</v>
      </c>
      <c r="D37" s="527">
        <v>1</v>
      </c>
      <c r="E37" s="640">
        <v>1</v>
      </c>
      <c r="F37" s="640">
        <v>1</v>
      </c>
      <c r="G37" s="567">
        <f>'Compiled Articles'!N12</f>
        <v>60</v>
      </c>
      <c r="H37" s="235">
        <f>'Compiled Articles'!$N$11</f>
        <v>365</v>
      </c>
      <c r="I37" s="235">
        <v>1</v>
      </c>
      <c r="J37" s="538">
        <f t="shared" si="59"/>
        <v>4.8000000000000001E-5</v>
      </c>
      <c r="K37" s="539">
        <f t="shared" si="36"/>
        <v>4.8000000000000001E-5</v>
      </c>
      <c r="L37" s="540" t="s">
        <v>1395</v>
      </c>
      <c r="M37" s="541">
        <f>(INDEX('Dermal Calcs'!$B$79:$H$85, MATCH($L37,'Dermal Calcs'!$A$79:$A$85, 0), MATCH(M$3, 'Dermal Calcs'!$B$78:$H$78, 0)))*$K37*$D37</f>
        <v>1.4865350089766612E-4</v>
      </c>
      <c r="N37" s="542">
        <f>(INDEX('Dermal Calcs'!$B$79:$H$85, MATCH($L37,'Dermal Calcs'!$A$79:$A$85, 0), MATCH(N$3, 'Dermal Calcs'!$B$78:$H$78, 0)))*$K37*$E37</f>
        <v>1.3910614525139666E-4</v>
      </c>
      <c r="O37" s="542">
        <f>(INDEX('Dermal Calcs'!$B$79:$H$85, MATCH($L37,'Dermal Calcs'!$A$79:$A$85, 0), MATCH(O$3, 'Dermal Calcs'!$B$78:$H$78, 0)))*$K37*$E37</f>
        <v>1.5211267605633804E-4</v>
      </c>
      <c r="P37" s="543">
        <f>(INDEX('Dermal Calcs'!$B$79:$H$85, MATCH($L37,'Dermal Calcs'!$A$79:$A$85, 0), MATCH(P$3, 'Dermal Calcs'!$B$78:$H$78, 0)))*$K37*$F37</f>
        <v>1.9245283018867924E-4</v>
      </c>
      <c r="Q37" s="543">
        <f>(INDEX('Dermal Calcs'!$B$79:$H$85, MATCH($L37,'Dermal Calcs'!$A$79:$A$85, 0), MATCH(Q$3, 'Dermal Calcs'!$B$78:$H$78, 0)))*$K37*$F37</f>
        <v>2.3870967741935483E-4</v>
      </c>
      <c r="R37" s="543">
        <f>(INDEX('Dermal Calcs'!$B$79:$H$85, MATCH($L37,'Dermal Calcs'!$A$79:$A$85, 0), MATCH(R$3, 'Dermal Calcs'!$B$78:$H$78, 0)))*$K37*$F37</f>
        <v>2.7619047619047615E-4</v>
      </c>
      <c r="S37" s="544">
        <f>(INDEX('Dermal Calcs'!$B$79:$H$85, MATCH($L37,'Dermal Calcs'!$A$79:$A$85, 0), MATCH(S$3, 'Dermal Calcs'!$B$78:$H$78, 0)))*$K37*$F37</f>
        <v>3.2297872340425536E-4</v>
      </c>
      <c r="T37" s="541">
        <f t="shared" si="1"/>
        <v>5.4258527827648131E-2</v>
      </c>
      <c r="U37" s="542">
        <f t="shared" si="2"/>
        <v>5.0773743016759784E-2</v>
      </c>
      <c r="V37" s="542">
        <f t="shared" si="3"/>
        <v>5.5521126760563387E-2</v>
      </c>
      <c r="W37" s="545">
        <f t="shared" si="4"/>
        <v>7.0245283018867927E-2</v>
      </c>
      <c r="X37" s="545">
        <f t="shared" si="5"/>
        <v>8.7129032258064509E-2</v>
      </c>
      <c r="Y37" s="545">
        <f t="shared" si="6"/>
        <v>0.10080952380952379</v>
      </c>
      <c r="Z37" s="545">
        <f t="shared" si="7"/>
        <v>0.1178872340425532</v>
      </c>
      <c r="AA37" s="541">
        <f t="shared" si="8"/>
        <v>1.4865350089766612E-4</v>
      </c>
      <c r="AB37" s="542">
        <f t="shared" si="9"/>
        <v>1.3910614525139666E-4</v>
      </c>
      <c r="AC37" s="542">
        <f t="shared" si="10"/>
        <v>1.5211267605633804E-4</v>
      </c>
      <c r="AD37" s="545">
        <f t="shared" si="11"/>
        <v>1.9245283018867924E-4</v>
      </c>
      <c r="AE37" s="545">
        <f t="shared" si="12"/>
        <v>2.3870967741935483E-4</v>
      </c>
      <c r="AF37" s="545">
        <f t="shared" si="13"/>
        <v>2.7619047619047615E-4</v>
      </c>
      <c r="AG37" s="545">
        <f t="shared" si="14"/>
        <v>3.2297872340425536E-4</v>
      </c>
      <c r="AH37" s="546">
        <f t="shared" si="168"/>
        <v>0.1486535008976661</v>
      </c>
      <c r="AI37" s="547">
        <f t="shared" si="169"/>
        <v>0.13910614525139667</v>
      </c>
      <c r="AJ37" s="547">
        <f t="shared" si="170"/>
        <v>0.15211267605633805</v>
      </c>
      <c r="AK37" s="547">
        <f t="shared" si="171"/>
        <v>0.19245283018867923</v>
      </c>
      <c r="AL37" s="547">
        <f t="shared" si="172"/>
        <v>0.23870967741935484</v>
      </c>
      <c r="AM37" s="547">
        <f t="shared" si="173"/>
        <v>0.27619047619047615</v>
      </c>
      <c r="AN37" s="548">
        <f t="shared" si="174"/>
        <v>0.32297872340425537</v>
      </c>
      <c r="AO37" s="547">
        <f t="shared" si="139"/>
        <v>0.14865350089766613</v>
      </c>
      <c r="AP37" s="547">
        <f t="shared" si="140"/>
        <v>0.13910614525139667</v>
      </c>
      <c r="AQ37" s="547">
        <f t="shared" si="141"/>
        <v>0.15211267605633805</v>
      </c>
      <c r="AR37" s="547">
        <f t="shared" si="142"/>
        <v>0.19245283018867923</v>
      </c>
      <c r="AS37" s="547">
        <f t="shared" si="143"/>
        <v>0.23870967741935484</v>
      </c>
      <c r="AT37" s="547">
        <f t="shared" si="144"/>
        <v>0.27619047619047615</v>
      </c>
      <c r="AU37" s="548">
        <f t="shared" si="145"/>
        <v>0.32297872340425537</v>
      </c>
      <c r="AV37" s="541">
        <f t="shared" si="159"/>
        <v>0.1486535008976661</v>
      </c>
      <c r="AW37" s="542">
        <f t="shared" si="160"/>
        <v>0.14560941065386734</v>
      </c>
      <c r="AX37" s="545">
        <f t="shared" si="161"/>
        <v>0.25758292680069139</v>
      </c>
      <c r="AY37" s="541">
        <f t="shared" si="162"/>
        <v>0.14865350089766613</v>
      </c>
      <c r="AZ37" s="542">
        <f t="shared" si="163"/>
        <v>0.14560941065386734</v>
      </c>
      <c r="BA37" s="545">
        <f t="shared" si="164"/>
        <v>0.25758292680069139</v>
      </c>
      <c r="BB37" s="549">
        <f t="shared" si="135"/>
        <v>7399.7584541062788</v>
      </c>
      <c r="BC37" s="549">
        <f t="shared" si="136"/>
        <v>7907.6305220883523</v>
      </c>
      <c r="BD37" s="549">
        <f t="shared" si="137"/>
        <v>7231.4814814814808</v>
      </c>
      <c r="BE37" s="549">
        <f t="shared" ref="BE37" si="175">1100/AK37</f>
        <v>5715.6862745098042</v>
      </c>
      <c r="BF37" s="549">
        <f t="shared" ref="BF37" si="176">1100/AL37</f>
        <v>4608.1081081081084</v>
      </c>
      <c r="BG37" s="549">
        <f t="shared" ref="BG37" si="177">1100/AM37</f>
        <v>3982.7586206896558</v>
      </c>
      <c r="BH37" s="549">
        <f t="shared" ref="BH37" si="178">1100/AN37</f>
        <v>3405.7971014492746</v>
      </c>
      <c r="BI37" s="551">
        <f t="shared" si="165"/>
        <v>7399.758454106277</v>
      </c>
      <c r="BJ37" s="551">
        <f t="shared" si="166"/>
        <v>7907.6305220883523</v>
      </c>
      <c r="BK37" s="551">
        <f t="shared" si="167"/>
        <v>7231.4814814814808</v>
      </c>
      <c r="BL37" s="551">
        <f t="shared" ref="BL37" si="179">1100/AR37</f>
        <v>5715.6862745098042</v>
      </c>
      <c r="BM37" s="551">
        <f t="shared" ref="BM37" si="180">1100/AS37</f>
        <v>4608.1081081081084</v>
      </c>
      <c r="BN37" s="551">
        <f t="shared" ref="BN37" si="181">1100/AT37</f>
        <v>3982.7586206896558</v>
      </c>
      <c r="BO37" s="551">
        <f t="shared" ref="BO37" si="182">1100/AU37</f>
        <v>3405.7971014492746</v>
      </c>
    </row>
    <row r="38" spans="1:67">
      <c r="A38" s="887"/>
      <c r="B38" s="461" t="s">
        <v>1065</v>
      </c>
      <c r="C38" s="887"/>
      <c r="D38" s="527">
        <v>1</v>
      </c>
      <c r="E38" s="640">
        <v>1</v>
      </c>
      <c r="F38" s="640">
        <v>1</v>
      </c>
      <c r="G38" s="567">
        <f>'Compiled Articles'!N13</f>
        <v>30</v>
      </c>
      <c r="H38" s="235">
        <f>'Compiled Articles'!$N$11</f>
        <v>365</v>
      </c>
      <c r="I38" s="235">
        <v>1</v>
      </c>
      <c r="J38" s="538">
        <f t="shared" si="59"/>
        <v>4.8000000000000001E-5</v>
      </c>
      <c r="K38" s="539">
        <f t="shared" si="36"/>
        <v>2.4000000000000001E-5</v>
      </c>
      <c r="L38" s="553" t="s">
        <v>1395</v>
      </c>
      <c r="M38" s="541">
        <f>(INDEX('Dermal Calcs'!$B$79:$H$85, MATCH($L38,'Dermal Calcs'!$A$79:$A$85, 0), MATCH(M$3, 'Dermal Calcs'!$B$78:$H$78, 0)))*$K38*$D38</f>
        <v>7.432675044883306E-5</v>
      </c>
      <c r="N38" s="542">
        <f>(INDEX('Dermal Calcs'!$B$79:$H$85, MATCH($L38,'Dermal Calcs'!$A$79:$A$85, 0), MATCH(N$3, 'Dermal Calcs'!$B$78:$H$78, 0)))*$K38*$E38</f>
        <v>6.9553072625698332E-5</v>
      </c>
      <c r="O38" s="542">
        <f>(INDEX('Dermal Calcs'!$B$79:$H$85, MATCH($L38,'Dermal Calcs'!$A$79:$A$85, 0), MATCH(O$3, 'Dermal Calcs'!$B$78:$H$78, 0)))*$K38*$E38</f>
        <v>7.6056338028169019E-5</v>
      </c>
      <c r="P38" s="543">
        <f>(INDEX('Dermal Calcs'!$B$79:$H$85, MATCH($L38,'Dermal Calcs'!$A$79:$A$85, 0), MATCH(P$3, 'Dermal Calcs'!$B$78:$H$78, 0)))*$K38*$F38</f>
        <v>9.6226415094339621E-5</v>
      </c>
      <c r="Q38" s="543">
        <f>(INDEX('Dermal Calcs'!$B$79:$H$85, MATCH($L38,'Dermal Calcs'!$A$79:$A$85, 0), MATCH(Q$3, 'Dermal Calcs'!$B$78:$H$78, 0)))*$K38*$F38</f>
        <v>1.1935483870967742E-4</v>
      </c>
      <c r="R38" s="543">
        <f>(INDEX('Dermal Calcs'!$B$79:$H$85, MATCH($L38,'Dermal Calcs'!$A$79:$A$85, 0), MATCH(R$3, 'Dermal Calcs'!$B$78:$H$78, 0)))*$K38*$F38</f>
        <v>1.3809523809523808E-4</v>
      </c>
      <c r="S38" s="544">
        <f>(INDEX('Dermal Calcs'!$B$79:$H$85, MATCH($L38,'Dermal Calcs'!$A$79:$A$85, 0), MATCH(S$3, 'Dermal Calcs'!$B$78:$H$78, 0)))*$K38*$F38</f>
        <v>1.6148936170212768E-4</v>
      </c>
      <c r="T38" s="554">
        <f t="shared" si="1"/>
        <v>2.7129263913824066E-2</v>
      </c>
      <c r="U38" s="555">
        <f t="shared" si="2"/>
        <v>2.5386871508379892E-2</v>
      </c>
      <c r="V38" s="555">
        <f t="shared" si="3"/>
        <v>2.7760563380281694E-2</v>
      </c>
      <c r="W38" s="556">
        <f t="shared" si="4"/>
        <v>3.5122641509433963E-2</v>
      </c>
      <c r="X38" s="556">
        <f t="shared" si="5"/>
        <v>4.3564516129032255E-2</v>
      </c>
      <c r="Y38" s="556">
        <f t="shared" si="6"/>
        <v>5.0404761904761897E-2</v>
      </c>
      <c r="Z38" s="556">
        <f t="shared" si="7"/>
        <v>5.8943617021276602E-2</v>
      </c>
      <c r="AA38" s="554">
        <f t="shared" si="8"/>
        <v>7.432675044883306E-5</v>
      </c>
      <c r="AB38" s="555">
        <f t="shared" si="9"/>
        <v>6.9553072625698332E-5</v>
      </c>
      <c r="AC38" s="555">
        <f t="shared" si="10"/>
        <v>7.6056338028169019E-5</v>
      </c>
      <c r="AD38" s="556">
        <f t="shared" si="11"/>
        <v>9.6226415094339621E-5</v>
      </c>
      <c r="AE38" s="556">
        <f t="shared" si="12"/>
        <v>1.1935483870967742E-4</v>
      </c>
      <c r="AF38" s="556">
        <f t="shared" si="13"/>
        <v>1.3809523809523808E-4</v>
      </c>
      <c r="AG38" s="556">
        <f t="shared" si="14"/>
        <v>1.6148936170212768E-4</v>
      </c>
      <c r="AH38" s="546">
        <f t="shared" si="168"/>
        <v>7.4326750448833051E-2</v>
      </c>
      <c r="AI38" s="547">
        <f t="shared" si="169"/>
        <v>6.9553072625698334E-2</v>
      </c>
      <c r="AJ38" s="547">
        <f t="shared" si="170"/>
        <v>7.6056338028169024E-2</v>
      </c>
      <c r="AK38" s="547">
        <f t="shared" si="171"/>
        <v>9.6226415094339615E-2</v>
      </c>
      <c r="AL38" s="547">
        <f t="shared" si="172"/>
        <v>0.11935483870967742</v>
      </c>
      <c r="AM38" s="547">
        <f t="shared" si="173"/>
        <v>0.13809523809523808</v>
      </c>
      <c r="AN38" s="548">
        <f t="shared" si="174"/>
        <v>0.16148936170212769</v>
      </c>
      <c r="AO38" s="547">
        <f t="shared" si="139"/>
        <v>7.4326750448833065E-2</v>
      </c>
      <c r="AP38" s="547">
        <f t="shared" si="140"/>
        <v>6.9553072625698334E-2</v>
      </c>
      <c r="AQ38" s="547">
        <f t="shared" si="141"/>
        <v>7.6056338028169024E-2</v>
      </c>
      <c r="AR38" s="547">
        <f t="shared" si="142"/>
        <v>9.6226415094339615E-2</v>
      </c>
      <c r="AS38" s="547">
        <f t="shared" si="143"/>
        <v>0.11935483870967742</v>
      </c>
      <c r="AT38" s="547">
        <f t="shared" si="144"/>
        <v>0.13809523809523808</v>
      </c>
      <c r="AU38" s="548">
        <f t="shared" si="145"/>
        <v>0.16148936170212769</v>
      </c>
      <c r="AV38" s="554">
        <f t="shared" si="159"/>
        <v>7.4326750448833051E-2</v>
      </c>
      <c r="AW38" s="555">
        <f t="shared" si="160"/>
        <v>7.2804705326933672E-2</v>
      </c>
      <c r="AX38" s="556">
        <f t="shared" si="161"/>
        <v>0.1287914634003457</v>
      </c>
      <c r="AY38" s="554">
        <f t="shared" si="162"/>
        <v>7.4326750448833065E-2</v>
      </c>
      <c r="AZ38" s="555">
        <f t="shared" si="163"/>
        <v>7.2804705326933672E-2</v>
      </c>
      <c r="BA38" s="556">
        <f t="shared" si="164"/>
        <v>0.1287914634003457</v>
      </c>
      <c r="BB38" s="549">
        <f t="shared" si="135"/>
        <v>14799.516908212558</v>
      </c>
      <c r="BC38" s="549">
        <f t="shared" si="136"/>
        <v>15815.261044176705</v>
      </c>
      <c r="BD38" s="549">
        <f t="shared" ref="BD38:BD48" si="183">1100/AJ38</f>
        <v>14462.962962962962</v>
      </c>
      <c r="BE38" s="549">
        <f t="shared" ref="BE38:BE48" si="184">1100/AK38</f>
        <v>11431.372549019608</v>
      </c>
      <c r="BF38" s="549">
        <f t="shared" ref="BF38:BF48" si="185">1100/AL38</f>
        <v>9216.2162162162167</v>
      </c>
      <c r="BG38" s="549">
        <f t="shared" ref="BG38:BG48" si="186">1100/AM38</f>
        <v>7965.5172413793116</v>
      </c>
      <c r="BH38" s="549">
        <f t="shared" ref="BH38:BH48" si="187">1100/AN38</f>
        <v>6811.5942028985492</v>
      </c>
      <c r="BI38" s="551">
        <f t="shared" si="165"/>
        <v>14799.516908212554</v>
      </c>
      <c r="BJ38" s="551">
        <f t="shared" si="166"/>
        <v>15815.261044176705</v>
      </c>
      <c r="BK38" s="551">
        <f t="shared" ref="BK38:BK48" si="188">1100/AQ38</f>
        <v>14462.962962962962</v>
      </c>
      <c r="BL38" s="551">
        <f t="shared" ref="BL38:BL48" si="189">1100/AR38</f>
        <v>11431.372549019608</v>
      </c>
      <c r="BM38" s="551">
        <f t="shared" ref="BM38:BM48" si="190">1100/AS38</f>
        <v>9216.2162162162167</v>
      </c>
      <c r="BN38" s="551">
        <f t="shared" ref="BN38:BN48" si="191">1100/AT38</f>
        <v>7965.5172413793116</v>
      </c>
      <c r="BO38" s="551">
        <f t="shared" ref="BO38:BO48" si="192">1100/AU38</f>
        <v>6811.5942028985492</v>
      </c>
    </row>
    <row r="39" spans="1:67">
      <c r="A39" s="888"/>
      <c r="B39" s="559" t="s">
        <v>65</v>
      </c>
      <c r="C39" s="888"/>
      <c r="D39" s="527">
        <v>1</v>
      </c>
      <c r="E39" s="640">
        <v>1</v>
      </c>
      <c r="F39" s="640">
        <v>1</v>
      </c>
      <c r="G39" s="567">
        <f>'Compiled Articles'!N14</f>
        <v>15</v>
      </c>
      <c r="H39" s="235">
        <f>'Compiled Articles'!$N$11</f>
        <v>365</v>
      </c>
      <c r="I39" s="235">
        <v>1</v>
      </c>
      <c r="J39" s="538">
        <f t="shared" si="59"/>
        <v>4.8000000000000001E-5</v>
      </c>
      <c r="K39" s="539">
        <f t="shared" si="36"/>
        <v>1.2E-5</v>
      </c>
      <c r="L39" s="560" t="s">
        <v>1395</v>
      </c>
      <c r="M39" s="541">
        <f>(INDEX('Dermal Calcs'!$B$79:$H$85, MATCH($L39,'Dermal Calcs'!$A$79:$A$85, 0), MATCH(M$3, 'Dermal Calcs'!$B$78:$H$78, 0)))*$K39*$D39</f>
        <v>3.716337522441653E-5</v>
      </c>
      <c r="N39" s="542">
        <f>(INDEX('Dermal Calcs'!$B$79:$H$85, MATCH($L39,'Dermal Calcs'!$A$79:$A$85, 0), MATCH(N$3, 'Dermal Calcs'!$B$78:$H$78, 0)))*$K39*$E39</f>
        <v>3.4776536312849166E-5</v>
      </c>
      <c r="O39" s="542">
        <f>(INDEX('Dermal Calcs'!$B$79:$H$85, MATCH($L39,'Dermal Calcs'!$A$79:$A$85, 0), MATCH(O$3, 'Dermal Calcs'!$B$78:$H$78, 0)))*$K39*$E39</f>
        <v>3.8028169014084509E-5</v>
      </c>
      <c r="P39" s="543">
        <f>(INDEX('Dermal Calcs'!$B$79:$H$85, MATCH($L39,'Dermal Calcs'!$A$79:$A$85, 0), MATCH(P$3, 'Dermal Calcs'!$B$78:$H$78, 0)))*$K39*$F39</f>
        <v>4.8113207547169811E-5</v>
      </c>
      <c r="Q39" s="543">
        <f>(INDEX('Dermal Calcs'!$B$79:$H$85, MATCH($L39,'Dermal Calcs'!$A$79:$A$85, 0), MATCH(Q$3, 'Dermal Calcs'!$B$78:$H$78, 0)))*$K39*$F39</f>
        <v>5.9677419354838708E-5</v>
      </c>
      <c r="R39" s="543">
        <f>(INDEX('Dermal Calcs'!$B$79:$H$85, MATCH($L39,'Dermal Calcs'!$A$79:$A$85, 0), MATCH(R$3, 'Dermal Calcs'!$B$78:$H$78, 0)))*$K39*$F39</f>
        <v>6.9047619047619038E-5</v>
      </c>
      <c r="S39" s="544">
        <f>(INDEX('Dermal Calcs'!$B$79:$H$85, MATCH($L39,'Dermal Calcs'!$A$79:$A$85, 0), MATCH(S$3, 'Dermal Calcs'!$B$78:$H$78, 0)))*$K39*$F39</f>
        <v>8.074468085106384E-5</v>
      </c>
      <c r="T39" s="561">
        <f t="shared" ref="T39:T51" si="193">M39*$H39</f>
        <v>1.3564631956912033E-2</v>
      </c>
      <c r="U39" s="562">
        <f t="shared" ref="U39:U51" si="194">N39*$H39</f>
        <v>1.2693435754189946E-2</v>
      </c>
      <c r="V39" s="562">
        <f t="shared" ref="V39:V51" si="195">O39*$H39</f>
        <v>1.3880281690140847E-2</v>
      </c>
      <c r="W39" s="563">
        <f t="shared" ref="W39:W51" si="196">P39*$H39</f>
        <v>1.7561320754716982E-2</v>
      </c>
      <c r="X39" s="563">
        <f t="shared" ref="X39:X51" si="197">Q39*$H39</f>
        <v>2.1782258064516127E-2</v>
      </c>
      <c r="Y39" s="563">
        <f t="shared" ref="Y39:Y51" si="198">R39*$H39</f>
        <v>2.5202380952380948E-2</v>
      </c>
      <c r="Z39" s="563">
        <f t="shared" ref="Z39:Z51" si="199">S39*$H39</f>
        <v>2.9471808510638301E-2</v>
      </c>
      <c r="AA39" s="561">
        <f t="shared" ref="AA39:AA51" si="200">M39*$I39</f>
        <v>3.716337522441653E-5</v>
      </c>
      <c r="AB39" s="562">
        <f t="shared" ref="AB39:AB52" si="201">N39*$I39</f>
        <v>3.4776536312849166E-5</v>
      </c>
      <c r="AC39" s="562">
        <f t="shared" ref="AC39:AC52" si="202">O39*$I39</f>
        <v>3.8028169014084509E-5</v>
      </c>
      <c r="AD39" s="563">
        <f t="shared" ref="AD39:AD52" si="203">P39*$I39</f>
        <v>4.8113207547169811E-5</v>
      </c>
      <c r="AE39" s="563">
        <f t="shared" ref="AE39:AE52" si="204">Q39*$I39</f>
        <v>5.9677419354838708E-5</v>
      </c>
      <c r="AF39" s="563">
        <f t="shared" ref="AF39:AF52" si="205">R39*$I39</f>
        <v>6.9047619047619038E-5</v>
      </c>
      <c r="AG39" s="563">
        <f t="shared" ref="AG39:AG52" si="206">S39*$I39</f>
        <v>8.074468085106384E-5</v>
      </c>
      <c r="AH39" s="546">
        <f t="shared" si="168"/>
        <v>3.7163375224416526E-2</v>
      </c>
      <c r="AI39" s="547">
        <f t="shared" si="169"/>
        <v>3.4776536312849167E-2</v>
      </c>
      <c r="AJ39" s="547">
        <f t="shared" si="170"/>
        <v>3.8028169014084512E-2</v>
      </c>
      <c r="AK39" s="547">
        <f t="shared" si="171"/>
        <v>4.8113207547169808E-2</v>
      </c>
      <c r="AL39" s="547">
        <f t="shared" si="172"/>
        <v>5.9677419354838709E-2</v>
      </c>
      <c r="AM39" s="547">
        <f t="shared" si="173"/>
        <v>6.9047619047619038E-2</v>
      </c>
      <c r="AN39" s="548">
        <f t="shared" si="174"/>
        <v>8.0744680851063844E-2</v>
      </c>
      <c r="AO39" s="547">
        <f t="shared" si="139"/>
        <v>3.7163375224416532E-2</v>
      </c>
      <c r="AP39" s="547">
        <f t="shared" si="140"/>
        <v>3.4776536312849167E-2</v>
      </c>
      <c r="AQ39" s="547">
        <f t="shared" si="141"/>
        <v>3.8028169014084512E-2</v>
      </c>
      <c r="AR39" s="547">
        <f t="shared" si="142"/>
        <v>4.8113207547169808E-2</v>
      </c>
      <c r="AS39" s="547">
        <f t="shared" si="143"/>
        <v>5.9677419354838709E-2</v>
      </c>
      <c r="AT39" s="547">
        <f t="shared" si="144"/>
        <v>6.9047619047619038E-2</v>
      </c>
      <c r="AU39" s="548">
        <f t="shared" si="145"/>
        <v>8.0744680851063844E-2</v>
      </c>
      <c r="AV39" s="561">
        <f t="shared" si="159"/>
        <v>3.7163375224416526E-2</v>
      </c>
      <c r="AW39" s="562">
        <f t="shared" si="160"/>
        <v>3.6402352663466836E-2</v>
      </c>
      <c r="AX39" s="563">
        <f t="shared" si="161"/>
        <v>6.4395731700172848E-2</v>
      </c>
      <c r="AY39" s="561">
        <f t="shared" si="162"/>
        <v>3.7163375224416532E-2</v>
      </c>
      <c r="AZ39" s="562">
        <f t="shared" si="163"/>
        <v>3.6402352663466836E-2</v>
      </c>
      <c r="BA39" s="563">
        <f t="shared" si="164"/>
        <v>6.4395731700172848E-2</v>
      </c>
      <c r="BB39" s="549">
        <f t="shared" si="135"/>
        <v>29599.033816425115</v>
      </c>
      <c r="BC39" s="549">
        <f t="shared" si="136"/>
        <v>31630.522088353409</v>
      </c>
      <c r="BD39" s="549">
        <f t="shared" si="183"/>
        <v>28925.925925925923</v>
      </c>
      <c r="BE39" s="549">
        <f t="shared" si="184"/>
        <v>22862.745098039217</v>
      </c>
      <c r="BF39" s="549">
        <f t="shared" si="185"/>
        <v>18432.432432432433</v>
      </c>
      <c r="BG39" s="549">
        <f t="shared" si="186"/>
        <v>15931.034482758623</v>
      </c>
      <c r="BH39" s="549">
        <f t="shared" si="187"/>
        <v>13623.188405797098</v>
      </c>
      <c r="BI39" s="551">
        <f t="shared" ref="BI39:BI72" si="207">1100/AO39</f>
        <v>29599.033816425108</v>
      </c>
      <c r="BJ39" s="551">
        <f t="shared" ref="BJ39:BJ72" si="208">1100/AP39</f>
        <v>31630.522088353409</v>
      </c>
      <c r="BK39" s="551">
        <f t="shared" si="188"/>
        <v>28925.925925925923</v>
      </c>
      <c r="BL39" s="551">
        <f t="shared" si="189"/>
        <v>22862.745098039217</v>
      </c>
      <c r="BM39" s="551">
        <f t="shared" si="190"/>
        <v>18432.432432432433</v>
      </c>
      <c r="BN39" s="551">
        <f t="shared" si="191"/>
        <v>15931.034482758623</v>
      </c>
      <c r="BO39" s="551">
        <f t="shared" si="192"/>
        <v>13623.188405797098</v>
      </c>
    </row>
    <row r="40" spans="1:67" ht="14.5" customHeight="1">
      <c r="A40" s="886" t="str">
        <f>'Compiled Articles'!O6</f>
        <v>Small Articles with Potential for semi-routine contact</v>
      </c>
      <c r="B40" s="461" t="s">
        <v>69</v>
      </c>
      <c r="C40" s="886" t="s">
        <v>1316</v>
      </c>
      <c r="D40" s="527">
        <v>1</v>
      </c>
      <c r="E40" s="640">
        <v>1</v>
      </c>
      <c r="F40" s="640">
        <v>1</v>
      </c>
      <c r="G40" s="567">
        <f>'Compiled Articles'!O12</f>
        <v>120</v>
      </c>
      <c r="H40" s="235">
        <f>'Compiled Articles'!$O$11</f>
        <v>365</v>
      </c>
      <c r="I40" s="235">
        <v>1</v>
      </c>
      <c r="J40" s="538">
        <f t="shared" si="59"/>
        <v>4.8000000000000001E-5</v>
      </c>
      <c r="K40" s="539">
        <f t="shared" ref="K40:K45" si="209">J40*G40/60</f>
        <v>9.6000000000000002E-5</v>
      </c>
      <c r="L40" s="553" t="s">
        <v>1395</v>
      </c>
      <c r="M40" s="541">
        <f>(INDEX('Dermal Calcs'!$B$79:$H$85, MATCH($L40,'Dermal Calcs'!$A$79:$A$85, 0), MATCH(M$3, 'Dermal Calcs'!$B$78:$H$78, 0)))*$K40*$D40</f>
        <v>2.9730700179533224E-4</v>
      </c>
      <c r="N40" s="542">
        <f>(INDEX('Dermal Calcs'!$B$79:$H$85, MATCH($L40,'Dermal Calcs'!$A$79:$A$85, 0), MATCH(N$3, 'Dermal Calcs'!$B$78:$H$78, 0)))*$K40*$E40</f>
        <v>2.7821229050279333E-4</v>
      </c>
      <c r="O40" s="542">
        <f>(INDEX('Dermal Calcs'!$B$79:$H$85, MATCH($L40,'Dermal Calcs'!$A$79:$A$85, 0), MATCH(O$3, 'Dermal Calcs'!$B$78:$H$78, 0)))*$K40*$E40</f>
        <v>3.0422535211267607E-4</v>
      </c>
      <c r="P40" s="543">
        <f>(INDEX('Dermal Calcs'!$B$79:$H$85, MATCH($L40,'Dermal Calcs'!$A$79:$A$85, 0), MATCH(P$3, 'Dermal Calcs'!$B$78:$H$78, 0)))*$K40*$F40</f>
        <v>3.8490566037735848E-4</v>
      </c>
      <c r="Q40" s="543">
        <f>(INDEX('Dermal Calcs'!$B$79:$H$85, MATCH($L40,'Dermal Calcs'!$A$79:$A$85, 0), MATCH(Q$3, 'Dermal Calcs'!$B$78:$H$78, 0)))*$K40*$F40</f>
        <v>4.7741935483870966E-4</v>
      </c>
      <c r="R40" s="543">
        <f>(INDEX('Dermal Calcs'!$B$79:$H$85, MATCH($L40,'Dermal Calcs'!$A$79:$A$85, 0), MATCH(R$3, 'Dermal Calcs'!$B$78:$H$78, 0)))*$K40*$F40</f>
        <v>5.5238095238095231E-4</v>
      </c>
      <c r="S40" s="544">
        <f>(INDEX('Dermal Calcs'!$B$79:$H$85, MATCH($L40,'Dermal Calcs'!$A$79:$A$85, 0), MATCH(S$3, 'Dermal Calcs'!$B$78:$H$78, 0)))*$K40*$F40</f>
        <v>6.4595744680851072E-4</v>
      </c>
      <c r="T40" s="541">
        <f t="shared" si="193"/>
        <v>0.10851705565529626</v>
      </c>
      <c r="U40" s="542">
        <f t="shared" si="194"/>
        <v>0.10154748603351957</v>
      </c>
      <c r="V40" s="542">
        <f t="shared" si="195"/>
        <v>0.11104225352112677</v>
      </c>
      <c r="W40" s="545">
        <f t="shared" si="196"/>
        <v>0.14049056603773585</v>
      </c>
      <c r="X40" s="545">
        <f t="shared" si="197"/>
        <v>0.17425806451612902</v>
      </c>
      <c r="Y40" s="545">
        <f t="shared" si="198"/>
        <v>0.20161904761904759</v>
      </c>
      <c r="Z40" s="545">
        <f t="shared" si="199"/>
        <v>0.23577446808510641</v>
      </c>
      <c r="AA40" s="541">
        <f t="shared" si="200"/>
        <v>2.9730700179533224E-4</v>
      </c>
      <c r="AB40" s="542">
        <f t="shared" si="201"/>
        <v>2.7821229050279333E-4</v>
      </c>
      <c r="AC40" s="545">
        <f t="shared" si="202"/>
        <v>3.0422535211267607E-4</v>
      </c>
      <c r="AD40" s="545">
        <f t="shared" si="203"/>
        <v>3.8490566037735848E-4</v>
      </c>
      <c r="AE40" s="545">
        <f t="shared" si="204"/>
        <v>4.7741935483870966E-4</v>
      </c>
      <c r="AF40" s="545">
        <f t="shared" si="205"/>
        <v>5.5238095238095231E-4</v>
      </c>
      <c r="AG40" s="545">
        <f t="shared" si="206"/>
        <v>6.4595744680851072E-4</v>
      </c>
      <c r="AH40" s="546">
        <f t="shared" si="168"/>
        <v>0.2973070017953322</v>
      </c>
      <c r="AI40" s="547">
        <f>(U40*1000)/365</f>
        <v>0.27821229050279334</v>
      </c>
      <c r="AJ40" s="547">
        <f t="shared" si="170"/>
        <v>0.3042253521126761</v>
      </c>
      <c r="AK40" s="547">
        <f t="shared" si="171"/>
        <v>0.38490566037735846</v>
      </c>
      <c r="AL40" s="547">
        <f t="shared" si="172"/>
        <v>0.47741935483870968</v>
      </c>
      <c r="AM40" s="547">
        <f t="shared" si="173"/>
        <v>0.55238095238095231</v>
      </c>
      <c r="AN40" s="548">
        <f t="shared" si="174"/>
        <v>0.64595744680851075</v>
      </c>
      <c r="AO40" s="547">
        <f t="shared" si="139"/>
        <v>0.29730700179533226</v>
      </c>
      <c r="AP40" s="547">
        <f t="shared" si="140"/>
        <v>0.27821229050279334</v>
      </c>
      <c r="AQ40" s="547">
        <f t="shared" si="141"/>
        <v>0.3042253521126761</v>
      </c>
      <c r="AR40" s="547">
        <f t="shared" si="142"/>
        <v>0.38490566037735846</v>
      </c>
      <c r="AS40" s="547">
        <f t="shared" si="143"/>
        <v>0.47741935483870968</v>
      </c>
      <c r="AT40" s="547">
        <f t="shared" si="144"/>
        <v>0.55238095238095231</v>
      </c>
      <c r="AU40" s="548">
        <f t="shared" si="145"/>
        <v>0.64595744680851075</v>
      </c>
      <c r="AV40" s="541">
        <f t="shared" si="159"/>
        <v>0.2973070017953322</v>
      </c>
      <c r="AW40" s="542">
        <f t="shared" si="160"/>
        <v>0.29121882130773469</v>
      </c>
      <c r="AX40" s="545">
        <f t="shared" si="161"/>
        <v>0.51516585360138278</v>
      </c>
      <c r="AY40" s="541">
        <f t="shared" si="162"/>
        <v>0.29730700179533226</v>
      </c>
      <c r="AZ40" s="542">
        <f t="shared" si="163"/>
        <v>0.29121882130773469</v>
      </c>
      <c r="BA40" s="545">
        <f t="shared" si="164"/>
        <v>0.51516585360138278</v>
      </c>
      <c r="BB40" s="549">
        <f t="shared" si="135"/>
        <v>3699.8792270531394</v>
      </c>
      <c r="BC40" s="549">
        <f t="shared" si="136"/>
        <v>3953.8152610441762</v>
      </c>
      <c r="BD40" s="549">
        <f t="shared" si="183"/>
        <v>3615.7407407407404</v>
      </c>
      <c r="BE40" s="549">
        <f t="shared" si="184"/>
        <v>2857.8431372549021</v>
      </c>
      <c r="BF40" s="549">
        <f t="shared" si="185"/>
        <v>2304.0540540540542</v>
      </c>
      <c r="BG40" s="549">
        <f t="shared" si="186"/>
        <v>1991.3793103448279</v>
      </c>
      <c r="BH40" s="549">
        <f t="shared" si="187"/>
        <v>1702.8985507246373</v>
      </c>
      <c r="BI40" s="551">
        <f t="shared" si="207"/>
        <v>3699.8792270531385</v>
      </c>
      <c r="BJ40" s="551">
        <f t="shared" si="208"/>
        <v>3953.8152610441762</v>
      </c>
      <c r="BK40" s="551">
        <f t="shared" si="188"/>
        <v>3615.7407407407404</v>
      </c>
      <c r="BL40" s="551">
        <f t="shared" si="189"/>
        <v>2857.8431372549021</v>
      </c>
      <c r="BM40" s="551">
        <f t="shared" si="190"/>
        <v>2304.0540540540542</v>
      </c>
      <c r="BN40" s="551">
        <f t="shared" si="191"/>
        <v>1991.3793103448279</v>
      </c>
      <c r="BO40" s="551">
        <f t="shared" si="192"/>
        <v>1702.8985507246373</v>
      </c>
    </row>
    <row r="41" spans="1:67">
      <c r="A41" s="887"/>
      <c r="B41" s="461" t="s">
        <v>1065</v>
      </c>
      <c r="C41" s="887"/>
      <c r="D41" s="527">
        <v>1</v>
      </c>
      <c r="E41" s="640">
        <v>1</v>
      </c>
      <c r="F41" s="640">
        <v>1</v>
      </c>
      <c r="G41" s="567">
        <f>'Compiled Articles'!O13</f>
        <v>60</v>
      </c>
      <c r="H41" s="235">
        <f>'Compiled Articles'!$O$11</f>
        <v>365</v>
      </c>
      <c r="I41" s="235">
        <v>1</v>
      </c>
      <c r="J41" s="538">
        <f t="shared" si="59"/>
        <v>4.8000000000000001E-5</v>
      </c>
      <c r="K41" s="539">
        <f t="shared" si="209"/>
        <v>4.8000000000000001E-5</v>
      </c>
      <c r="L41" s="553" t="s">
        <v>1395</v>
      </c>
      <c r="M41" s="541">
        <f>(INDEX('Dermal Calcs'!$B$79:$H$85, MATCH($L41,'Dermal Calcs'!$A$79:$A$85, 0), MATCH(M$3, 'Dermal Calcs'!$B$78:$H$78, 0)))*$K41*$D41</f>
        <v>1.4865350089766612E-4</v>
      </c>
      <c r="N41" s="542">
        <f>(INDEX('Dermal Calcs'!$B$79:$H$85, MATCH($L41,'Dermal Calcs'!$A$79:$A$85, 0), MATCH(N$3, 'Dermal Calcs'!$B$78:$H$78, 0)))*$K41*$E41</f>
        <v>1.3910614525139666E-4</v>
      </c>
      <c r="O41" s="542">
        <f>(INDEX('Dermal Calcs'!$B$79:$H$85, MATCH($L41,'Dermal Calcs'!$A$79:$A$85, 0), MATCH(O$3, 'Dermal Calcs'!$B$78:$H$78, 0)))*$K41*$E41</f>
        <v>1.5211267605633804E-4</v>
      </c>
      <c r="P41" s="543">
        <f>(INDEX('Dermal Calcs'!$B$79:$H$85, MATCH($L41,'Dermal Calcs'!$A$79:$A$85, 0), MATCH(P$3, 'Dermal Calcs'!$B$78:$H$78, 0)))*$K41*$F41</f>
        <v>1.9245283018867924E-4</v>
      </c>
      <c r="Q41" s="543">
        <f>(INDEX('Dermal Calcs'!$B$79:$H$85, MATCH($L41,'Dermal Calcs'!$A$79:$A$85, 0), MATCH(Q$3, 'Dermal Calcs'!$B$78:$H$78, 0)))*$K41*$F41</f>
        <v>2.3870967741935483E-4</v>
      </c>
      <c r="R41" s="543">
        <f>(INDEX('Dermal Calcs'!$B$79:$H$85, MATCH($L41,'Dermal Calcs'!$A$79:$A$85, 0), MATCH(R$3, 'Dermal Calcs'!$B$78:$H$78, 0)))*$K41*$F41</f>
        <v>2.7619047619047615E-4</v>
      </c>
      <c r="S41" s="544">
        <f>(INDEX('Dermal Calcs'!$B$79:$H$85, MATCH($L41,'Dermal Calcs'!$A$79:$A$85, 0), MATCH(S$3, 'Dermal Calcs'!$B$78:$H$78, 0)))*$K41*$F41</f>
        <v>3.2297872340425536E-4</v>
      </c>
      <c r="T41" s="554">
        <f t="shared" si="193"/>
        <v>5.4258527827648131E-2</v>
      </c>
      <c r="U41" s="555">
        <f t="shared" si="194"/>
        <v>5.0773743016759784E-2</v>
      </c>
      <c r="V41" s="555">
        <f t="shared" si="195"/>
        <v>5.5521126760563387E-2</v>
      </c>
      <c r="W41" s="556">
        <f t="shared" si="196"/>
        <v>7.0245283018867927E-2</v>
      </c>
      <c r="X41" s="556">
        <f t="shared" si="197"/>
        <v>8.7129032258064509E-2</v>
      </c>
      <c r="Y41" s="556">
        <f t="shared" si="198"/>
        <v>0.10080952380952379</v>
      </c>
      <c r="Z41" s="556">
        <f t="shared" si="199"/>
        <v>0.1178872340425532</v>
      </c>
      <c r="AA41" s="554">
        <f t="shared" si="200"/>
        <v>1.4865350089766612E-4</v>
      </c>
      <c r="AB41" s="555">
        <f t="shared" si="201"/>
        <v>1.3910614525139666E-4</v>
      </c>
      <c r="AC41" s="556">
        <f t="shared" si="202"/>
        <v>1.5211267605633804E-4</v>
      </c>
      <c r="AD41" s="556">
        <f t="shared" si="203"/>
        <v>1.9245283018867924E-4</v>
      </c>
      <c r="AE41" s="556">
        <f t="shared" si="204"/>
        <v>2.3870967741935483E-4</v>
      </c>
      <c r="AF41" s="556">
        <f t="shared" si="205"/>
        <v>2.7619047619047615E-4</v>
      </c>
      <c r="AG41" s="556">
        <f t="shared" si="206"/>
        <v>3.2297872340425536E-4</v>
      </c>
      <c r="AH41" s="546">
        <f t="shared" si="168"/>
        <v>0.1486535008976661</v>
      </c>
      <c r="AI41" s="547">
        <f t="shared" si="169"/>
        <v>0.13910614525139667</v>
      </c>
      <c r="AJ41" s="547">
        <f t="shared" si="170"/>
        <v>0.15211267605633805</v>
      </c>
      <c r="AK41" s="547">
        <f t="shared" si="171"/>
        <v>0.19245283018867923</v>
      </c>
      <c r="AL41" s="547">
        <f t="shared" si="172"/>
        <v>0.23870967741935484</v>
      </c>
      <c r="AM41" s="547">
        <f t="shared" si="173"/>
        <v>0.27619047619047615</v>
      </c>
      <c r="AN41" s="548">
        <f t="shared" si="174"/>
        <v>0.32297872340425537</v>
      </c>
      <c r="AO41" s="547">
        <f t="shared" si="139"/>
        <v>0.14865350089766613</v>
      </c>
      <c r="AP41" s="547">
        <f t="shared" si="140"/>
        <v>0.13910614525139667</v>
      </c>
      <c r="AQ41" s="547">
        <f t="shared" si="141"/>
        <v>0.15211267605633805</v>
      </c>
      <c r="AR41" s="547">
        <f t="shared" si="142"/>
        <v>0.19245283018867923</v>
      </c>
      <c r="AS41" s="547">
        <f t="shared" si="143"/>
        <v>0.23870967741935484</v>
      </c>
      <c r="AT41" s="547">
        <f t="shared" si="144"/>
        <v>0.27619047619047615</v>
      </c>
      <c r="AU41" s="548">
        <f t="shared" si="145"/>
        <v>0.32297872340425537</v>
      </c>
      <c r="AV41" s="554">
        <f t="shared" si="159"/>
        <v>0.1486535008976661</v>
      </c>
      <c r="AW41" s="555">
        <f t="shared" si="160"/>
        <v>0.14560941065386734</v>
      </c>
      <c r="AX41" s="556">
        <f t="shared" si="161"/>
        <v>0.25758292680069139</v>
      </c>
      <c r="AY41" s="554">
        <f t="shared" si="162"/>
        <v>0.14865350089766613</v>
      </c>
      <c r="AZ41" s="555">
        <f t="shared" si="163"/>
        <v>0.14560941065386734</v>
      </c>
      <c r="BA41" s="556">
        <f t="shared" si="164"/>
        <v>0.25758292680069139</v>
      </c>
      <c r="BB41" s="549">
        <f t="shared" si="135"/>
        <v>7399.7584541062788</v>
      </c>
      <c r="BC41" s="549">
        <f t="shared" si="136"/>
        <v>7907.6305220883523</v>
      </c>
      <c r="BD41" s="549">
        <f t="shared" si="183"/>
        <v>7231.4814814814808</v>
      </c>
      <c r="BE41" s="549">
        <f t="shared" si="184"/>
        <v>5715.6862745098042</v>
      </c>
      <c r="BF41" s="549">
        <f t="shared" si="185"/>
        <v>4608.1081081081084</v>
      </c>
      <c r="BG41" s="549">
        <f t="shared" si="186"/>
        <v>3982.7586206896558</v>
      </c>
      <c r="BH41" s="549">
        <f t="shared" si="187"/>
        <v>3405.7971014492746</v>
      </c>
      <c r="BI41" s="551">
        <f t="shared" si="207"/>
        <v>7399.758454106277</v>
      </c>
      <c r="BJ41" s="551">
        <f t="shared" si="208"/>
        <v>7907.6305220883523</v>
      </c>
      <c r="BK41" s="551">
        <f t="shared" si="188"/>
        <v>7231.4814814814808</v>
      </c>
      <c r="BL41" s="551">
        <f t="shared" si="189"/>
        <v>5715.6862745098042</v>
      </c>
      <c r="BM41" s="551">
        <f t="shared" si="190"/>
        <v>4608.1081081081084</v>
      </c>
      <c r="BN41" s="551">
        <f t="shared" si="191"/>
        <v>3982.7586206896558</v>
      </c>
      <c r="BO41" s="551">
        <f t="shared" si="192"/>
        <v>3405.7971014492746</v>
      </c>
    </row>
    <row r="42" spans="1:67">
      <c r="A42" s="888"/>
      <c r="B42" s="461" t="s">
        <v>65</v>
      </c>
      <c r="C42" s="888"/>
      <c r="D42" s="527">
        <v>1</v>
      </c>
      <c r="E42" s="640">
        <v>1</v>
      </c>
      <c r="F42" s="640">
        <v>1</v>
      </c>
      <c r="G42" s="567">
        <f>'Compiled Articles'!O14</f>
        <v>30</v>
      </c>
      <c r="H42" s="235">
        <f>'Compiled Articles'!$O$11</f>
        <v>365</v>
      </c>
      <c r="I42" s="235">
        <v>1</v>
      </c>
      <c r="J42" s="538">
        <f t="shared" si="59"/>
        <v>4.8000000000000001E-5</v>
      </c>
      <c r="K42" s="539">
        <f t="shared" si="209"/>
        <v>2.4000000000000001E-5</v>
      </c>
      <c r="L42" s="553" t="s">
        <v>1395</v>
      </c>
      <c r="M42" s="541">
        <f>(INDEX('Dermal Calcs'!$B$79:$H$85, MATCH($L42,'Dermal Calcs'!$A$79:$A$85, 0), MATCH(M$3, 'Dermal Calcs'!$B$78:$H$78, 0)))*$K42*$D42</f>
        <v>7.432675044883306E-5</v>
      </c>
      <c r="N42" s="542">
        <f>(INDEX('Dermal Calcs'!$B$79:$H$85, MATCH($L42,'Dermal Calcs'!$A$79:$A$85, 0), MATCH(N$3, 'Dermal Calcs'!$B$78:$H$78, 0)))*$K42*$E42</f>
        <v>6.9553072625698332E-5</v>
      </c>
      <c r="O42" s="542">
        <f>(INDEX('Dermal Calcs'!$B$79:$H$85, MATCH($L42,'Dermal Calcs'!$A$79:$A$85, 0), MATCH(O$3, 'Dermal Calcs'!$B$78:$H$78, 0)))*$K42*$E42</f>
        <v>7.6056338028169019E-5</v>
      </c>
      <c r="P42" s="543">
        <f>(INDEX('Dermal Calcs'!$B$79:$H$85, MATCH($L42,'Dermal Calcs'!$A$79:$A$85, 0), MATCH(P$3, 'Dermal Calcs'!$B$78:$H$78, 0)))*$K42*$F42</f>
        <v>9.6226415094339621E-5</v>
      </c>
      <c r="Q42" s="543">
        <f>(INDEX('Dermal Calcs'!$B$79:$H$85, MATCH($L42,'Dermal Calcs'!$A$79:$A$85, 0), MATCH(Q$3, 'Dermal Calcs'!$B$78:$H$78, 0)))*$K42*$F42</f>
        <v>1.1935483870967742E-4</v>
      </c>
      <c r="R42" s="543">
        <f>(INDEX('Dermal Calcs'!$B$79:$H$85, MATCH($L42,'Dermal Calcs'!$A$79:$A$85, 0), MATCH(R$3, 'Dermal Calcs'!$B$78:$H$78, 0)))*$K42*$F42</f>
        <v>1.3809523809523808E-4</v>
      </c>
      <c r="S42" s="544">
        <f>(INDEX('Dermal Calcs'!$B$79:$H$85, MATCH($L42,'Dermal Calcs'!$A$79:$A$85, 0), MATCH(S$3, 'Dermal Calcs'!$B$78:$H$78, 0)))*$K42*$F42</f>
        <v>1.6148936170212768E-4</v>
      </c>
      <c r="T42" s="561">
        <f t="shared" si="193"/>
        <v>2.7129263913824066E-2</v>
      </c>
      <c r="U42" s="562">
        <f t="shared" si="194"/>
        <v>2.5386871508379892E-2</v>
      </c>
      <c r="V42" s="562">
        <f t="shared" si="195"/>
        <v>2.7760563380281694E-2</v>
      </c>
      <c r="W42" s="563">
        <f t="shared" si="196"/>
        <v>3.5122641509433963E-2</v>
      </c>
      <c r="X42" s="563">
        <f t="shared" si="197"/>
        <v>4.3564516129032255E-2</v>
      </c>
      <c r="Y42" s="563">
        <f t="shared" si="198"/>
        <v>5.0404761904761897E-2</v>
      </c>
      <c r="Z42" s="571">
        <f t="shared" si="199"/>
        <v>5.8943617021276602E-2</v>
      </c>
      <c r="AA42" s="561">
        <f t="shared" si="200"/>
        <v>7.432675044883306E-5</v>
      </c>
      <c r="AB42" s="562">
        <f t="shared" si="201"/>
        <v>6.9553072625698332E-5</v>
      </c>
      <c r="AC42" s="563">
        <f t="shared" si="202"/>
        <v>7.6056338028169019E-5</v>
      </c>
      <c r="AD42" s="563">
        <f t="shared" si="203"/>
        <v>9.6226415094339621E-5</v>
      </c>
      <c r="AE42" s="563">
        <f t="shared" si="204"/>
        <v>1.1935483870967742E-4</v>
      </c>
      <c r="AF42" s="563">
        <f t="shared" si="205"/>
        <v>1.3809523809523808E-4</v>
      </c>
      <c r="AG42" s="563">
        <f t="shared" si="206"/>
        <v>1.6148936170212768E-4</v>
      </c>
      <c r="AH42" s="546">
        <f t="shared" si="168"/>
        <v>7.4326750448833051E-2</v>
      </c>
      <c r="AI42" s="547">
        <f t="shared" si="169"/>
        <v>6.9553072625698334E-2</v>
      </c>
      <c r="AJ42" s="547">
        <f t="shared" si="170"/>
        <v>7.6056338028169024E-2</v>
      </c>
      <c r="AK42" s="547">
        <f t="shared" si="171"/>
        <v>9.6226415094339615E-2</v>
      </c>
      <c r="AL42" s="547">
        <f t="shared" si="172"/>
        <v>0.11935483870967742</v>
      </c>
      <c r="AM42" s="547">
        <f t="shared" si="173"/>
        <v>0.13809523809523808</v>
      </c>
      <c r="AN42" s="548">
        <f t="shared" si="174"/>
        <v>0.16148936170212769</v>
      </c>
      <c r="AO42" s="547">
        <f t="shared" si="139"/>
        <v>7.4326750448833065E-2</v>
      </c>
      <c r="AP42" s="547">
        <f t="shared" si="140"/>
        <v>6.9553072625698334E-2</v>
      </c>
      <c r="AQ42" s="547">
        <f t="shared" si="141"/>
        <v>7.6056338028169024E-2</v>
      </c>
      <c r="AR42" s="547">
        <f t="shared" si="142"/>
        <v>9.6226415094339615E-2</v>
      </c>
      <c r="AS42" s="547">
        <f t="shared" si="143"/>
        <v>0.11935483870967742</v>
      </c>
      <c r="AT42" s="547">
        <f t="shared" si="144"/>
        <v>0.13809523809523808</v>
      </c>
      <c r="AU42" s="548">
        <f t="shared" si="145"/>
        <v>0.16148936170212769</v>
      </c>
      <c r="AV42" s="561">
        <f t="shared" si="159"/>
        <v>7.4326750448833051E-2</v>
      </c>
      <c r="AW42" s="562">
        <f t="shared" si="160"/>
        <v>7.2804705326933672E-2</v>
      </c>
      <c r="AX42" s="563">
        <f t="shared" si="161"/>
        <v>0.1287914634003457</v>
      </c>
      <c r="AY42" s="561">
        <f t="shared" si="162"/>
        <v>7.4326750448833065E-2</v>
      </c>
      <c r="AZ42" s="562">
        <f t="shared" si="163"/>
        <v>7.2804705326933672E-2</v>
      </c>
      <c r="BA42" s="563">
        <f t="shared" si="164"/>
        <v>0.1287914634003457</v>
      </c>
      <c r="BB42" s="549">
        <f t="shared" si="135"/>
        <v>14799.516908212558</v>
      </c>
      <c r="BC42" s="549">
        <f t="shared" si="136"/>
        <v>15815.261044176705</v>
      </c>
      <c r="BD42" s="549">
        <f t="shared" si="183"/>
        <v>14462.962962962962</v>
      </c>
      <c r="BE42" s="549">
        <f t="shared" si="184"/>
        <v>11431.372549019608</v>
      </c>
      <c r="BF42" s="549">
        <f t="shared" si="185"/>
        <v>9216.2162162162167</v>
      </c>
      <c r="BG42" s="549">
        <f t="shared" si="186"/>
        <v>7965.5172413793116</v>
      </c>
      <c r="BH42" s="549">
        <f t="shared" si="187"/>
        <v>6811.5942028985492</v>
      </c>
      <c r="BI42" s="551">
        <f t="shared" si="207"/>
        <v>14799.516908212554</v>
      </c>
      <c r="BJ42" s="551">
        <f t="shared" si="208"/>
        <v>15815.261044176705</v>
      </c>
      <c r="BK42" s="551">
        <f t="shared" si="188"/>
        <v>14462.962962962962</v>
      </c>
      <c r="BL42" s="551">
        <f t="shared" si="189"/>
        <v>11431.372549019608</v>
      </c>
      <c r="BM42" s="551">
        <f t="shared" si="190"/>
        <v>9216.2162162162167</v>
      </c>
      <c r="BN42" s="551">
        <f t="shared" si="191"/>
        <v>7965.5172413793116</v>
      </c>
      <c r="BO42" s="551">
        <f t="shared" si="192"/>
        <v>6811.5942028985492</v>
      </c>
    </row>
    <row r="43" spans="1:67" ht="14.5" customHeight="1">
      <c r="A43" s="886" t="str">
        <f>'Compiled Articles'!P6</f>
        <v>Vinyl Flooring</v>
      </c>
      <c r="B43" s="566" t="s">
        <v>69</v>
      </c>
      <c r="C43" s="886" t="s">
        <v>35</v>
      </c>
      <c r="D43" s="527">
        <v>1</v>
      </c>
      <c r="E43" s="640">
        <v>1</v>
      </c>
      <c r="F43" s="640">
        <v>1</v>
      </c>
      <c r="G43" s="567">
        <f>'Compiled Articles'!P12</f>
        <v>120</v>
      </c>
      <c r="H43" s="235">
        <f>'Compiled Articles'!$P$11</f>
        <v>365</v>
      </c>
      <c r="I43" s="235">
        <v>1</v>
      </c>
      <c r="J43" s="538">
        <f t="shared" si="59"/>
        <v>4.8000000000000001E-5</v>
      </c>
      <c r="K43" s="539">
        <f t="shared" si="209"/>
        <v>9.6000000000000002E-5</v>
      </c>
      <c r="L43" s="540" t="s">
        <v>1394</v>
      </c>
      <c r="M43" s="541">
        <f>(INDEX('Dermal Calcs'!$B$79:$H$85, MATCH($L43,'Dermal Calcs'!$A$79:$A$85, 0), MATCH(M$3, 'Dermal Calcs'!$B$78:$H$78, 0)))*$K43*$D43</f>
        <v>1.189228007181329E-3</v>
      </c>
      <c r="N43" s="542">
        <f>(INDEX('Dermal Calcs'!$B$79:$H$85, MATCH($L43,'Dermal Calcs'!$A$79:$A$85, 0), MATCH(N$3, 'Dermal Calcs'!$B$78:$H$78, 0)))*$K43*$E43</f>
        <v>1.1128491620111733E-3</v>
      </c>
      <c r="O43" s="542">
        <f>(INDEX('Dermal Calcs'!$B$79:$H$85, MATCH($L43,'Dermal Calcs'!$A$79:$A$85, 0), MATCH(O$3, 'Dermal Calcs'!$B$78:$H$78, 0)))*$K43*$E43</f>
        <v>1.2169014084507043E-3</v>
      </c>
      <c r="P43" s="543">
        <f>(INDEX('Dermal Calcs'!$B$79:$H$85, MATCH($L43,'Dermal Calcs'!$A$79:$A$85, 0), MATCH(P$3, 'Dermal Calcs'!$B$78:$H$78, 0)))*$K43*$F43</f>
        <v>1.5396226415094339E-3</v>
      </c>
      <c r="Q43" s="543">
        <f>(INDEX('Dermal Calcs'!$B$79:$H$85, MATCH($L43,'Dermal Calcs'!$A$79:$A$85, 0), MATCH(Q$3, 'Dermal Calcs'!$B$78:$H$78, 0)))*$K43*$F43</f>
        <v>1.9096774193548386E-3</v>
      </c>
      <c r="R43" s="543">
        <f>(INDEX('Dermal Calcs'!$B$79:$H$85, MATCH($L43,'Dermal Calcs'!$A$79:$A$85, 0), MATCH(R$3, 'Dermal Calcs'!$B$78:$H$78, 0)))*$K43*$F43</f>
        <v>2.2095238095238092E-3</v>
      </c>
      <c r="S43" s="544">
        <f>(INDEX('Dermal Calcs'!$B$79:$H$85, MATCH($L43,'Dermal Calcs'!$A$79:$A$85, 0), MATCH(S$3, 'Dermal Calcs'!$B$78:$H$78, 0)))*$K43*$F43</f>
        <v>2.5838297872340429E-3</v>
      </c>
      <c r="T43" s="541">
        <f t="shared" si="193"/>
        <v>0.43406822262118505</v>
      </c>
      <c r="U43" s="542">
        <f t="shared" si="194"/>
        <v>0.40618994413407827</v>
      </c>
      <c r="V43" s="542">
        <f t="shared" si="195"/>
        <v>0.4441690140845071</v>
      </c>
      <c r="W43" s="542">
        <f t="shared" si="196"/>
        <v>0.56196226415094341</v>
      </c>
      <c r="X43" s="542">
        <f t="shared" si="197"/>
        <v>0.69703225806451607</v>
      </c>
      <c r="Y43" s="542">
        <f t="shared" si="198"/>
        <v>0.80647619047619035</v>
      </c>
      <c r="Z43" s="542">
        <f t="shared" si="199"/>
        <v>0.94309787234042564</v>
      </c>
      <c r="AA43" s="541">
        <f t="shared" si="200"/>
        <v>1.189228007181329E-3</v>
      </c>
      <c r="AB43" s="542">
        <f t="shared" si="201"/>
        <v>1.1128491620111733E-3</v>
      </c>
      <c r="AC43" s="542">
        <f t="shared" si="202"/>
        <v>1.2169014084507043E-3</v>
      </c>
      <c r="AD43" s="542">
        <f t="shared" si="203"/>
        <v>1.5396226415094339E-3</v>
      </c>
      <c r="AE43" s="542">
        <f t="shared" si="204"/>
        <v>1.9096774193548386E-3</v>
      </c>
      <c r="AF43" s="542">
        <f t="shared" si="205"/>
        <v>2.2095238095238092E-3</v>
      </c>
      <c r="AG43" s="542">
        <f t="shared" si="206"/>
        <v>2.5838297872340429E-3</v>
      </c>
      <c r="AH43" s="546">
        <f t="shared" si="168"/>
        <v>1.1892280071813288</v>
      </c>
      <c r="AI43" s="547">
        <f t="shared" si="169"/>
        <v>1.1128491620111733</v>
      </c>
      <c r="AJ43" s="547">
        <f t="shared" si="170"/>
        <v>1.2169014084507044</v>
      </c>
      <c r="AK43" s="547">
        <f t="shared" si="171"/>
        <v>1.5396226415094338</v>
      </c>
      <c r="AL43" s="547">
        <f t="shared" si="172"/>
        <v>1.9096774193548387</v>
      </c>
      <c r="AM43" s="547">
        <f t="shared" si="173"/>
        <v>2.2095238095238092</v>
      </c>
      <c r="AN43" s="548">
        <f t="shared" si="174"/>
        <v>2.583829787234043</v>
      </c>
      <c r="AO43" s="547">
        <f t="shared" si="139"/>
        <v>1.189228007181329</v>
      </c>
      <c r="AP43" s="547">
        <f t="shared" si="140"/>
        <v>1.1128491620111733</v>
      </c>
      <c r="AQ43" s="547">
        <f t="shared" si="141"/>
        <v>1.2169014084507044</v>
      </c>
      <c r="AR43" s="547">
        <f t="shared" si="142"/>
        <v>1.5396226415094338</v>
      </c>
      <c r="AS43" s="547">
        <f t="shared" si="143"/>
        <v>1.9096774193548387</v>
      </c>
      <c r="AT43" s="547">
        <f t="shared" si="144"/>
        <v>2.2095238095238092</v>
      </c>
      <c r="AU43" s="548">
        <f t="shared" si="145"/>
        <v>2.583829787234043</v>
      </c>
      <c r="AV43" s="541">
        <f t="shared" si="159"/>
        <v>1.1892280071813288</v>
      </c>
      <c r="AW43" s="542">
        <f t="shared" si="160"/>
        <v>1.1648752852309388</v>
      </c>
      <c r="AX43" s="542">
        <f t="shared" si="161"/>
        <v>2.0606634144055311</v>
      </c>
      <c r="AY43" s="541">
        <f t="shared" si="162"/>
        <v>1.189228007181329</v>
      </c>
      <c r="AZ43" s="542">
        <f t="shared" si="163"/>
        <v>1.1648752852309388</v>
      </c>
      <c r="BA43" s="542">
        <f t="shared" si="164"/>
        <v>2.0606634144055311</v>
      </c>
      <c r="BB43" s="549">
        <f t="shared" si="135"/>
        <v>924.96980676328485</v>
      </c>
      <c r="BC43" s="549">
        <f t="shared" si="136"/>
        <v>988.45381526104404</v>
      </c>
      <c r="BD43" s="549">
        <f t="shared" si="183"/>
        <v>903.93518518518511</v>
      </c>
      <c r="BE43" s="549">
        <f t="shared" si="184"/>
        <v>714.46078431372553</v>
      </c>
      <c r="BF43" s="549">
        <f t="shared" si="185"/>
        <v>576.01351351351354</v>
      </c>
      <c r="BG43" s="549">
        <f t="shared" si="186"/>
        <v>497.84482758620697</v>
      </c>
      <c r="BH43" s="549">
        <f t="shared" si="187"/>
        <v>425.72463768115932</v>
      </c>
      <c r="BI43" s="551">
        <f t="shared" si="207"/>
        <v>924.96980676328462</v>
      </c>
      <c r="BJ43" s="551">
        <f t="shared" si="208"/>
        <v>988.45381526104404</v>
      </c>
      <c r="BK43" s="551">
        <f t="shared" si="188"/>
        <v>903.93518518518511</v>
      </c>
      <c r="BL43" s="551">
        <f t="shared" si="189"/>
        <v>714.46078431372553</v>
      </c>
      <c r="BM43" s="551">
        <f t="shared" si="190"/>
        <v>576.01351351351354</v>
      </c>
      <c r="BN43" s="551">
        <f t="shared" si="191"/>
        <v>497.84482758620697</v>
      </c>
      <c r="BO43" s="551">
        <f t="shared" si="192"/>
        <v>425.72463768115932</v>
      </c>
    </row>
    <row r="44" spans="1:67">
      <c r="A44" s="887"/>
      <c r="B44" s="461" t="s">
        <v>1065</v>
      </c>
      <c r="C44" s="887"/>
      <c r="D44" s="527">
        <v>1</v>
      </c>
      <c r="E44" s="640">
        <v>1</v>
      </c>
      <c r="F44" s="640">
        <v>1</v>
      </c>
      <c r="G44" s="567">
        <f>'Compiled Articles'!P13</f>
        <v>60</v>
      </c>
      <c r="H44" s="235">
        <f>'Compiled Articles'!$P$11</f>
        <v>365</v>
      </c>
      <c r="I44" s="235">
        <v>1</v>
      </c>
      <c r="J44" s="538">
        <f t="shared" si="59"/>
        <v>4.8000000000000001E-5</v>
      </c>
      <c r="K44" s="539">
        <f t="shared" si="209"/>
        <v>4.8000000000000001E-5</v>
      </c>
      <c r="L44" s="553" t="s">
        <v>1386</v>
      </c>
      <c r="M44" s="541">
        <f>(INDEX('Dermal Calcs'!$B$79:$H$85, MATCH($L44,'Dermal Calcs'!$A$79:$A$85, 0), MATCH(M$3, 'Dermal Calcs'!$B$78:$H$78, 0)))*$K44*$D44</f>
        <v>2.9730700179533224E-4</v>
      </c>
      <c r="N44" s="542">
        <f>(INDEX('Dermal Calcs'!$B$79:$H$85, MATCH($L44,'Dermal Calcs'!$A$79:$A$85, 0), MATCH(N$3, 'Dermal Calcs'!$B$78:$H$78, 0)))*$K44*$E44</f>
        <v>2.7821229050279333E-4</v>
      </c>
      <c r="O44" s="542">
        <f>(INDEX('Dermal Calcs'!$B$79:$H$85, MATCH($L44,'Dermal Calcs'!$A$79:$A$85, 0), MATCH(O$3, 'Dermal Calcs'!$B$78:$H$78, 0)))*$K44*$E44</f>
        <v>3.0422535211267607E-4</v>
      </c>
      <c r="P44" s="543">
        <f>(INDEX('Dermal Calcs'!$B$79:$H$85, MATCH($L44,'Dermal Calcs'!$A$79:$A$85, 0), MATCH(P$3, 'Dermal Calcs'!$B$78:$H$78, 0)))*$K44*$F44</f>
        <v>3.8490566037735848E-4</v>
      </c>
      <c r="Q44" s="543">
        <f>(INDEX('Dermal Calcs'!$B$79:$H$85, MATCH($L44,'Dermal Calcs'!$A$79:$A$85, 0), MATCH(Q$3, 'Dermal Calcs'!$B$78:$H$78, 0)))*$K44*$F44</f>
        <v>4.7741935483870966E-4</v>
      </c>
      <c r="R44" s="543">
        <f>(INDEX('Dermal Calcs'!$B$79:$H$85, MATCH($L44,'Dermal Calcs'!$A$79:$A$85, 0), MATCH(R$3, 'Dermal Calcs'!$B$78:$H$78, 0)))*$K44*$F44</f>
        <v>5.5238095238095231E-4</v>
      </c>
      <c r="S44" s="544">
        <f>(INDEX('Dermal Calcs'!$B$79:$H$85, MATCH($L44,'Dermal Calcs'!$A$79:$A$85, 0), MATCH(S$3, 'Dermal Calcs'!$B$78:$H$78, 0)))*$K44*$F44</f>
        <v>6.4595744680851072E-4</v>
      </c>
      <c r="T44" s="554">
        <f t="shared" si="193"/>
        <v>0.10851705565529626</v>
      </c>
      <c r="U44" s="555">
        <f t="shared" si="194"/>
        <v>0.10154748603351957</v>
      </c>
      <c r="V44" s="555">
        <f t="shared" si="195"/>
        <v>0.11104225352112677</v>
      </c>
      <c r="W44" s="555">
        <f t="shared" si="196"/>
        <v>0.14049056603773585</v>
      </c>
      <c r="X44" s="555">
        <f t="shared" si="197"/>
        <v>0.17425806451612902</v>
      </c>
      <c r="Y44" s="555">
        <f t="shared" si="198"/>
        <v>0.20161904761904759</v>
      </c>
      <c r="Z44" s="555">
        <f t="shared" si="199"/>
        <v>0.23577446808510641</v>
      </c>
      <c r="AA44" s="554">
        <f t="shared" si="200"/>
        <v>2.9730700179533224E-4</v>
      </c>
      <c r="AB44" s="555">
        <f t="shared" si="201"/>
        <v>2.7821229050279333E-4</v>
      </c>
      <c r="AC44" s="555">
        <f t="shared" si="202"/>
        <v>3.0422535211267607E-4</v>
      </c>
      <c r="AD44" s="555">
        <f t="shared" si="203"/>
        <v>3.8490566037735848E-4</v>
      </c>
      <c r="AE44" s="555">
        <f t="shared" si="204"/>
        <v>4.7741935483870966E-4</v>
      </c>
      <c r="AF44" s="555">
        <f t="shared" si="205"/>
        <v>5.5238095238095231E-4</v>
      </c>
      <c r="AG44" s="555">
        <f t="shared" si="206"/>
        <v>6.4595744680851072E-4</v>
      </c>
      <c r="AH44" s="546">
        <f t="shared" si="168"/>
        <v>0.2973070017953322</v>
      </c>
      <c r="AI44" s="547">
        <f t="shared" si="169"/>
        <v>0.27821229050279334</v>
      </c>
      <c r="AJ44" s="547">
        <f t="shared" si="170"/>
        <v>0.3042253521126761</v>
      </c>
      <c r="AK44" s="547">
        <f t="shared" si="171"/>
        <v>0.38490566037735846</v>
      </c>
      <c r="AL44" s="547">
        <f t="shared" si="172"/>
        <v>0.47741935483870968</v>
      </c>
      <c r="AM44" s="547">
        <f t="shared" si="173"/>
        <v>0.55238095238095231</v>
      </c>
      <c r="AN44" s="548">
        <f t="shared" si="174"/>
        <v>0.64595744680851075</v>
      </c>
      <c r="AO44" s="547">
        <f t="shared" si="139"/>
        <v>0.29730700179533226</v>
      </c>
      <c r="AP44" s="547">
        <f t="shared" si="140"/>
        <v>0.27821229050279334</v>
      </c>
      <c r="AQ44" s="547">
        <f t="shared" si="141"/>
        <v>0.3042253521126761</v>
      </c>
      <c r="AR44" s="547">
        <f t="shared" si="142"/>
        <v>0.38490566037735846</v>
      </c>
      <c r="AS44" s="547">
        <f t="shared" si="143"/>
        <v>0.47741935483870968</v>
      </c>
      <c r="AT44" s="547">
        <f t="shared" si="144"/>
        <v>0.55238095238095231</v>
      </c>
      <c r="AU44" s="548">
        <f t="shared" si="145"/>
        <v>0.64595744680851075</v>
      </c>
      <c r="AV44" s="554">
        <f t="shared" si="159"/>
        <v>0.2973070017953322</v>
      </c>
      <c r="AW44" s="555">
        <f t="shared" si="160"/>
        <v>0.29121882130773469</v>
      </c>
      <c r="AX44" s="555">
        <f t="shared" si="161"/>
        <v>0.51516585360138278</v>
      </c>
      <c r="AY44" s="554">
        <f t="shared" si="162"/>
        <v>0.29730700179533226</v>
      </c>
      <c r="AZ44" s="555">
        <f t="shared" si="163"/>
        <v>0.29121882130773469</v>
      </c>
      <c r="BA44" s="555">
        <f t="shared" si="164"/>
        <v>0.51516585360138278</v>
      </c>
      <c r="BB44" s="549">
        <f t="shared" si="135"/>
        <v>3699.8792270531394</v>
      </c>
      <c r="BC44" s="549">
        <f t="shared" si="136"/>
        <v>3953.8152610441762</v>
      </c>
      <c r="BD44" s="549">
        <f t="shared" si="183"/>
        <v>3615.7407407407404</v>
      </c>
      <c r="BE44" s="549">
        <f t="shared" si="184"/>
        <v>2857.8431372549021</v>
      </c>
      <c r="BF44" s="549">
        <f t="shared" si="185"/>
        <v>2304.0540540540542</v>
      </c>
      <c r="BG44" s="549">
        <f t="shared" si="186"/>
        <v>1991.3793103448279</v>
      </c>
      <c r="BH44" s="549">
        <f t="shared" si="187"/>
        <v>1702.8985507246373</v>
      </c>
      <c r="BI44" s="551">
        <f t="shared" si="207"/>
        <v>3699.8792270531385</v>
      </c>
      <c r="BJ44" s="551">
        <f t="shared" si="208"/>
        <v>3953.8152610441762</v>
      </c>
      <c r="BK44" s="551">
        <f t="shared" si="188"/>
        <v>3615.7407407407404</v>
      </c>
      <c r="BL44" s="551">
        <f t="shared" si="189"/>
        <v>2857.8431372549021</v>
      </c>
      <c r="BM44" s="551">
        <f t="shared" si="190"/>
        <v>2304.0540540540542</v>
      </c>
      <c r="BN44" s="551">
        <f t="shared" si="191"/>
        <v>1991.3793103448279</v>
      </c>
      <c r="BO44" s="551">
        <f t="shared" si="192"/>
        <v>1702.8985507246373</v>
      </c>
    </row>
    <row r="45" spans="1:67">
      <c r="A45" s="888"/>
      <c r="B45" s="559" t="s">
        <v>65</v>
      </c>
      <c r="C45" s="888"/>
      <c r="D45" s="527">
        <v>1</v>
      </c>
      <c r="E45" s="640">
        <v>1</v>
      </c>
      <c r="F45" s="640">
        <v>1</v>
      </c>
      <c r="G45" s="567">
        <f>'Compiled Articles'!P14</f>
        <v>30</v>
      </c>
      <c r="H45" s="235">
        <f>'Compiled Articles'!$P$11</f>
        <v>365</v>
      </c>
      <c r="I45" s="235">
        <v>1</v>
      </c>
      <c r="J45" s="538">
        <f t="shared" si="59"/>
        <v>4.8000000000000001E-5</v>
      </c>
      <c r="K45" s="539">
        <f t="shared" si="209"/>
        <v>2.4000000000000001E-5</v>
      </c>
      <c r="L45" s="560" t="s">
        <v>1390</v>
      </c>
      <c r="M45" s="541">
        <f>(INDEX('Dermal Calcs'!$B$79:$H$85, MATCH($L45,'Dermal Calcs'!$A$79:$A$85, 0), MATCH(M$3, 'Dermal Calcs'!$B$78:$H$78, 0)))*$K45*$D45</f>
        <v>2.9730700179533224E-5</v>
      </c>
      <c r="N45" s="542">
        <f>(INDEX('Dermal Calcs'!$B$79:$H$85, MATCH($L45,'Dermal Calcs'!$A$79:$A$85, 0), MATCH(N$3, 'Dermal Calcs'!$B$78:$H$78, 0)))*$K45*$E45</f>
        <v>2.7821229050279337E-5</v>
      </c>
      <c r="O45" s="542">
        <f>(INDEX('Dermal Calcs'!$B$79:$H$85, MATCH($L45,'Dermal Calcs'!$A$79:$A$85, 0), MATCH(O$3, 'Dermal Calcs'!$B$78:$H$78, 0)))*$K45*$E45</f>
        <v>3.042253521126761E-5</v>
      </c>
      <c r="P45" s="543">
        <f>(INDEX('Dermal Calcs'!$B$79:$H$85, MATCH($L45,'Dermal Calcs'!$A$79:$A$85, 0), MATCH(P$3, 'Dermal Calcs'!$B$78:$H$78, 0)))*$K45*$F45</f>
        <v>3.8490566037735847E-5</v>
      </c>
      <c r="Q45" s="543">
        <f>(INDEX('Dermal Calcs'!$B$79:$H$85, MATCH($L45,'Dermal Calcs'!$A$79:$A$85, 0), MATCH(Q$3, 'Dermal Calcs'!$B$78:$H$78, 0)))*$K45*$F45</f>
        <v>4.7741935483870966E-5</v>
      </c>
      <c r="R45" s="543">
        <f>(INDEX('Dermal Calcs'!$B$79:$H$85, MATCH($L45,'Dermal Calcs'!$A$79:$A$85, 0), MATCH(R$3, 'Dermal Calcs'!$B$78:$H$78, 0)))*$K45*$F45</f>
        <v>5.5238095238095237E-5</v>
      </c>
      <c r="S45" s="544">
        <f>(INDEX('Dermal Calcs'!$B$79:$H$85, MATCH($L45,'Dermal Calcs'!$A$79:$A$85, 0), MATCH(S$3, 'Dermal Calcs'!$B$78:$H$78, 0)))*$K45*$F45</f>
        <v>6.4595744680851069E-5</v>
      </c>
      <c r="T45" s="561">
        <f t="shared" si="193"/>
        <v>1.0851705565529626E-2</v>
      </c>
      <c r="U45" s="562">
        <f t="shared" si="194"/>
        <v>1.0154748603351959E-2</v>
      </c>
      <c r="V45" s="562">
        <f t="shared" si="195"/>
        <v>1.1104225352112678E-2</v>
      </c>
      <c r="W45" s="562">
        <f t="shared" si="196"/>
        <v>1.4049056603773584E-2</v>
      </c>
      <c r="X45" s="562">
        <f t="shared" si="197"/>
        <v>1.7425806451612902E-2</v>
      </c>
      <c r="Y45" s="562">
        <f t="shared" si="198"/>
        <v>2.0161904761904763E-2</v>
      </c>
      <c r="Z45" s="562">
        <f t="shared" si="199"/>
        <v>2.3577446808510639E-2</v>
      </c>
      <c r="AA45" s="561">
        <f t="shared" si="200"/>
        <v>2.9730700179533224E-5</v>
      </c>
      <c r="AB45" s="562">
        <f t="shared" si="201"/>
        <v>2.7821229050279337E-5</v>
      </c>
      <c r="AC45" s="562">
        <f t="shared" si="202"/>
        <v>3.042253521126761E-5</v>
      </c>
      <c r="AD45" s="562">
        <f t="shared" si="203"/>
        <v>3.8490566037735847E-5</v>
      </c>
      <c r="AE45" s="562">
        <f t="shared" si="204"/>
        <v>4.7741935483870966E-5</v>
      </c>
      <c r="AF45" s="562">
        <f t="shared" si="205"/>
        <v>5.5238095238095237E-5</v>
      </c>
      <c r="AG45" s="562">
        <f t="shared" si="206"/>
        <v>6.4595744680851069E-5</v>
      </c>
      <c r="AH45" s="546">
        <f t="shared" si="168"/>
        <v>2.973070017953322E-2</v>
      </c>
      <c r="AI45" s="547">
        <f t="shared" si="169"/>
        <v>2.7821229050279339E-2</v>
      </c>
      <c r="AJ45" s="547">
        <f t="shared" si="170"/>
        <v>3.0422535211267612E-2</v>
      </c>
      <c r="AK45" s="547">
        <f t="shared" si="171"/>
        <v>3.8490566037735846E-2</v>
      </c>
      <c r="AL45" s="547">
        <f t="shared" si="172"/>
        <v>4.774193548387097E-2</v>
      </c>
      <c r="AM45" s="547">
        <f t="shared" si="173"/>
        <v>5.5238095238095239E-2</v>
      </c>
      <c r="AN45" s="548">
        <f t="shared" si="174"/>
        <v>6.4595744680851067E-2</v>
      </c>
      <c r="AO45" s="547">
        <f t="shared" si="139"/>
        <v>2.9730700179533224E-2</v>
      </c>
      <c r="AP45" s="547">
        <f t="shared" si="140"/>
        <v>2.7821229050279336E-2</v>
      </c>
      <c r="AQ45" s="547">
        <f t="shared" si="141"/>
        <v>3.0422535211267608E-2</v>
      </c>
      <c r="AR45" s="547">
        <f t="shared" si="142"/>
        <v>3.8490566037735846E-2</v>
      </c>
      <c r="AS45" s="547">
        <f t="shared" si="143"/>
        <v>4.7741935483870963E-2</v>
      </c>
      <c r="AT45" s="547">
        <f t="shared" si="144"/>
        <v>5.5238095238095239E-2</v>
      </c>
      <c r="AU45" s="548">
        <f t="shared" si="145"/>
        <v>6.4595744680851067E-2</v>
      </c>
      <c r="AV45" s="561">
        <f t="shared" si="159"/>
        <v>2.973070017953322E-2</v>
      </c>
      <c r="AW45" s="562">
        <f t="shared" si="160"/>
        <v>2.9121882130773481E-2</v>
      </c>
      <c r="AX45" s="562">
        <f t="shared" si="161"/>
        <v>5.1516585360138277E-2</v>
      </c>
      <c r="AY45" s="561">
        <f t="shared" si="162"/>
        <v>2.9730700179533224E-2</v>
      </c>
      <c r="AZ45" s="562">
        <f t="shared" si="163"/>
        <v>2.912188213077347E-2</v>
      </c>
      <c r="BA45" s="562">
        <f t="shared" si="164"/>
        <v>5.1516585360138277E-2</v>
      </c>
      <c r="BB45" s="549">
        <f t="shared" si="135"/>
        <v>36998.79227053139</v>
      </c>
      <c r="BC45" s="549">
        <f t="shared" si="136"/>
        <v>39538.152610441757</v>
      </c>
      <c r="BD45" s="549">
        <f t="shared" si="183"/>
        <v>36157.407407407401</v>
      </c>
      <c r="BE45" s="549">
        <f t="shared" si="184"/>
        <v>28578.431372549021</v>
      </c>
      <c r="BF45" s="549">
        <f t="shared" si="185"/>
        <v>23040.54054054054</v>
      </c>
      <c r="BG45" s="549">
        <f t="shared" si="186"/>
        <v>19913.793103448275</v>
      </c>
      <c r="BH45" s="549">
        <f t="shared" si="187"/>
        <v>17028.985507246376</v>
      </c>
      <c r="BI45" s="551">
        <f t="shared" si="207"/>
        <v>36998.79227053139</v>
      </c>
      <c r="BJ45" s="551">
        <f t="shared" si="208"/>
        <v>39538.152610441757</v>
      </c>
      <c r="BK45" s="551">
        <f t="shared" si="188"/>
        <v>36157.407407407401</v>
      </c>
      <c r="BL45" s="551">
        <f t="shared" si="189"/>
        <v>28578.431372549021</v>
      </c>
      <c r="BM45" s="551">
        <f t="shared" si="190"/>
        <v>23040.540540540544</v>
      </c>
      <c r="BN45" s="551">
        <f t="shared" si="191"/>
        <v>19913.793103448275</v>
      </c>
      <c r="BO45" s="551">
        <f t="shared" si="192"/>
        <v>17028.985507246376</v>
      </c>
    </row>
    <row r="46" spans="1:67" ht="14.5" customHeight="1">
      <c r="A46" s="886" t="str">
        <f>'Compiled Articles'!Q6</f>
        <v>Wallpaper (In Place)</v>
      </c>
      <c r="B46" s="461" t="s">
        <v>69</v>
      </c>
      <c r="C46" s="886" t="s">
        <v>1317</v>
      </c>
      <c r="D46" s="527">
        <v>0</v>
      </c>
      <c r="E46" s="640">
        <v>1</v>
      </c>
      <c r="F46" s="640">
        <v>1</v>
      </c>
      <c r="G46" s="567">
        <f>'Compiled Articles'!Q12</f>
        <v>60</v>
      </c>
      <c r="H46" s="235">
        <f>'Compiled Articles'!$Q$11</f>
        <v>365</v>
      </c>
      <c r="I46" s="235">
        <v>1</v>
      </c>
      <c r="J46" s="538">
        <f t="shared" si="59"/>
        <v>4.8000000000000001E-5</v>
      </c>
      <c r="K46" s="539">
        <f t="shared" si="36"/>
        <v>4.8000000000000001E-5</v>
      </c>
      <c r="L46" s="553" t="s">
        <v>1395</v>
      </c>
      <c r="M46" s="541">
        <f>(INDEX('Dermal Calcs'!$B$79:$H$85, MATCH($L46,'Dermal Calcs'!$A$79:$A$85, 0), MATCH(M$3, 'Dermal Calcs'!$B$78:$H$78, 0)))*$K46*$D46</f>
        <v>0</v>
      </c>
      <c r="N46" s="542">
        <f>(INDEX('Dermal Calcs'!$B$79:$H$85, MATCH($L46,'Dermal Calcs'!$A$79:$A$85, 0), MATCH(N$3, 'Dermal Calcs'!$B$78:$H$78, 0)))*$K46*$E46</f>
        <v>1.3910614525139666E-4</v>
      </c>
      <c r="O46" s="542">
        <f>(INDEX('Dermal Calcs'!$B$79:$H$85, MATCH($L46,'Dermal Calcs'!$A$79:$A$85, 0), MATCH(O$3, 'Dermal Calcs'!$B$78:$H$78, 0)))*$K46*$E46</f>
        <v>1.5211267605633804E-4</v>
      </c>
      <c r="P46" s="543">
        <f>(INDEX('Dermal Calcs'!$B$79:$H$85, MATCH($L46,'Dermal Calcs'!$A$79:$A$85, 0), MATCH(P$3, 'Dermal Calcs'!$B$78:$H$78, 0)))*$K46*$F46</f>
        <v>1.9245283018867924E-4</v>
      </c>
      <c r="Q46" s="543">
        <f>(INDEX('Dermal Calcs'!$B$79:$H$85, MATCH($L46,'Dermal Calcs'!$A$79:$A$85, 0), MATCH(Q$3, 'Dermal Calcs'!$B$78:$H$78, 0)))*$K46*$F46</f>
        <v>2.3870967741935483E-4</v>
      </c>
      <c r="R46" s="543">
        <f>(INDEX('Dermal Calcs'!$B$79:$H$85, MATCH($L46,'Dermal Calcs'!$A$79:$A$85, 0), MATCH(R$3, 'Dermal Calcs'!$B$78:$H$78, 0)))*$K46*$F46</f>
        <v>2.7619047619047615E-4</v>
      </c>
      <c r="S46" s="544">
        <f>(INDEX('Dermal Calcs'!$B$79:$H$85, MATCH($L46,'Dermal Calcs'!$A$79:$A$85, 0), MATCH(S$3, 'Dermal Calcs'!$B$78:$H$78, 0)))*$K46*$F46</f>
        <v>3.2297872340425536E-4</v>
      </c>
      <c r="T46" s="546">
        <f t="shared" si="193"/>
        <v>0</v>
      </c>
      <c r="U46" s="555">
        <f t="shared" si="194"/>
        <v>5.0773743016759784E-2</v>
      </c>
      <c r="V46" s="555">
        <f t="shared" si="195"/>
        <v>5.5521126760563387E-2</v>
      </c>
      <c r="W46" s="555">
        <f t="shared" si="196"/>
        <v>7.0245283018867927E-2</v>
      </c>
      <c r="X46" s="555">
        <f t="shared" si="197"/>
        <v>8.7129032258064509E-2</v>
      </c>
      <c r="Y46" s="555">
        <f t="shared" si="198"/>
        <v>0.10080952380952379</v>
      </c>
      <c r="Z46" s="555">
        <f t="shared" si="199"/>
        <v>0.1178872340425532</v>
      </c>
      <c r="AA46" s="572">
        <f t="shared" si="200"/>
        <v>0</v>
      </c>
      <c r="AB46" s="555">
        <f t="shared" si="201"/>
        <v>1.3910614525139666E-4</v>
      </c>
      <c r="AC46" s="555">
        <f t="shared" si="202"/>
        <v>1.5211267605633804E-4</v>
      </c>
      <c r="AD46" s="555">
        <f t="shared" si="203"/>
        <v>1.9245283018867924E-4</v>
      </c>
      <c r="AE46" s="555">
        <f t="shared" si="204"/>
        <v>2.3870967741935483E-4</v>
      </c>
      <c r="AF46" s="555">
        <f t="shared" si="205"/>
        <v>2.7619047619047615E-4</v>
      </c>
      <c r="AG46" s="555">
        <f t="shared" si="206"/>
        <v>3.2297872340425536E-4</v>
      </c>
      <c r="AH46" s="546">
        <f t="shared" si="168"/>
        <v>0</v>
      </c>
      <c r="AI46" s="547">
        <f t="shared" si="169"/>
        <v>0.13910614525139667</v>
      </c>
      <c r="AJ46" s="547">
        <f t="shared" si="170"/>
        <v>0.15211267605633805</v>
      </c>
      <c r="AK46" s="547">
        <f t="shared" si="171"/>
        <v>0.19245283018867923</v>
      </c>
      <c r="AL46" s="547">
        <f t="shared" si="172"/>
        <v>0.23870967741935484</v>
      </c>
      <c r="AM46" s="547">
        <f t="shared" si="173"/>
        <v>0.27619047619047615</v>
      </c>
      <c r="AN46" s="548">
        <f t="shared" si="174"/>
        <v>0.32297872340425537</v>
      </c>
      <c r="AO46" s="547">
        <f t="shared" si="139"/>
        <v>0</v>
      </c>
      <c r="AP46" s="547">
        <f t="shared" si="140"/>
        <v>0.13910614525139667</v>
      </c>
      <c r="AQ46" s="547">
        <f t="shared" si="141"/>
        <v>0.15211267605633805</v>
      </c>
      <c r="AR46" s="547">
        <f t="shared" si="142"/>
        <v>0.19245283018867923</v>
      </c>
      <c r="AS46" s="547">
        <f t="shared" si="143"/>
        <v>0.23870967741935484</v>
      </c>
      <c r="AT46" s="547">
        <f t="shared" si="144"/>
        <v>0.27619047619047615</v>
      </c>
      <c r="AU46" s="548">
        <f t="shared" si="145"/>
        <v>0.32297872340425537</v>
      </c>
      <c r="AV46" s="572">
        <f t="shared" si="159"/>
        <v>0</v>
      </c>
      <c r="AW46" s="555">
        <f t="shared" si="160"/>
        <v>0.14560941065386734</v>
      </c>
      <c r="AX46" s="555">
        <f t="shared" si="161"/>
        <v>0.25758292680069139</v>
      </c>
      <c r="AY46" s="572">
        <f t="shared" si="162"/>
        <v>0</v>
      </c>
      <c r="AZ46" s="555">
        <f t="shared" si="163"/>
        <v>0.14560941065386734</v>
      </c>
      <c r="BA46" s="555">
        <f t="shared" si="164"/>
        <v>0.25758292680069139</v>
      </c>
      <c r="BB46" s="549" t="e">
        <f t="shared" si="135"/>
        <v>#DIV/0!</v>
      </c>
      <c r="BC46" s="549">
        <f t="shared" si="136"/>
        <v>7907.6305220883523</v>
      </c>
      <c r="BD46" s="549">
        <f t="shared" si="183"/>
        <v>7231.4814814814808</v>
      </c>
      <c r="BE46" s="549">
        <f t="shared" si="184"/>
        <v>5715.6862745098042</v>
      </c>
      <c r="BF46" s="549">
        <f t="shared" si="185"/>
        <v>4608.1081081081084</v>
      </c>
      <c r="BG46" s="549">
        <f t="shared" si="186"/>
        <v>3982.7586206896558</v>
      </c>
      <c r="BH46" s="549">
        <f t="shared" si="187"/>
        <v>3405.7971014492746</v>
      </c>
      <c r="BI46" s="551" t="e">
        <f t="shared" si="207"/>
        <v>#DIV/0!</v>
      </c>
      <c r="BJ46" s="551">
        <f t="shared" si="208"/>
        <v>7907.6305220883523</v>
      </c>
      <c r="BK46" s="551">
        <f t="shared" si="188"/>
        <v>7231.4814814814808</v>
      </c>
      <c r="BL46" s="551">
        <f t="shared" si="189"/>
        <v>5715.6862745098042</v>
      </c>
      <c r="BM46" s="551">
        <f t="shared" si="190"/>
        <v>4608.1081081081084</v>
      </c>
      <c r="BN46" s="551">
        <f t="shared" si="191"/>
        <v>3982.7586206896558</v>
      </c>
      <c r="BO46" s="551">
        <f t="shared" si="192"/>
        <v>3405.7971014492746</v>
      </c>
    </row>
    <row r="47" spans="1:67">
      <c r="A47" s="887"/>
      <c r="B47" s="461" t="s">
        <v>1065</v>
      </c>
      <c r="C47" s="887"/>
      <c r="D47" s="527">
        <v>0</v>
      </c>
      <c r="E47" s="640">
        <v>1</v>
      </c>
      <c r="F47" s="640">
        <v>1</v>
      </c>
      <c r="G47" s="567">
        <f>'Compiled Articles'!Q13</f>
        <v>30</v>
      </c>
      <c r="H47" s="235">
        <f>'Compiled Articles'!$Q$11</f>
        <v>365</v>
      </c>
      <c r="I47" s="235">
        <v>1</v>
      </c>
      <c r="J47" s="538">
        <f t="shared" si="59"/>
        <v>4.8000000000000001E-5</v>
      </c>
      <c r="K47" s="539">
        <f t="shared" si="36"/>
        <v>2.4000000000000001E-5</v>
      </c>
      <c r="L47" s="553" t="s">
        <v>1395</v>
      </c>
      <c r="M47" s="541">
        <f>(INDEX('Dermal Calcs'!$B$79:$H$85, MATCH($L47,'Dermal Calcs'!$A$79:$A$85, 0), MATCH(M$3, 'Dermal Calcs'!$B$78:$H$78, 0)))*$K47*$D47</f>
        <v>0</v>
      </c>
      <c r="N47" s="542">
        <f>(INDEX('Dermal Calcs'!$B$79:$H$85, MATCH($L47,'Dermal Calcs'!$A$79:$A$85, 0), MATCH(N$3, 'Dermal Calcs'!$B$78:$H$78, 0)))*$K47*$E47</f>
        <v>6.9553072625698332E-5</v>
      </c>
      <c r="O47" s="542">
        <f>(INDEX('Dermal Calcs'!$B$79:$H$85, MATCH($L47,'Dermal Calcs'!$A$79:$A$85, 0), MATCH(O$3, 'Dermal Calcs'!$B$78:$H$78, 0)))*$K47*$E47</f>
        <v>7.6056338028169019E-5</v>
      </c>
      <c r="P47" s="543">
        <f>(INDEX('Dermal Calcs'!$B$79:$H$85, MATCH($L47,'Dermal Calcs'!$A$79:$A$85, 0), MATCH(P$3, 'Dermal Calcs'!$B$78:$H$78, 0)))*$K47*$F47</f>
        <v>9.6226415094339621E-5</v>
      </c>
      <c r="Q47" s="543">
        <f>(INDEX('Dermal Calcs'!$B$79:$H$85, MATCH($L47,'Dermal Calcs'!$A$79:$A$85, 0), MATCH(Q$3, 'Dermal Calcs'!$B$78:$H$78, 0)))*$K47*$F47</f>
        <v>1.1935483870967742E-4</v>
      </c>
      <c r="R47" s="543">
        <f>(INDEX('Dermal Calcs'!$B$79:$H$85, MATCH($L47,'Dermal Calcs'!$A$79:$A$85, 0), MATCH(R$3, 'Dermal Calcs'!$B$78:$H$78, 0)))*$K47*$F47</f>
        <v>1.3809523809523808E-4</v>
      </c>
      <c r="S47" s="544">
        <f>(INDEX('Dermal Calcs'!$B$79:$H$85, MATCH($L47,'Dermal Calcs'!$A$79:$A$85, 0), MATCH(S$3, 'Dermal Calcs'!$B$78:$H$78, 0)))*$K47*$F47</f>
        <v>1.6148936170212768E-4</v>
      </c>
      <c r="T47" s="546">
        <f t="shared" si="193"/>
        <v>0</v>
      </c>
      <c r="U47" s="555">
        <f t="shared" si="194"/>
        <v>2.5386871508379892E-2</v>
      </c>
      <c r="V47" s="555">
        <f t="shared" si="195"/>
        <v>2.7760563380281694E-2</v>
      </c>
      <c r="W47" s="555">
        <f t="shared" si="196"/>
        <v>3.5122641509433963E-2</v>
      </c>
      <c r="X47" s="555">
        <f t="shared" si="197"/>
        <v>4.3564516129032255E-2</v>
      </c>
      <c r="Y47" s="555">
        <f t="shared" si="198"/>
        <v>5.0404761904761897E-2</v>
      </c>
      <c r="Z47" s="555">
        <f t="shared" si="199"/>
        <v>5.8943617021276602E-2</v>
      </c>
      <c r="AA47" s="572">
        <f t="shared" si="200"/>
        <v>0</v>
      </c>
      <c r="AB47" s="555">
        <f t="shared" si="201"/>
        <v>6.9553072625698332E-5</v>
      </c>
      <c r="AC47" s="555">
        <f t="shared" si="202"/>
        <v>7.6056338028169019E-5</v>
      </c>
      <c r="AD47" s="555">
        <f t="shared" si="203"/>
        <v>9.6226415094339621E-5</v>
      </c>
      <c r="AE47" s="555">
        <f t="shared" si="204"/>
        <v>1.1935483870967742E-4</v>
      </c>
      <c r="AF47" s="555">
        <f t="shared" si="205"/>
        <v>1.3809523809523808E-4</v>
      </c>
      <c r="AG47" s="555">
        <f t="shared" si="206"/>
        <v>1.6148936170212768E-4</v>
      </c>
      <c r="AH47" s="546">
        <f t="shared" si="168"/>
        <v>0</v>
      </c>
      <c r="AI47" s="547">
        <f t="shared" si="169"/>
        <v>6.9553072625698334E-2</v>
      </c>
      <c r="AJ47" s="547">
        <f t="shared" si="170"/>
        <v>7.6056338028169024E-2</v>
      </c>
      <c r="AK47" s="547">
        <f t="shared" si="171"/>
        <v>9.6226415094339615E-2</v>
      </c>
      <c r="AL47" s="547">
        <f t="shared" si="172"/>
        <v>0.11935483870967742</v>
      </c>
      <c r="AM47" s="547">
        <f t="shared" si="173"/>
        <v>0.13809523809523808</v>
      </c>
      <c r="AN47" s="548">
        <f t="shared" si="174"/>
        <v>0.16148936170212769</v>
      </c>
      <c r="AO47" s="547">
        <f t="shared" si="139"/>
        <v>0</v>
      </c>
      <c r="AP47" s="547">
        <f t="shared" si="140"/>
        <v>6.9553072625698334E-2</v>
      </c>
      <c r="AQ47" s="547">
        <f t="shared" si="141"/>
        <v>7.6056338028169024E-2</v>
      </c>
      <c r="AR47" s="547">
        <f t="shared" si="142"/>
        <v>9.6226415094339615E-2</v>
      </c>
      <c r="AS47" s="547">
        <f t="shared" si="143"/>
        <v>0.11935483870967742</v>
      </c>
      <c r="AT47" s="547">
        <f t="shared" si="144"/>
        <v>0.13809523809523808</v>
      </c>
      <c r="AU47" s="548">
        <f t="shared" si="145"/>
        <v>0.16148936170212769</v>
      </c>
      <c r="AV47" s="572">
        <f t="shared" si="159"/>
        <v>0</v>
      </c>
      <c r="AW47" s="555">
        <f t="shared" si="160"/>
        <v>7.2804705326933672E-2</v>
      </c>
      <c r="AX47" s="555">
        <f t="shared" si="161"/>
        <v>0.1287914634003457</v>
      </c>
      <c r="AY47" s="572">
        <f t="shared" si="162"/>
        <v>0</v>
      </c>
      <c r="AZ47" s="555">
        <f t="shared" si="163"/>
        <v>7.2804705326933672E-2</v>
      </c>
      <c r="BA47" s="555">
        <f t="shared" si="164"/>
        <v>0.1287914634003457</v>
      </c>
      <c r="BB47" s="549" t="e">
        <f t="shared" si="135"/>
        <v>#DIV/0!</v>
      </c>
      <c r="BC47" s="549">
        <f t="shared" si="136"/>
        <v>15815.261044176705</v>
      </c>
      <c r="BD47" s="549">
        <f t="shared" si="183"/>
        <v>14462.962962962962</v>
      </c>
      <c r="BE47" s="549">
        <f t="shared" si="184"/>
        <v>11431.372549019608</v>
      </c>
      <c r="BF47" s="549">
        <f t="shared" si="185"/>
        <v>9216.2162162162167</v>
      </c>
      <c r="BG47" s="549">
        <f t="shared" si="186"/>
        <v>7965.5172413793116</v>
      </c>
      <c r="BH47" s="549">
        <f t="shared" si="187"/>
        <v>6811.5942028985492</v>
      </c>
      <c r="BI47" s="551" t="e">
        <f t="shared" si="207"/>
        <v>#DIV/0!</v>
      </c>
      <c r="BJ47" s="551">
        <f t="shared" si="208"/>
        <v>15815.261044176705</v>
      </c>
      <c r="BK47" s="551">
        <f t="shared" si="188"/>
        <v>14462.962962962962</v>
      </c>
      <c r="BL47" s="551">
        <f t="shared" si="189"/>
        <v>11431.372549019608</v>
      </c>
      <c r="BM47" s="551">
        <f t="shared" si="190"/>
        <v>9216.2162162162167</v>
      </c>
      <c r="BN47" s="551">
        <f t="shared" si="191"/>
        <v>7965.5172413793116</v>
      </c>
      <c r="BO47" s="551">
        <f t="shared" si="192"/>
        <v>6811.5942028985492</v>
      </c>
    </row>
    <row r="48" spans="1:67">
      <c r="A48" s="888"/>
      <c r="B48" s="461" t="s">
        <v>65</v>
      </c>
      <c r="C48" s="888"/>
      <c r="D48" s="527">
        <v>0</v>
      </c>
      <c r="E48" s="640">
        <v>1</v>
      </c>
      <c r="F48" s="640">
        <v>1</v>
      </c>
      <c r="G48" s="567">
        <f>'Compiled Articles'!Q14</f>
        <v>15</v>
      </c>
      <c r="H48" s="235">
        <f>'Compiled Articles'!$Q$11</f>
        <v>365</v>
      </c>
      <c r="I48" s="235">
        <v>1</v>
      </c>
      <c r="J48" s="538">
        <f t="shared" si="59"/>
        <v>4.8000000000000001E-5</v>
      </c>
      <c r="K48" s="539">
        <f t="shared" si="36"/>
        <v>1.2E-5</v>
      </c>
      <c r="L48" s="553" t="s">
        <v>1395</v>
      </c>
      <c r="M48" s="541">
        <f>(INDEX('Dermal Calcs'!$B$79:$H$85, MATCH($L48,'Dermal Calcs'!$A$79:$A$85, 0), MATCH(M$3, 'Dermal Calcs'!$B$78:$H$78, 0)))*$K48*$D48</f>
        <v>0</v>
      </c>
      <c r="N48" s="542">
        <f>(INDEX('Dermal Calcs'!$B$79:$H$85, MATCH($L48,'Dermal Calcs'!$A$79:$A$85, 0), MATCH(N$3, 'Dermal Calcs'!$B$78:$H$78, 0)))*$K48*$E48</f>
        <v>3.4776536312849166E-5</v>
      </c>
      <c r="O48" s="542">
        <f>(INDEX('Dermal Calcs'!$B$79:$H$85, MATCH($L48,'Dermal Calcs'!$A$79:$A$85, 0), MATCH(O$3, 'Dermal Calcs'!$B$78:$H$78, 0)))*$K48*$E48</f>
        <v>3.8028169014084509E-5</v>
      </c>
      <c r="P48" s="543">
        <f>(INDEX('Dermal Calcs'!$B$79:$H$85, MATCH($L48,'Dermal Calcs'!$A$79:$A$85, 0), MATCH(P$3, 'Dermal Calcs'!$B$78:$H$78, 0)))*$K48*$F48</f>
        <v>4.8113207547169811E-5</v>
      </c>
      <c r="Q48" s="543">
        <f>(INDEX('Dermal Calcs'!$B$79:$H$85, MATCH($L48,'Dermal Calcs'!$A$79:$A$85, 0), MATCH(Q$3, 'Dermal Calcs'!$B$78:$H$78, 0)))*$K48*$F48</f>
        <v>5.9677419354838708E-5</v>
      </c>
      <c r="R48" s="543">
        <f>(INDEX('Dermal Calcs'!$B$79:$H$85, MATCH($L48,'Dermal Calcs'!$A$79:$A$85, 0), MATCH(R$3, 'Dermal Calcs'!$B$78:$H$78, 0)))*$K48*$F48</f>
        <v>6.9047619047619038E-5</v>
      </c>
      <c r="S48" s="544">
        <f>(INDEX('Dermal Calcs'!$B$79:$H$85, MATCH($L48,'Dermal Calcs'!$A$79:$A$85, 0), MATCH(S$3, 'Dermal Calcs'!$B$78:$H$78, 0)))*$K48*$F48</f>
        <v>8.074468085106384E-5</v>
      </c>
      <c r="T48" s="546">
        <f t="shared" si="193"/>
        <v>0</v>
      </c>
      <c r="U48" s="555">
        <f t="shared" si="194"/>
        <v>1.2693435754189946E-2</v>
      </c>
      <c r="V48" s="555">
        <f t="shared" si="195"/>
        <v>1.3880281690140847E-2</v>
      </c>
      <c r="W48" s="555">
        <f t="shared" si="196"/>
        <v>1.7561320754716982E-2</v>
      </c>
      <c r="X48" s="555">
        <f t="shared" si="197"/>
        <v>2.1782258064516127E-2</v>
      </c>
      <c r="Y48" s="555">
        <f t="shared" si="198"/>
        <v>2.5202380952380948E-2</v>
      </c>
      <c r="Z48" s="555">
        <f t="shared" si="199"/>
        <v>2.9471808510638301E-2</v>
      </c>
      <c r="AA48" s="572">
        <f t="shared" si="200"/>
        <v>0</v>
      </c>
      <c r="AB48" s="555">
        <f t="shared" si="201"/>
        <v>3.4776536312849166E-5</v>
      </c>
      <c r="AC48" s="555">
        <f t="shared" si="202"/>
        <v>3.8028169014084509E-5</v>
      </c>
      <c r="AD48" s="555">
        <f t="shared" si="203"/>
        <v>4.8113207547169811E-5</v>
      </c>
      <c r="AE48" s="555">
        <f t="shared" si="204"/>
        <v>5.9677419354838708E-5</v>
      </c>
      <c r="AF48" s="555">
        <f t="shared" si="205"/>
        <v>6.9047619047619038E-5</v>
      </c>
      <c r="AG48" s="555">
        <f t="shared" si="206"/>
        <v>8.074468085106384E-5</v>
      </c>
      <c r="AH48" s="546">
        <f t="shared" si="168"/>
        <v>0</v>
      </c>
      <c r="AI48" s="547">
        <f t="shared" si="169"/>
        <v>3.4776536312849167E-2</v>
      </c>
      <c r="AJ48" s="547">
        <f t="shared" si="170"/>
        <v>3.8028169014084512E-2</v>
      </c>
      <c r="AK48" s="547">
        <f t="shared" si="171"/>
        <v>4.8113207547169808E-2</v>
      </c>
      <c r="AL48" s="547">
        <f t="shared" si="172"/>
        <v>5.9677419354838709E-2</v>
      </c>
      <c r="AM48" s="547">
        <f t="shared" si="173"/>
        <v>6.9047619047619038E-2</v>
      </c>
      <c r="AN48" s="548">
        <f t="shared" si="174"/>
        <v>8.0744680851063844E-2</v>
      </c>
      <c r="AO48" s="547">
        <f t="shared" si="139"/>
        <v>0</v>
      </c>
      <c r="AP48" s="547">
        <f t="shared" si="140"/>
        <v>3.4776536312849167E-2</v>
      </c>
      <c r="AQ48" s="547">
        <f t="shared" si="141"/>
        <v>3.8028169014084512E-2</v>
      </c>
      <c r="AR48" s="547">
        <f t="shared" si="142"/>
        <v>4.8113207547169808E-2</v>
      </c>
      <c r="AS48" s="547">
        <f t="shared" si="143"/>
        <v>5.9677419354838709E-2</v>
      </c>
      <c r="AT48" s="547">
        <f t="shared" si="144"/>
        <v>6.9047619047619038E-2</v>
      </c>
      <c r="AU48" s="548">
        <f t="shared" si="145"/>
        <v>8.0744680851063844E-2</v>
      </c>
      <c r="AV48" s="572">
        <f t="shared" si="159"/>
        <v>0</v>
      </c>
      <c r="AW48" s="555">
        <f t="shared" si="160"/>
        <v>3.6402352663466836E-2</v>
      </c>
      <c r="AX48" s="555">
        <f t="shared" si="161"/>
        <v>6.4395731700172848E-2</v>
      </c>
      <c r="AY48" s="572">
        <f t="shared" si="162"/>
        <v>0</v>
      </c>
      <c r="AZ48" s="555">
        <f t="shared" si="163"/>
        <v>3.6402352663466836E-2</v>
      </c>
      <c r="BA48" s="555">
        <f t="shared" si="164"/>
        <v>6.4395731700172848E-2</v>
      </c>
      <c r="BB48" s="549" t="e">
        <f t="shared" si="135"/>
        <v>#DIV/0!</v>
      </c>
      <c r="BC48" s="549">
        <f t="shared" si="136"/>
        <v>31630.522088353409</v>
      </c>
      <c r="BD48" s="549">
        <f t="shared" si="183"/>
        <v>28925.925925925923</v>
      </c>
      <c r="BE48" s="549">
        <f t="shared" si="184"/>
        <v>22862.745098039217</v>
      </c>
      <c r="BF48" s="549">
        <f t="shared" si="185"/>
        <v>18432.432432432433</v>
      </c>
      <c r="BG48" s="549">
        <f t="shared" si="186"/>
        <v>15931.034482758623</v>
      </c>
      <c r="BH48" s="549">
        <f t="shared" si="187"/>
        <v>13623.188405797098</v>
      </c>
      <c r="BI48" s="551" t="e">
        <f t="shared" si="207"/>
        <v>#DIV/0!</v>
      </c>
      <c r="BJ48" s="551">
        <f t="shared" si="208"/>
        <v>31630.522088353409</v>
      </c>
      <c r="BK48" s="551">
        <f t="shared" si="188"/>
        <v>28925.925925925923</v>
      </c>
      <c r="BL48" s="551">
        <f t="shared" si="189"/>
        <v>22862.745098039217</v>
      </c>
      <c r="BM48" s="551">
        <f t="shared" si="190"/>
        <v>18432.432432432433</v>
      </c>
      <c r="BN48" s="551">
        <f t="shared" si="191"/>
        <v>15931.034482758623</v>
      </c>
      <c r="BO48" s="551">
        <f t="shared" si="192"/>
        <v>13623.188405797098</v>
      </c>
    </row>
    <row r="49" spans="1:67" ht="14.5" customHeight="1">
      <c r="A49" s="886" t="str">
        <f>'Compiled Articles'!R6</f>
        <v>Wallpaper (Installation)</v>
      </c>
      <c r="B49" s="566" t="s">
        <v>69</v>
      </c>
      <c r="C49" s="886" t="s">
        <v>1318</v>
      </c>
      <c r="D49" s="527">
        <v>1</v>
      </c>
      <c r="E49" s="640">
        <v>1</v>
      </c>
      <c r="F49" s="640">
        <v>0</v>
      </c>
      <c r="G49" s="567">
        <f>'Compiled Articles'!R12</f>
        <v>480</v>
      </c>
      <c r="H49" s="235">
        <f>'Compiled Articles'!$R$11</f>
        <v>1</v>
      </c>
      <c r="I49" s="235">
        <v>1</v>
      </c>
      <c r="J49" s="538">
        <f t="shared" si="59"/>
        <v>4.8000000000000001E-5</v>
      </c>
      <c r="K49" s="539">
        <f t="shared" si="36"/>
        <v>3.8400000000000001E-4</v>
      </c>
      <c r="L49" s="540" t="s">
        <v>1386</v>
      </c>
      <c r="M49" s="541">
        <f>(INDEX('Dermal Calcs'!$B$79:$H$85, MATCH($L49,'Dermal Calcs'!$A$79:$A$85, 0), MATCH(M$3, 'Dermal Calcs'!$B$78:$H$78, 0)))*$K49*$D49</f>
        <v>2.3784560143626579E-3</v>
      </c>
      <c r="N49" s="542">
        <f>(INDEX('Dermal Calcs'!$B$79:$H$85, MATCH($L49,'Dermal Calcs'!$A$79:$A$85, 0), MATCH(N$3, 'Dermal Calcs'!$B$78:$H$78, 0)))*$K49*$E49</f>
        <v>2.2256983240223466E-3</v>
      </c>
      <c r="O49" s="542">
        <f>(INDEX('Dermal Calcs'!$B$79:$H$85, MATCH($L49,'Dermal Calcs'!$A$79:$A$85, 0), MATCH(O$3, 'Dermal Calcs'!$B$78:$H$78, 0)))*$K49*$E49</f>
        <v>2.4338028169014086E-3</v>
      </c>
      <c r="P49" s="543">
        <f>(INDEX('Dermal Calcs'!$B$79:$H$85, MATCH($L49,'Dermal Calcs'!$A$79:$A$85, 0), MATCH(P$3, 'Dermal Calcs'!$B$78:$H$78, 0)))*$K49*$F49</f>
        <v>0</v>
      </c>
      <c r="Q49" s="543">
        <f>(INDEX('Dermal Calcs'!$B$79:$H$85, MATCH($L49,'Dermal Calcs'!$A$79:$A$85, 0), MATCH(Q$3, 'Dermal Calcs'!$B$78:$H$78, 0)))*$K49*$F49</f>
        <v>0</v>
      </c>
      <c r="R49" s="543">
        <f>(INDEX('Dermal Calcs'!$B$79:$H$85, MATCH($L49,'Dermal Calcs'!$A$79:$A$85, 0), MATCH(R$3, 'Dermal Calcs'!$B$78:$H$78, 0)))*$K49*$F49</f>
        <v>0</v>
      </c>
      <c r="S49" s="544">
        <f>(INDEX('Dermal Calcs'!$B$79:$H$85, MATCH($L49,'Dermal Calcs'!$A$79:$A$85, 0), MATCH(S$3, 'Dermal Calcs'!$B$78:$H$78, 0)))*$K49*$F49</f>
        <v>0</v>
      </c>
      <c r="T49" s="573">
        <f t="shared" si="193"/>
        <v>2.3784560143626579E-3</v>
      </c>
      <c r="U49" s="542">
        <f t="shared" si="194"/>
        <v>2.2256983240223466E-3</v>
      </c>
      <c r="V49" s="542">
        <f t="shared" si="195"/>
        <v>2.4338028169014086E-3</v>
      </c>
      <c r="W49" s="542">
        <f t="shared" si="196"/>
        <v>0</v>
      </c>
      <c r="X49" s="542">
        <f t="shared" si="197"/>
        <v>0</v>
      </c>
      <c r="Y49" s="542">
        <f t="shared" si="198"/>
        <v>0</v>
      </c>
      <c r="Z49" s="542">
        <f t="shared" si="199"/>
        <v>0</v>
      </c>
      <c r="AA49" s="574">
        <f t="shared" si="200"/>
        <v>2.3784560143626579E-3</v>
      </c>
      <c r="AB49" s="542">
        <f t="shared" si="201"/>
        <v>2.2256983240223466E-3</v>
      </c>
      <c r="AC49" s="542">
        <f t="shared" si="202"/>
        <v>2.4338028169014086E-3</v>
      </c>
      <c r="AD49" s="542">
        <f t="shared" si="203"/>
        <v>0</v>
      </c>
      <c r="AE49" s="542">
        <f t="shared" si="204"/>
        <v>0</v>
      </c>
      <c r="AF49" s="542">
        <f t="shared" si="205"/>
        <v>0</v>
      </c>
      <c r="AG49" s="542">
        <f t="shared" si="206"/>
        <v>0</v>
      </c>
      <c r="AH49" s="546">
        <f t="shared" si="168"/>
        <v>6.5163178475689263E-3</v>
      </c>
      <c r="AI49" s="547">
        <f t="shared" si="169"/>
        <v>6.0978036274584842E-3</v>
      </c>
      <c r="AJ49" s="547">
        <f t="shared" si="170"/>
        <v>6.6679529230175586E-3</v>
      </c>
      <c r="AK49" s="547">
        <f t="shared" si="171"/>
        <v>0</v>
      </c>
      <c r="AL49" s="547">
        <f t="shared" si="172"/>
        <v>0</v>
      </c>
      <c r="AM49" s="547">
        <f t="shared" si="173"/>
        <v>0</v>
      </c>
      <c r="AN49" s="548">
        <f t="shared" si="174"/>
        <v>0</v>
      </c>
      <c r="AO49" s="547">
        <f t="shared" si="139"/>
        <v>2.3784560143626581</v>
      </c>
      <c r="AP49" s="547">
        <f t="shared" si="140"/>
        <v>2.2256983240223467</v>
      </c>
      <c r="AQ49" s="547">
        <f t="shared" si="141"/>
        <v>2.4338028169014088</v>
      </c>
      <c r="AR49" s="547">
        <f t="shared" si="142"/>
        <v>0</v>
      </c>
      <c r="AS49" s="547">
        <f t="shared" si="143"/>
        <v>0</v>
      </c>
      <c r="AT49" s="547">
        <f t="shared" si="144"/>
        <v>0</v>
      </c>
      <c r="AU49" s="548">
        <f t="shared" si="145"/>
        <v>0</v>
      </c>
      <c r="AV49" s="574">
        <f t="shared" si="159"/>
        <v>6.5163178475689263E-3</v>
      </c>
      <c r="AW49" s="542">
        <f t="shared" si="160"/>
        <v>6.3828782752380206E-3</v>
      </c>
      <c r="AX49" s="542">
        <f t="shared" si="161"/>
        <v>0</v>
      </c>
      <c r="AY49" s="574">
        <f t="shared" si="162"/>
        <v>2.3784560143626581</v>
      </c>
      <c r="AZ49" s="542">
        <f t="shared" si="163"/>
        <v>2.3297505704618775</v>
      </c>
      <c r="BA49" s="542">
        <f t="shared" si="164"/>
        <v>0</v>
      </c>
      <c r="BB49" s="549">
        <f t="shared" si="135"/>
        <v>168806.98973429945</v>
      </c>
      <c r="BC49" s="549">
        <f t="shared" si="136"/>
        <v>180392.82128514053</v>
      </c>
      <c r="BD49" s="549">
        <f t="shared" si="137"/>
        <v>164968.17129629626</v>
      </c>
      <c r="BE49" s="557" t="s">
        <v>47</v>
      </c>
      <c r="BF49" s="557" t="s">
        <v>47</v>
      </c>
      <c r="BG49" s="557" t="s">
        <v>47</v>
      </c>
      <c r="BH49" s="558" t="s">
        <v>47</v>
      </c>
      <c r="BI49" s="551">
        <f t="shared" si="207"/>
        <v>462.48490338164231</v>
      </c>
      <c r="BJ49" s="551">
        <f t="shared" si="208"/>
        <v>494.22690763052202</v>
      </c>
      <c r="BK49" s="551">
        <f t="shared" ref="BK49:BK72" si="210">1100/AQ49</f>
        <v>451.96759259259255</v>
      </c>
      <c r="BL49" s="557" t="s">
        <v>47</v>
      </c>
      <c r="BM49" s="557" t="s">
        <v>47</v>
      </c>
      <c r="BN49" s="557" t="s">
        <v>47</v>
      </c>
      <c r="BO49" s="558" t="s">
        <v>47</v>
      </c>
    </row>
    <row r="50" spans="1:67">
      <c r="A50" s="887"/>
      <c r="B50" s="461" t="s">
        <v>1065</v>
      </c>
      <c r="C50" s="887"/>
      <c r="D50" s="527">
        <v>1</v>
      </c>
      <c r="E50" s="640">
        <v>1</v>
      </c>
      <c r="F50" s="640">
        <v>0</v>
      </c>
      <c r="G50" s="567">
        <f>'Compiled Articles'!R13</f>
        <v>240</v>
      </c>
      <c r="H50" s="235">
        <f>'Compiled Articles'!$R$11</f>
        <v>1</v>
      </c>
      <c r="I50" s="235">
        <v>1</v>
      </c>
      <c r="J50" s="538">
        <f t="shared" si="59"/>
        <v>4.8000000000000001E-5</v>
      </c>
      <c r="K50" s="539">
        <f t="shared" si="36"/>
        <v>1.92E-4</v>
      </c>
      <c r="L50" s="553" t="s">
        <v>1386</v>
      </c>
      <c r="M50" s="541">
        <f>(INDEX('Dermal Calcs'!$B$79:$H$85, MATCH($L50,'Dermal Calcs'!$A$79:$A$85, 0), MATCH(M$3, 'Dermal Calcs'!$B$78:$H$78, 0)))*$K50*$D50</f>
        <v>1.189228007181329E-3</v>
      </c>
      <c r="N50" s="542">
        <f>(INDEX('Dermal Calcs'!$B$79:$H$85, MATCH($L50,'Dermal Calcs'!$A$79:$A$85, 0), MATCH(N$3, 'Dermal Calcs'!$B$78:$H$78, 0)))*$K50*$E50</f>
        <v>1.1128491620111733E-3</v>
      </c>
      <c r="O50" s="542">
        <f>(INDEX('Dermal Calcs'!$B$79:$H$85, MATCH($L50,'Dermal Calcs'!$A$79:$A$85, 0), MATCH(O$3, 'Dermal Calcs'!$B$78:$H$78, 0)))*$K50*$E50</f>
        <v>1.2169014084507043E-3</v>
      </c>
      <c r="P50" s="543">
        <f>(INDEX('Dermal Calcs'!$B$79:$H$85, MATCH($L50,'Dermal Calcs'!$A$79:$A$85, 0), MATCH(P$3, 'Dermal Calcs'!$B$78:$H$78, 0)))*$K50*$F50</f>
        <v>0</v>
      </c>
      <c r="Q50" s="543">
        <f>(INDEX('Dermal Calcs'!$B$79:$H$85, MATCH($L50,'Dermal Calcs'!$A$79:$A$85, 0), MATCH(Q$3, 'Dermal Calcs'!$B$78:$H$78, 0)))*$K50*$F50</f>
        <v>0</v>
      </c>
      <c r="R50" s="543">
        <f>(INDEX('Dermal Calcs'!$B$79:$H$85, MATCH($L50,'Dermal Calcs'!$A$79:$A$85, 0), MATCH(R$3, 'Dermal Calcs'!$B$78:$H$78, 0)))*$K50*$F50</f>
        <v>0</v>
      </c>
      <c r="S50" s="544">
        <f>(INDEX('Dermal Calcs'!$B$79:$H$85, MATCH($L50,'Dermal Calcs'!$A$79:$A$85, 0), MATCH(S$3, 'Dermal Calcs'!$B$78:$H$78, 0)))*$K50*$F50</f>
        <v>0</v>
      </c>
      <c r="T50" s="546">
        <f t="shared" si="193"/>
        <v>1.189228007181329E-3</v>
      </c>
      <c r="U50" s="555">
        <f t="shared" si="194"/>
        <v>1.1128491620111733E-3</v>
      </c>
      <c r="V50" s="555">
        <f t="shared" si="195"/>
        <v>1.2169014084507043E-3</v>
      </c>
      <c r="W50" s="555">
        <f t="shared" si="196"/>
        <v>0</v>
      </c>
      <c r="X50" s="555">
        <f t="shared" si="197"/>
        <v>0</v>
      </c>
      <c r="Y50" s="555">
        <f t="shared" si="198"/>
        <v>0</v>
      </c>
      <c r="Z50" s="555">
        <f t="shared" si="199"/>
        <v>0</v>
      </c>
      <c r="AA50" s="572">
        <f t="shared" si="200"/>
        <v>1.189228007181329E-3</v>
      </c>
      <c r="AB50" s="555">
        <f t="shared" si="201"/>
        <v>1.1128491620111733E-3</v>
      </c>
      <c r="AC50" s="555">
        <f t="shared" si="202"/>
        <v>1.2169014084507043E-3</v>
      </c>
      <c r="AD50" s="555">
        <f t="shared" si="203"/>
        <v>0</v>
      </c>
      <c r="AE50" s="555">
        <f t="shared" si="204"/>
        <v>0</v>
      </c>
      <c r="AF50" s="555">
        <f t="shared" si="205"/>
        <v>0</v>
      </c>
      <c r="AG50" s="555">
        <f t="shared" si="206"/>
        <v>0</v>
      </c>
      <c r="AH50" s="546">
        <f t="shared" si="168"/>
        <v>3.2581589237844631E-3</v>
      </c>
      <c r="AI50" s="547">
        <f t="shared" si="169"/>
        <v>3.0489018137292421E-3</v>
      </c>
      <c r="AJ50" s="547">
        <f t="shared" si="170"/>
        <v>3.3339764615087793E-3</v>
      </c>
      <c r="AK50" s="547">
        <f t="shared" si="171"/>
        <v>0</v>
      </c>
      <c r="AL50" s="547">
        <f t="shared" si="172"/>
        <v>0</v>
      </c>
      <c r="AM50" s="547">
        <f t="shared" si="173"/>
        <v>0</v>
      </c>
      <c r="AN50" s="548">
        <f t="shared" si="174"/>
        <v>0</v>
      </c>
      <c r="AO50" s="547">
        <f t="shared" si="139"/>
        <v>1.189228007181329</v>
      </c>
      <c r="AP50" s="547">
        <f t="shared" si="140"/>
        <v>1.1128491620111733</v>
      </c>
      <c r="AQ50" s="547">
        <f t="shared" si="141"/>
        <v>1.2169014084507044</v>
      </c>
      <c r="AR50" s="547">
        <f t="shared" si="142"/>
        <v>0</v>
      </c>
      <c r="AS50" s="547">
        <f t="shared" si="143"/>
        <v>0</v>
      </c>
      <c r="AT50" s="547">
        <f t="shared" si="144"/>
        <v>0</v>
      </c>
      <c r="AU50" s="548">
        <f t="shared" si="145"/>
        <v>0</v>
      </c>
      <c r="AV50" s="572">
        <f t="shared" si="159"/>
        <v>3.2581589237844631E-3</v>
      </c>
      <c r="AW50" s="555">
        <f t="shared" si="160"/>
        <v>3.1914391376190103E-3</v>
      </c>
      <c r="AX50" s="555">
        <f t="shared" si="161"/>
        <v>0</v>
      </c>
      <c r="AY50" s="572">
        <f t="shared" si="162"/>
        <v>1.189228007181329</v>
      </c>
      <c r="AZ50" s="555">
        <f t="shared" si="163"/>
        <v>1.1648752852309388</v>
      </c>
      <c r="BA50" s="555">
        <f t="shared" si="164"/>
        <v>0</v>
      </c>
      <c r="BB50" s="549">
        <f t="shared" si="135"/>
        <v>337613.9794685989</v>
      </c>
      <c r="BC50" s="549">
        <f t="shared" si="136"/>
        <v>360785.64257028105</v>
      </c>
      <c r="BD50" s="549">
        <f t="shared" si="137"/>
        <v>329936.34259259253</v>
      </c>
      <c r="BE50" s="557" t="s">
        <v>47</v>
      </c>
      <c r="BF50" s="557" t="s">
        <v>47</v>
      </c>
      <c r="BG50" s="557" t="s">
        <v>47</v>
      </c>
      <c r="BH50" s="558" t="s">
        <v>47</v>
      </c>
      <c r="BI50" s="551">
        <f t="shared" si="207"/>
        <v>924.96980676328462</v>
      </c>
      <c r="BJ50" s="551">
        <f t="shared" si="208"/>
        <v>988.45381526104404</v>
      </c>
      <c r="BK50" s="551">
        <f t="shared" si="210"/>
        <v>903.93518518518511</v>
      </c>
      <c r="BL50" s="557" t="s">
        <v>47</v>
      </c>
      <c r="BM50" s="557" t="s">
        <v>47</v>
      </c>
      <c r="BN50" s="557" t="s">
        <v>47</v>
      </c>
      <c r="BO50" s="558" t="s">
        <v>47</v>
      </c>
    </row>
    <row r="51" spans="1:67">
      <c r="A51" s="888"/>
      <c r="B51" s="559" t="s">
        <v>65</v>
      </c>
      <c r="C51" s="888"/>
      <c r="D51" s="530">
        <v>1</v>
      </c>
      <c r="E51" s="531">
        <v>1</v>
      </c>
      <c r="F51" s="531">
        <v>0</v>
      </c>
      <c r="G51" s="567">
        <f>'Compiled Articles'!R14</f>
        <v>120</v>
      </c>
      <c r="H51" s="235">
        <f>'Compiled Articles'!$R$11</f>
        <v>1</v>
      </c>
      <c r="I51" s="235">
        <v>1</v>
      </c>
      <c r="J51" s="538">
        <f t="shared" si="59"/>
        <v>4.8000000000000001E-5</v>
      </c>
      <c r="K51" s="539">
        <f t="shared" si="36"/>
        <v>9.6000000000000002E-5</v>
      </c>
      <c r="L51" s="560" t="s">
        <v>1386</v>
      </c>
      <c r="M51" s="541">
        <f>(INDEX('Dermal Calcs'!$B$79:$H$85, MATCH($L51,'Dermal Calcs'!$A$79:$A$85, 0), MATCH(M$3, 'Dermal Calcs'!$B$78:$H$78, 0)))*$K51*$D51</f>
        <v>5.9461400359066448E-4</v>
      </c>
      <c r="N51" s="542">
        <f>(INDEX('Dermal Calcs'!$B$79:$H$85, MATCH($L51,'Dermal Calcs'!$A$79:$A$85, 0), MATCH(N$3, 'Dermal Calcs'!$B$78:$H$78, 0)))*$K51*$E51</f>
        <v>5.5642458100558666E-4</v>
      </c>
      <c r="O51" s="542">
        <f>(INDEX('Dermal Calcs'!$B$79:$H$85, MATCH($L51,'Dermal Calcs'!$A$79:$A$85, 0), MATCH(O$3, 'Dermal Calcs'!$B$78:$H$78, 0)))*$K51*$E51</f>
        <v>6.0845070422535215E-4</v>
      </c>
      <c r="P51" s="543">
        <f>(INDEX('Dermal Calcs'!$B$79:$H$85, MATCH($L51,'Dermal Calcs'!$A$79:$A$85, 0), MATCH(P$3, 'Dermal Calcs'!$B$78:$H$78, 0)))*$K51*$F51</f>
        <v>0</v>
      </c>
      <c r="Q51" s="543">
        <f>(INDEX('Dermal Calcs'!$B$79:$H$85, MATCH($L51,'Dermal Calcs'!$A$79:$A$85, 0), MATCH(Q$3, 'Dermal Calcs'!$B$78:$H$78, 0)))*$K51*$F51</f>
        <v>0</v>
      </c>
      <c r="R51" s="543">
        <f>(INDEX('Dermal Calcs'!$B$79:$H$85, MATCH($L51,'Dermal Calcs'!$A$79:$A$85, 0), MATCH(R$3, 'Dermal Calcs'!$B$78:$H$78, 0)))*$K51*$F51</f>
        <v>0</v>
      </c>
      <c r="S51" s="544">
        <f>(INDEX('Dermal Calcs'!$B$79:$H$85, MATCH($L51,'Dermal Calcs'!$A$79:$A$85, 0), MATCH(S$3, 'Dermal Calcs'!$B$78:$H$78, 0)))*$K51*$F51</f>
        <v>0</v>
      </c>
      <c r="T51" s="575">
        <f t="shared" si="193"/>
        <v>5.9461400359066448E-4</v>
      </c>
      <c r="U51" s="562">
        <f t="shared" si="194"/>
        <v>5.5642458100558666E-4</v>
      </c>
      <c r="V51" s="562">
        <f t="shared" si="195"/>
        <v>6.0845070422535215E-4</v>
      </c>
      <c r="W51" s="562">
        <f t="shared" si="196"/>
        <v>0</v>
      </c>
      <c r="X51" s="562">
        <f t="shared" si="197"/>
        <v>0</v>
      </c>
      <c r="Y51" s="562">
        <f t="shared" si="198"/>
        <v>0</v>
      </c>
      <c r="Z51" s="562">
        <f t="shared" si="199"/>
        <v>0</v>
      </c>
      <c r="AA51" s="576">
        <f t="shared" si="200"/>
        <v>5.9461400359066448E-4</v>
      </c>
      <c r="AB51" s="562">
        <f t="shared" si="201"/>
        <v>5.5642458100558666E-4</v>
      </c>
      <c r="AC51" s="562">
        <f t="shared" si="202"/>
        <v>6.0845070422535215E-4</v>
      </c>
      <c r="AD51" s="562">
        <f t="shared" si="203"/>
        <v>0</v>
      </c>
      <c r="AE51" s="562">
        <f t="shared" si="204"/>
        <v>0</v>
      </c>
      <c r="AF51" s="562">
        <f t="shared" si="205"/>
        <v>0</v>
      </c>
      <c r="AG51" s="562">
        <f t="shared" si="206"/>
        <v>0</v>
      </c>
      <c r="AH51" s="546">
        <f t="shared" si="168"/>
        <v>1.6290794618922316E-3</v>
      </c>
      <c r="AI51" s="547">
        <f t="shared" si="169"/>
        <v>1.5244509068646211E-3</v>
      </c>
      <c r="AJ51" s="547">
        <f t="shared" si="170"/>
        <v>1.6669882307543897E-3</v>
      </c>
      <c r="AK51" s="547">
        <f t="shared" si="171"/>
        <v>0</v>
      </c>
      <c r="AL51" s="547">
        <f t="shared" si="172"/>
        <v>0</v>
      </c>
      <c r="AM51" s="547">
        <f t="shared" si="173"/>
        <v>0</v>
      </c>
      <c r="AN51" s="548">
        <f t="shared" si="174"/>
        <v>0</v>
      </c>
      <c r="AO51" s="547">
        <f t="shared" si="139"/>
        <v>0.59461400359066452</v>
      </c>
      <c r="AP51" s="547">
        <f t="shared" si="140"/>
        <v>0.55642458100558667</v>
      </c>
      <c r="AQ51" s="547">
        <f t="shared" si="141"/>
        <v>0.60845070422535219</v>
      </c>
      <c r="AR51" s="547">
        <f t="shared" si="142"/>
        <v>0</v>
      </c>
      <c r="AS51" s="547">
        <f t="shared" si="143"/>
        <v>0</v>
      </c>
      <c r="AT51" s="547">
        <f t="shared" si="144"/>
        <v>0</v>
      </c>
      <c r="AU51" s="548">
        <f t="shared" si="145"/>
        <v>0</v>
      </c>
      <c r="AV51" s="576">
        <f t="shared" si="159"/>
        <v>1.6290794618922316E-3</v>
      </c>
      <c r="AW51" s="562">
        <f t="shared" si="160"/>
        <v>1.5957195688095051E-3</v>
      </c>
      <c r="AX51" s="562">
        <f t="shared" si="161"/>
        <v>0</v>
      </c>
      <c r="AY51" s="576">
        <f t="shared" si="162"/>
        <v>0.59461400359066452</v>
      </c>
      <c r="AZ51" s="562">
        <f t="shared" si="163"/>
        <v>0.58243764261546938</v>
      </c>
      <c r="BA51" s="562">
        <f t="shared" si="164"/>
        <v>0</v>
      </c>
      <c r="BB51" s="549">
        <f t="shared" si="135"/>
        <v>675227.95893719781</v>
      </c>
      <c r="BC51" s="549">
        <f t="shared" si="136"/>
        <v>721571.2851405621</v>
      </c>
      <c r="BD51" s="549">
        <f t="shared" si="137"/>
        <v>659872.68518518505</v>
      </c>
      <c r="BE51" s="557" t="s">
        <v>47</v>
      </c>
      <c r="BF51" s="557" t="s">
        <v>47</v>
      </c>
      <c r="BG51" s="557" t="s">
        <v>47</v>
      </c>
      <c r="BH51" s="558" t="s">
        <v>47</v>
      </c>
      <c r="BI51" s="551">
        <f t="shared" si="207"/>
        <v>1849.9396135265692</v>
      </c>
      <c r="BJ51" s="551">
        <f t="shared" si="208"/>
        <v>1976.9076305220881</v>
      </c>
      <c r="BK51" s="551">
        <f t="shared" si="210"/>
        <v>1807.8703703703702</v>
      </c>
      <c r="BL51" s="557" t="s">
        <v>47</v>
      </c>
      <c r="BM51" s="557" t="s">
        <v>47</v>
      </c>
      <c r="BN51" s="557" t="s">
        <v>47</v>
      </c>
      <c r="BO51" s="558" t="s">
        <v>47</v>
      </c>
    </row>
    <row r="52" spans="1:67" ht="14.5" customHeight="1">
      <c r="A52" s="881" t="str">
        <f>'Compiled Products'!D1</f>
        <v>Auto Care Products</v>
      </c>
      <c r="B52" s="461" t="s">
        <v>69</v>
      </c>
      <c r="C52" s="881" t="s">
        <v>959</v>
      </c>
      <c r="D52" s="527">
        <v>1</v>
      </c>
      <c r="E52" s="640">
        <v>1</v>
      </c>
      <c r="F52" s="640">
        <v>0</v>
      </c>
      <c r="G52" s="567">
        <f>'Compiled Products'!D7</f>
        <v>120</v>
      </c>
      <c r="H52" s="244">
        <f>'Compiled Products'!D6</f>
        <v>52</v>
      </c>
      <c r="I52" s="244">
        <v>1</v>
      </c>
      <c r="J52" s="577">
        <f>$B$88</f>
        <v>2.5000000000000001E-5</v>
      </c>
      <c r="K52" s="539">
        <f t="shared" si="36"/>
        <v>5.0000000000000002E-5</v>
      </c>
      <c r="L52" s="553" t="s">
        <v>1390</v>
      </c>
      <c r="M52" s="541">
        <f>(INDEX('Dermal Calcs'!$B$79:$H$85, MATCH($L52,'Dermal Calcs'!$A$79:$A$85, 0), MATCH(M$3, 'Dermal Calcs'!$B$78:$H$78, 0)))*$K52*$D52</f>
        <v>6.1938958707360883E-5</v>
      </c>
      <c r="N52" s="542">
        <f>(INDEX('Dermal Calcs'!$B$79:$H$85, MATCH($L52,'Dermal Calcs'!$A$79:$A$85, 0), MATCH(N$3, 'Dermal Calcs'!$B$78:$H$78, 0)))*$K52*$E52</f>
        <v>5.7960893854748621E-5</v>
      </c>
      <c r="O52" s="542">
        <f>(INDEX('Dermal Calcs'!$B$79:$H$85, MATCH($L52,'Dermal Calcs'!$A$79:$A$85, 0), MATCH(O$3, 'Dermal Calcs'!$B$78:$H$78, 0)))*$K52*$E52</f>
        <v>6.3380281690140851E-5</v>
      </c>
      <c r="P52" s="543">
        <f>(INDEX('Dermal Calcs'!$B$79:$H$85, MATCH($L52,'Dermal Calcs'!$A$79:$A$85, 0), MATCH(P$3, 'Dermal Calcs'!$B$78:$H$78, 0)))*$K52*$F52</f>
        <v>0</v>
      </c>
      <c r="Q52" s="543">
        <f>(INDEX('Dermal Calcs'!$B$79:$H$85, MATCH($L52,'Dermal Calcs'!$A$79:$A$85, 0), MATCH(Q$3, 'Dermal Calcs'!$B$78:$H$78, 0)))*$K52*$F52</f>
        <v>0</v>
      </c>
      <c r="R52" s="543">
        <f>(INDEX('Dermal Calcs'!$B$79:$H$85, MATCH($L52,'Dermal Calcs'!$A$79:$A$85, 0), MATCH(R$3, 'Dermal Calcs'!$B$78:$H$78, 0)))*$K52*$F52</f>
        <v>0</v>
      </c>
      <c r="S52" s="544">
        <f>(INDEX('Dermal Calcs'!$B$79:$H$85, MATCH($L52,'Dermal Calcs'!$A$79:$A$85, 0), MATCH(S$3, 'Dermal Calcs'!$B$78:$H$78, 0)))*$K52*$F52</f>
        <v>0</v>
      </c>
      <c r="T52" s="554">
        <f t="shared" ref="T52:T69" si="211">M52*$H55</f>
        <v>3.2208258527827659E-3</v>
      </c>
      <c r="U52" s="555">
        <f t="shared" ref="U52:U69" si="212">N52*$H55</f>
        <v>3.0139664804469282E-3</v>
      </c>
      <c r="V52" s="555">
        <f t="shared" ref="V52:V69" si="213">O52*$H55</f>
        <v>3.2957746478873241E-3</v>
      </c>
      <c r="W52" s="556">
        <f t="shared" ref="W52:W69" si="214">P52*$H55</f>
        <v>0</v>
      </c>
      <c r="X52" s="556">
        <f t="shared" ref="X52:X69" si="215">Q52*$H55</f>
        <v>0</v>
      </c>
      <c r="Y52" s="556">
        <f t="shared" ref="Y52:Y69" si="216">R52*$H55</f>
        <v>0</v>
      </c>
      <c r="Z52" s="556">
        <f t="shared" ref="Z52:Z69" si="217">S52*$H55</f>
        <v>0</v>
      </c>
      <c r="AA52" s="554">
        <f>M52*$I52</f>
        <v>6.1938958707360883E-5</v>
      </c>
      <c r="AB52" s="555">
        <f t="shared" si="201"/>
        <v>5.7960893854748621E-5</v>
      </c>
      <c r="AC52" s="555">
        <f t="shared" si="202"/>
        <v>6.3380281690140851E-5</v>
      </c>
      <c r="AD52" s="556">
        <f t="shared" si="203"/>
        <v>0</v>
      </c>
      <c r="AE52" s="556">
        <f t="shared" si="204"/>
        <v>0</v>
      </c>
      <c r="AF52" s="556">
        <f t="shared" si="205"/>
        <v>0</v>
      </c>
      <c r="AG52" s="556">
        <f t="shared" si="206"/>
        <v>0</v>
      </c>
      <c r="AH52" s="546">
        <f t="shared" si="168"/>
        <v>8.8241804185829192E-3</v>
      </c>
      <c r="AI52" s="547">
        <f t="shared" si="169"/>
        <v>8.2574424121833658E-3</v>
      </c>
      <c r="AJ52" s="547">
        <f t="shared" si="170"/>
        <v>9.0295195832529422E-3</v>
      </c>
      <c r="AK52" s="547">
        <f t="shared" si="171"/>
        <v>0</v>
      </c>
      <c r="AL52" s="547">
        <f t="shared" si="172"/>
        <v>0</v>
      </c>
      <c r="AM52" s="547">
        <f t="shared" si="173"/>
        <v>0</v>
      </c>
      <c r="AN52" s="548">
        <f t="shared" si="174"/>
        <v>0</v>
      </c>
      <c r="AO52" s="406">
        <f t="shared" ref="AO52:AO69" si="218">AA52*1000</f>
        <v>6.193895870736088E-2</v>
      </c>
      <c r="AP52" s="406">
        <f t="shared" ref="AP52:AP69" si="219">AB52*1000</f>
        <v>5.7960893854748619E-2</v>
      </c>
      <c r="AQ52" s="406">
        <f t="shared" ref="AQ52:AQ69" si="220">AC52*1000</f>
        <v>6.3380281690140858E-2</v>
      </c>
      <c r="AR52" s="547">
        <f t="shared" ref="AR52:AR69" si="221">AD52*1000</f>
        <v>0</v>
      </c>
      <c r="AS52" s="547">
        <f t="shared" ref="AS52:AS69" si="222">AE52*1000</f>
        <v>0</v>
      </c>
      <c r="AT52" s="547">
        <f t="shared" ref="AT52:AT69" si="223">AF52*1000</f>
        <v>0</v>
      </c>
      <c r="AU52" s="548">
        <f t="shared" ref="AU52:AU69" si="224">AG52*1000</f>
        <v>0</v>
      </c>
      <c r="AV52" s="554">
        <f t="shared" si="159"/>
        <v>8.8241804185829192E-3</v>
      </c>
      <c r="AW52" s="555">
        <f t="shared" si="160"/>
        <v>8.6434809977181531E-3</v>
      </c>
      <c r="AX52" s="556">
        <f t="shared" si="161"/>
        <v>0</v>
      </c>
      <c r="AY52" s="554">
        <f t="shared" si="162"/>
        <v>6.193895870736088E-2</v>
      </c>
      <c r="AZ52" s="555">
        <f t="shared" si="163"/>
        <v>6.0670587772444738E-2</v>
      </c>
      <c r="BA52" s="556">
        <f t="shared" si="164"/>
        <v>0</v>
      </c>
      <c r="BB52" s="549">
        <f t="shared" si="135"/>
        <v>124657.46934225192</v>
      </c>
      <c r="BC52" s="549">
        <f t="shared" si="136"/>
        <v>133213.16033364221</v>
      </c>
      <c r="BD52" s="549">
        <f t="shared" si="137"/>
        <v>121822.64957264958</v>
      </c>
      <c r="BE52" s="557" t="s">
        <v>47</v>
      </c>
      <c r="BF52" s="557" t="s">
        <v>47</v>
      </c>
      <c r="BG52" s="557" t="s">
        <v>47</v>
      </c>
      <c r="BH52" s="558" t="s">
        <v>47</v>
      </c>
      <c r="BI52" s="551">
        <f t="shared" si="207"/>
        <v>17759.420289855068</v>
      </c>
      <c r="BJ52" s="551">
        <f t="shared" si="208"/>
        <v>18978.313253012042</v>
      </c>
      <c r="BK52" s="551">
        <f t="shared" si="210"/>
        <v>17355.555555555551</v>
      </c>
      <c r="BL52" s="557" t="s">
        <v>47</v>
      </c>
      <c r="BM52" s="557" t="s">
        <v>47</v>
      </c>
      <c r="BN52" s="557" t="s">
        <v>47</v>
      </c>
      <c r="BO52" s="558" t="s">
        <v>47</v>
      </c>
    </row>
    <row r="53" spans="1:67">
      <c r="A53" s="882"/>
      <c r="B53" s="461" t="s">
        <v>1065</v>
      </c>
      <c r="C53" s="882"/>
      <c r="D53" s="527">
        <v>1</v>
      </c>
      <c r="E53" s="640">
        <v>1</v>
      </c>
      <c r="F53" s="640">
        <v>0</v>
      </c>
      <c r="G53" s="567">
        <f>'Compiled Products'!D8</f>
        <v>60</v>
      </c>
      <c r="H53" s="61">
        <f>H52</f>
        <v>52</v>
      </c>
      <c r="I53" s="235">
        <f>I52</f>
        <v>1</v>
      </c>
      <c r="J53" s="577">
        <f t="shared" ref="J53:J72" si="225">$B$88</f>
        <v>2.5000000000000001E-5</v>
      </c>
      <c r="K53" s="539">
        <f t="shared" si="36"/>
        <v>2.5000000000000001E-5</v>
      </c>
      <c r="L53" s="553" t="s">
        <v>1390</v>
      </c>
      <c r="M53" s="541">
        <f>(INDEX('Dermal Calcs'!$B$79:$H$85, MATCH($L53,'Dermal Calcs'!$A$79:$A$85, 0), MATCH(M$3, 'Dermal Calcs'!$B$78:$H$78, 0)))*$K53*$D53</f>
        <v>3.0969479353680442E-5</v>
      </c>
      <c r="N53" s="542">
        <f>(INDEX('Dermal Calcs'!$B$79:$H$85, MATCH($L53,'Dermal Calcs'!$A$79:$A$85, 0), MATCH(N$3, 'Dermal Calcs'!$B$78:$H$78, 0)))*$K53*$E53</f>
        <v>2.8980446927374311E-5</v>
      </c>
      <c r="O53" s="542">
        <f>(INDEX('Dermal Calcs'!$B$79:$H$85, MATCH($L53,'Dermal Calcs'!$A$79:$A$85, 0), MATCH(O$3, 'Dermal Calcs'!$B$78:$H$78, 0)))*$K53*$E53</f>
        <v>3.1690140845070426E-5</v>
      </c>
      <c r="P53" s="543">
        <f>(INDEX('Dermal Calcs'!$B$79:$H$85, MATCH($L53,'Dermal Calcs'!$A$79:$A$85, 0), MATCH(P$3, 'Dermal Calcs'!$B$78:$H$78, 0)))*$K53*$F53</f>
        <v>0</v>
      </c>
      <c r="Q53" s="543">
        <f>(INDEX('Dermal Calcs'!$B$79:$H$85, MATCH($L53,'Dermal Calcs'!$A$79:$A$85, 0), MATCH(Q$3, 'Dermal Calcs'!$B$78:$H$78, 0)))*$K53*$F53</f>
        <v>0</v>
      </c>
      <c r="R53" s="543">
        <f>(INDEX('Dermal Calcs'!$B$79:$H$85, MATCH($L53,'Dermal Calcs'!$A$79:$A$85, 0), MATCH(R$3, 'Dermal Calcs'!$B$78:$H$78, 0)))*$K53*$F53</f>
        <v>0</v>
      </c>
      <c r="S53" s="544">
        <f>(INDEX('Dermal Calcs'!$B$79:$H$85, MATCH($L53,'Dermal Calcs'!$A$79:$A$85, 0), MATCH(S$3, 'Dermal Calcs'!$B$78:$H$78, 0)))*$K53*$F53</f>
        <v>0</v>
      </c>
      <c r="T53" s="554">
        <f t="shared" si="211"/>
        <v>1.610412926391383E-3</v>
      </c>
      <c r="U53" s="555">
        <f t="shared" si="212"/>
        <v>1.5069832402234641E-3</v>
      </c>
      <c r="V53" s="555">
        <f t="shared" si="213"/>
        <v>1.647887323943662E-3</v>
      </c>
      <c r="W53" s="556">
        <f t="shared" si="214"/>
        <v>0</v>
      </c>
      <c r="X53" s="556">
        <f t="shared" si="215"/>
        <v>0</v>
      </c>
      <c r="Y53" s="556">
        <f t="shared" si="216"/>
        <v>0</v>
      </c>
      <c r="Z53" s="556">
        <f t="shared" si="217"/>
        <v>0</v>
      </c>
      <c r="AA53" s="554">
        <f t="shared" ref="AA53:AA72" si="226">M53*$I53</f>
        <v>3.0969479353680442E-5</v>
      </c>
      <c r="AB53" s="555">
        <f t="shared" ref="AB53:AB72" si="227">N53*$I53</f>
        <v>2.8980446927374311E-5</v>
      </c>
      <c r="AC53" s="555">
        <f t="shared" ref="AC53:AC72" si="228">O53*$I53</f>
        <v>3.1690140845070426E-5</v>
      </c>
      <c r="AD53" s="556">
        <f t="shared" ref="AD53:AD72" si="229">P53*$I53</f>
        <v>0</v>
      </c>
      <c r="AE53" s="556">
        <f t="shared" ref="AE53:AE72" si="230">Q53*$I53</f>
        <v>0</v>
      </c>
      <c r="AF53" s="556">
        <f t="shared" ref="AF53:AF72" si="231">R53*$I53</f>
        <v>0</v>
      </c>
      <c r="AG53" s="556">
        <f t="shared" ref="AG53:AG72" si="232">S53*$I53</f>
        <v>0</v>
      </c>
      <c r="AH53" s="546">
        <f t="shared" si="168"/>
        <v>4.4120902092914596E-3</v>
      </c>
      <c r="AI53" s="547">
        <f t="shared" si="169"/>
        <v>4.1287212060916829E-3</v>
      </c>
      <c r="AJ53" s="547">
        <f t="shared" si="170"/>
        <v>4.5147597916264711E-3</v>
      </c>
      <c r="AK53" s="547">
        <f t="shared" si="171"/>
        <v>0</v>
      </c>
      <c r="AL53" s="547">
        <f t="shared" si="172"/>
        <v>0</v>
      </c>
      <c r="AM53" s="547">
        <f t="shared" si="173"/>
        <v>0</v>
      </c>
      <c r="AN53" s="548">
        <f t="shared" si="174"/>
        <v>0</v>
      </c>
      <c r="AO53" s="547">
        <f t="shared" si="218"/>
        <v>3.096947935368044E-2</v>
      </c>
      <c r="AP53" s="547">
        <f t="shared" si="219"/>
        <v>2.8980446927374309E-2</v>
      </c>
      <c r="AQ53" s="547">
        <f t="shared" si="220"/>
        <v>3.1690140845070429E-2</v>
      </c>
      <c r="AR53" s="547">
        <f t="shared" si="221"/>
        <v>0</v>
      </c>
      <c r="AS53" s="547">
        <f t="shared" si="222"/>
        <v>0</v>
      </c>
      <c r="AT53" s="547">
        <f t="shared" si="223"/>
        <v>0</v>
      </c>
      <c r="AU53" s="548">
        <f t="shared" si="224"/>
        <v>0</v>
      </c>
      <c r="AV53" s="554">
        <f t="shared" si="159"/>
        <v>4.4120902092914596E-3</v>
      </c>
      <c r="AW53" s="555">
        <f t="shared" si="160"/>
        <v>4.3217404988590766E-3</v>
      </c>
      <c r="AX53" s="556">
        <f t="shared" si="161"/>
        <v>0</v>
      </c>
      <c r="AY53" s="554">
        <f t="shared" si="162"/>
        <v>3.096947935368044E-2</v>
      </c>
      <c r="AZ53" s="555">
        <f t="shared" si="163"/>
        <v>3.0335293886222369E-2</v>
      </c>
      <c r="BA53" s="556">
        <f t="shared" si="164"/>
        <v>0</v>
      </c>
      <c r="BB53" s="549">
        <f t="shared" si="135"/>
        <v>249314.93868450384</v>
      </c>
      <c r="BC53" s="549">
        <f t="shared" si="136"/>
        <v>266426.32066728442</v>
      </c>
      <c r="BD53" s="549">
        <f t="shared" si="137"/>
        <v>243645.29914529916</v>
      </c>
      <c r="BE53" s="557" t="s">
        <v>47</v>
      </c>
      <c r="BF53" s="557" t="s">
        <v>47</v>
      </c>
      <c r="BG53" s="557" t="s">
        <v>47</v>
      </c>
      <c r="BH53" s="558" t="s">
        <v>47</v>
      </c>
      <c r="BI53" s="551">
        <f t="shared" si="207"/>
        <v>35518.840579710137</v>
      </c>
      <c r="BJ53" s="551">
        <f t="shared" si="208"/>
        <v>37956.626506024084</v>
      </c>
      <c r="BK53" s="551">
        <f t="shared" si="210"/>
        <v>34711.111111111102</v>
      </c>
      <c r="BL53" s="557" t="s">
        <v>47</v>
      </c>
      <c r="BM53" s="557" t="s">
        <v>47</v>
      </c>
      <c r="BN53" s="557" t="s">
        <v>47</v>
      </c>
      <c r="BO53" s="558" t="s">
        <v>47</v>
      </c>
    </row>
    <row r="54" spans="1:67">
      <c r="A54" s="883"/>
      <c r="B54" s="461" t="s">
        <v>65</v>
      </c>
      <c r="C54" s="883"/>
      <c r="D54" s="530">
        <v>1</v>
      </c>
      <c r="E54" s="531">
        <v>1</v>
      </c>
      <c r="F54" s="531">
        <v>0</v>
      </c>
      <c r="G54" s="567">
        <f>'Compiled Products'!D9</f>
        <v>30</v>
      </c>
      <c r="H54" s="61">
        <f>H53</f>
        <v>52</v>
      </c>
      <c r="I54" s="235">
        <f>I52</f>
        <v>1</v>
      </c>
      <c r="J54" s="577">
        <f t="shared" si="225"/>
        <v>2.5000000000000001E-5</v>
      </c>
      <c r="K54" s="539">
        <f t="shared" ref="K54:K72" si="233">J54*G54/60</f>
        <v>1.2500000000000001E-5</v>
      </c>
      <c r="L54" s="578" t="s">
        <v>1390</v>
      </c>
      <c r="M54" s="541">
        <f>(INDEX('Dermal Calcs'!$B$79:$H$85, MATCH($L54,'Dermal Calcs'!$A$79:$A$85, 0), MATCH(M$3, 'Dermal Calcs'!$B$78:$H$78, 0)))*$K54*$D54</f>
        <v>1.5484739676840221E-5</v>
      </c>
      <c r="N54" s="542">
        <f>(INDEX('Dermal Calcs'!$B$79:$H$85, MATCH($L54,'Dermal Calcs'!$A$79:$A$85, 0), MATCH(N$3, 'Dermal Calcs'!$B$78:$H$78, 0)))*$K54*$E54</f>
        <v>1.4490223463687155E-5</v>
      </c>
      <c r="O54" s="542">
        <f>(INDEX('Dermal Calcs'!$B$79:$H$85, MATCH($L54,'Dermal Calcs'!$A$79:$A$85, 0), MATCH(O$3, 'Dermal Calcs'!$B$78:$H$78, 0)))*$K54*$E54</f>
        <v>1.5845070422535213E-5</v>
      </c>
      <c r="P54" s="543">
        <f>(INDEX('Dermal Calcs'!$B$79:$H$85, MATCH($L54,'Dermal Calcs'!$A$79:$A$85, 0), MATCH(P$3, 'Dermal Calcs'!$B$78:$H$78, 0)))*$K54*$F54</f>
        <v>0</v>
      </c>
      <c r="Q54" s="543">
        <f>(INDEX('Dermal Calcs'!$B$79:$H$85, MATCH($L54,'Dermal Calcs'!$A$79:$A$85, 0), MATCH(Q$3, 'Dermal Calcs'!$B$78:$H$78, 0)))*$K54*$F54</f>
        <v>0</v>
      </c>
      <c r="R54" s="543">
        <f>(INDEX('Dermal Calcs'!$B$79:$H$85, MATCH($L54,'Dermal Calcs'!$A$79:$A$85, 0), MATCH(R$3, 'Dermal Calcs'!$B$78:$H$78, 0)))*$K54*$F54</f>
        <v>0</v>
      </c>
      <c r="S54" s="544">
        <f>(INDEX('Dermal Calcs'!$B$79:$H$85, MATCH($L54,'Dermal Calcs'!$A$79:$A$85, 0), MATCH(S$3, 'Dermal Calcs'!$B$78:$H$78, 0)))*$K54*$F54</f>
        <v>0</v>
      </c>
      <c r="T54" s="554">
        <f t="shared" si="211"/>
        <v>8.0520646319569148E-4</v>
      </c>
      <c r="U54" s="555">
        <f t="shared" si="212"/>
        <v>7.5349162011173205E-4</v>
      </c>
      <c r="V54" s="555">
        <f t="shared" si="213"/>
        <v>8.2394366197183102E-4</v>
      </c>
      <c r="W54" s="556">
        <f t="shared" si="214"/>
        <v>0</v>
      </c>
      <c r="X54" s="556">
        <f t="shared" si="215"/>
        <v>0</v>
      </c>
      <c r="Y54" s="556">
        <f t="shared" si="216"/>
        <v>0</v>
      </c>
      <c r="Z54" s="556">
        <f t="shared" si="217"/>
        <v>0</v>
      </c>
      <c r="AA54" s="554">
        <f t="shared" si="226"/>
        <v>1.5484739676840221E-5</v>
      </c>
      <c r="AB54" s="555">
        <f t="shared" si="227"/>
        <v>1.4490223463687155E-5</v>
      </c>
      <c r="AC54" s="555">
        <f t="shared" si="228"/>
        <v>1.5845070422535213E-5</v>
      </c>
      <c r="AD54" s="556">
        <f t="shared" si="229"/>
        <v>0</v>
      </c>
      <c r="AE54" s="556">
        <f t="shared" si="230"/>
        <v>0</v>
      </c>
      <c r="AF54" s="556">
        <f t="shared" si="231"/>
        <v>0</v>
      </c>
      <c r="AG54" s="556">
        <f t="shared" si="232"/>
        <v>0</v>
      </c>
      <c r="AH54" s="546">
        <f t="shared" si="168"/>
        <v>2.2060451046457298E-3</v>
      </c>
      <c r="AI54" s="547">
        <f t="shared" si="169"/>
        <v>2.0643606030458415E-3</v>
      </c>
      <c r="AJ54" s="547">
        <f t="shared" si="170"/>
        <v>2.2573798958132356E-3</v>
      </c>
      <c r="AK54" s="547">
        <f t="shared" si="171"/>
        <v>0</v>
      </c>
      <c r="AL54" s="547">
        <f t="shared" si="172"/>
        <v>0</v>
      </c>
      <c r="AM54" s="547">
        <f t="shared" si="173"/>
        <v>0</v>
      </c>
      <c r="AN54" s="548">
        <f t="shared" si="174"/>
        <v>0</v>
      </c>
      <c r="AO54" s="547">
        <f t="shared" si="218"/>
        <v>1.548473967684022E-2</v>
      </c>
      <c r="AP54" s="547">
        <f t="shared" si="219"/>
        <v>1.4490223463687155E-2</v>
      </c>
      <c r="AQ54" s="547">
        <f t="shared" si="220"/>
        <v>1.5845070422535214E-2</v>
      </c>
      <c r="AR54" s="547">
        <f t="shared" si="221"/>
        <v>0</v>
      </c>
      <c r="AS54" s="547">
        <f t="shared" si="222"/>
        <v>0</v>
      </c>
      <c r="AT54" s="547">
        <f t="shared" si="223"/>
        <v>0</v>
      </c>
      <c r="AU54" s="548">
        <f t="shared" si="224"/>
        <v>0</v>
      </c>
      <c r="AV54" s="554">
        <f t="shared" si="159"/>
        <v>2.2060451046457298E-3</v>
      </c>
      <c r="AW54" s="555">
        <f t="shared" si="160"/>
        <v>2.1608702494295383E-3</v>
      </c>
      <c r="AX54" s="556">
        <f t="shared" si="161"/>
        <v>0</v>
      </c>
      <c r="AY54" s="554">
        <f t="shared" si="162"/>
        <v>1.548473967684022E-2</v>
      </c>
      <c r="AZ54" s="555">
        <f t="shared" si="163"/>
        <v>1.5167646943111185E-2</v>
      </c>
      <c r="BA54" s="556">
        <f t="shared" si="164"/>
        <v>0</v>
      </c>
      <c r="BB54" s="549">
        <f t="shared" si="135"/>
        <v>498629.87736900768</v>
      </c>
      <c r="BC54" s="549">
        <f t="shared" si="136"/>
        <v>532852.64133456885</v>
      </c>
      <c r="BD54" s="549">
        <f t="shared" si="137"/>
        <v>487290.59829059831</v>
      </c>
      <c r="BE54" s="557" t="s">
        <v>47</v>
      </c>
      <c r="BF54" s="557" t="s">
        <v>47</v>
      </c>
      <c r="BG54" s="557" t="s">
        <v>47</v>
      </c>
      <c r="BH54" s="558" t="s">
        <v>47</v>
      </c>
      <c r="BI54" s="551">
        <f t="shared" si="207"/>
        <v>71037.681159420274</v>
      </c>
      <c r="BJ54" s="551">
        <f t="shared" si="208"/>
        <v>75913.253012048168</v>
      </c>
      <c r="BK54" s="551">
        <f t="shared" si="210"/>
        <v>69422.222222222204</v>
      </c>
      <c r="BL54" s="557" t="s">
        <v>47</v>
      </c>
      <c r="BM54" s="557" t="s">
        <v>47</v>
      </c>
      <c r="BN54" s="557" t="s">
        <v>47</v>
      </c>
      <c r="BO54" s="558" t="s">
        <v>47</v>
      </c>
    </row>
    <row r="55" spans="1:67" ht="14.5" customHeight="1">
      <c r="A55" s="881" t="str">
        <f>'Compiled Products'!E1</f>
        <v>Auto Coatings</v>
      </c>
      <c r="B55" s="566" t="s">
        <v>69</v>
      </c>
      <c r="C55" s="881" t="s">
        <v>960</v>
      </c>
      <c r="D55" s="527">
        <v>1</v>
      </c>
      <c r="E55" s="640">
        <v>1</v>
      </c>
      <c r="F55" s="640">
        <v>0</v>
      </c>
      <c r="G55" s="567">
        <f>'Compiled Products'!E7</f>
        <v>120</v>
      </c>
      <c r="H55" s="244">
        <f>'Compiled Products'!E6</f>
        <v>52</v>
      </c>
      <c r="I55" s="244">
        <v>1</v>
      </c>
      <c r="J55" s="577">
        <f t="shared" si="225"/>
        <v>2.5000000000000001E-5</v>
      </c>
      <c r="K55" s="539">
        <f t="shared" si="233"/>
        <v>5.0000000000000002E-5</v>
      </c>
      <c r="L55" s="553" t="s">
        <v>1390</v>
      </c>
      <c r="M55" s="541">
        <f>(INDEX('Dermal Calcs'!$B$79:$H$85, MATCH($L55,'Dermal Calcs'!$A$79:$A$85, 0), MATCH(M$3, 'Dermal Calcs'!$B$78:$H$78, 0)))*$K55*$D55</f>
        <v>6.1938958707360883E-5</v>
      </c>
      <c r="N55" s="542">
        <f>(INDEX('Dermal Calcs'!$B$79:$H$85, MATCH($L55,'Dermal Calcs'!$A$79:$A$85, 0), MATCH(N$3, 'Dermal Calcs'!$B$78:$H$78, 0)))*$K55*$E55</f>
        <v>5.7960893854748621E-5</v>
      </c>
      <c r="O55" s="542">
        <f>(INDEX('Dermal Calcs'!$B$79:$H$85, MATCH($L55,'Dermal Calcs'!$A$79:$A$85, 0), MATCH(O$3, 'Dermal Calcs'!$B$78:$H$78, 0)))*$K55*$E55</f>
        <v>6.3380281690140851E-5</v>
      </c>
      <c r="P55" s="543">
        <f>(INDEX('Dermal Calcs'!$B$79:$H$85, MATCH($L55,'Dermal Calcs'!$A$79:$A$85, 0), MATCH(P$3, 'Dermal Calcs'!$B$78:$H$78, 0)))*$K55*$F55</f>
        <v>0</v>
      </c>
      <c r="Q55" s="543">
        <f>(INDEX('Dermal Calcs'!$B$79:$H$85, MATCH($L55,'Dermal Calcs'!$A$79:$A$85, 0), MATCH(Q$3, 'Dermal Calcs'!$B$78:$H$78, 0)))*$K55*$F55</f>
        <v>0</v>
      </c>
      <c r="R55" s="543">
        <f>(INDEX('Dermal Calcs'!$B$79:$H$85, MATCH($L55,'Dermal Calcs'!$A$79:$A$85, 0), MATCH(R$3, 'Dermal Calcs'!$B$78:$H$78, 0)))*$K55*$F55</f>
        <v>0</v>
      </c>
      <c r="S55" s="544">
        <f>(INDEX('Dermal Calcs'!$B$79:$H$85, MATCH($L55,'Dermal Calcs'!$A$79:$A$85, 0), MATCH(S$3, 'Dermal Calcs'!$B$78:$H$78, 0)))*$K55*$F55</f>
        <v>0</v>
      </c>
      <c r="T55" s="541">
        <f t="shared" si="211"/>
        <v>1.2387791741472177E-4</v>
      </c>
      <c r="U55" s="542">
        <f t="shared" si="212"/>
        <v>1.1592178770949724E-4</v>
      </c>
      <c r="V55" s="542">
        <f t="shared" si="213"/>
        <v>1.267605633802817E-4</v>
      </c>
      <c r="W55" s="542">
        <f t="shared" si="214"/>
        <v>0</v>
      </c>
      <c r="X55" s="542">
        <f t="shared" si="215"/>
        <v>0</v>
      </c>
      <c r="Y55" s="542">
        <f t="shared" si="216"/>
        <v>0</v>
      </c>
      <c r="Z55" s="542">
        <f t="shared" si="217"/>
        <v>0</v>
      </c>
      <c r="AA55" s="541">
        <f t="shared" si="226"/>
        <v>6.1938958707360883E-5</v>
      </c>
      <c r="AB55" s="542">
        <f t="shared" si="227"/>
        <v>5.7960893854748621E-5</v>
      </c>
      <c r="AC55" s="542">
        <f t="shared" si="228"/>
        <v>6.3380281690140851E-5</v>
      </c>
      <c r="AD55" s="542">
        <f t="shared" si="229"/>
        <v>0</v>
      </c>
      <c r="AE55" s="542">
        <f t="shared" si="230"/>
        <v>0</v>
      </c>
      <c r="AF55" s="542">
        <f t="shared" si="231"/>
        <v>0</v>
      </c>
      <c r="AG55" s="542">
        <f t="shared" si="232"/>
        <v>0</v>
      </c>
      <c r="AH55" s="546">
        <f t="shared" si="168"/>
        <v>3.3939155456088151E-4</v>
      </c>
      <c r="AI55" s="547">
        <f t="shared" si="169"/>
        <v>3.1759393893012941E-4</v>
      </c>
      <c r="AJ55" s="547">
        <f t="shared" si="170"/>
        <v>3.4728921474049787E-4</v>
      </c>
      <c r="AK55" s="547">
        <f t="shared" si="171"/>
        <v>0</v>
      </c>
      <c r="AL55" s="547">
        <f t="shared" si="172"/>
        <v>0</v>
      </c>
      <c r="AM55" s="547">
        <f t="shared" si="173"/>
        <v>0</v>
      </c>
      <c r="AN55" s="548">
        <f t="shared" si="174"/>
        <v>0</v>
      </c>
      <c r="AO55" s="547">
        <f t="shared" si="218"/>
        <v>6.193895870736088E-2</v>
      </c>
      <c r="AP55" s="547">
        <f t="shared" si="219"/>
        <v>5.7960893854748619E-2</v>
      </c>
      <c r="AQ55" s="547">
        <f t="shared" si="220"/>
        <v>6.3380281690140858E-2</v>
      </c>
      <c r="AR55" s="547">
        <f t="shared" si="221"/>
        <v>0</v>
      </c>
      <c r="AS55" s="547">
        <f t="shared" si="222"/>
        <v>0</v>
      </c>
      <c r="AT55" s="547">
        <f t="shared" si="223"/>
        <v>0</v>
      </c>
      <c r="AU55" s="548">
        <f t="shared" si="224"/>
        <v>0</v>
      </c>
      <c r="AV55" s="541">
        <f t="shared" si="159"/>
        <v>3.3939155456088151E-4</v>
      </c>
      <c r="AW55" s="542">
        <f t="shared" si="160"/>
        <v>3.3244157683531362E-4</v>
      </c>
      <c r="AX55" s="542">
        <f t="shared" si="161"/>
        <v>0</v>
      </c>
      <c r="AY55" s="541">
        <f t="shared" si="162"/>
        <v>6.193895870736088E-2</v>
      </c>
      <c r="AZ55" s="542">
        <f t="shared" si="163"/>
        <v>6.0670587772444738E-2</v>
      </c>
      <c r="BA55" s="542">
        <f t="shared" si="164"/>
        <v>0</v>
      </c>
      <c r="BB55" s="549">
        <f t="shared" si="135"/>
        <v>3241094.2028985498</v>
      </c>
      <c r="BC55" s="549">
        <f t="shared" si="136"/>
        <v>3463542.1686746981</v>
      </c>
      <c r="BD55" s="549">
        <f t="shared" si="137"/>
        <v>3167388.8888888881</v>
      </c>
      <c r="BE55" s="557" t="s">
        <v>47</v>
      </c>
      <c r="BF55" s="557" t="s">
        <v>47</v>
      </c>
      <c r="BG55" s="557" t="s">
        <v>47</v>
      </c>
      <c r="BH55" s="558" t="s">
        <v>47</v>
      </c>
      <c r="BI55" s="551">
        <f t="shared" si="207"/>
        <v>17759.420289855068</v>
      </c>
      <c r="BJ55" s="551">
        <f t="shared" si="208"/>
        <v>18978.313253012042</v>
      </c>
      <c r="BK55" s="551">
        <f t="shared" si="210"/>
        <v>17355.555555555551</v>
      </c>
      <c r="BL55" s="557" t="s">
        <v>47</v>
      </c>
      <c r="BM55" s="557" t="s">
        <v>47</v>
      </c>
      <c r="BN55" s="557" t="s">
        <v>47</v>
      </c>
      <c r="BO55" s="558" t="s">
        <v>47</v>
      </c>
    </row>
    <row r="56" spans="1:67">
      <c r="A56" s="882"/>
      <c r="B56" s="461" t="s">
        <v>1065</v>
      </c>
      <c r="C56" s="882"/>
      <c r="D56" s="527">
        <v>1</v>
      </c>
      <c r="E56" s="640">
        <v>1</v>
      </c>
      <c r="F56" s="640">
        <v>0</v>
      </c>
      <c r="G56" s="567">
        <f>'Compiled Products'!E8</f>
        <v>60</v>
      </c>
      <c r="H56" s="235">
        <f>H55</f>
        <v>52</v>
      </c>
      <c r="I56" s="235">
        <f>I55</f>
        <v>1</v>
      </c>
      <c r="J56" s="577">
        <f t="shared" si="225"/>
        <v>2.5000000000000001E-5</v>
      </c>
      <c r="K56" s="539">
        <f t="shared" si="233"/>
        <v>2.5000000000000001E-5</v>
      </c>
      <c r="L56" s="553" t="s">
        <v>1390</v>
      </c>
      <c r="M56" s="541">
        <f>(INDEX('Dermal Calcs'!$B$79:$H$85, MATCH($L56,'Dermal Calcs'!$A$79:$A$85, 0), MATCH(M$3, 'Dermal Calcs'!$B$78:$H$78, 0)))*$K56*$D56</f>
        <v>3.0969479353680442E-5</v>
      </c>
      <c r="N56" s="542">
        <f>(INDEX('Dermal Calcs'!$B$79:$H$85, MATCH($L56,'Dermal Calcs'!$A$79:$A$85, 0), MATCH(N$3, 'Dermal Calcs'!$B$78:$H$78, 0)))*$K56*$E56</f>
        <v>2.8980446927374311E-5</v>
      </c>
      <c r="O56" s="542">
        <f>(INDEX('Dermal Calcs'!$B$79:$H$85, MATCH($L56,'Dermal Calcs'!$A$79:$A$85, 0), MATCH(O$3, 'Dermal Calcs'!$B$78:$H$78, 0)))*$K56*$E56</f>
        <v>3.1690140845070426E-5</v>
      </c>
      <c r="P56" s="543">
        <f>(INDEX('Dermal Calcs'!$B$79:$H$85, MATCH($L56,'Dermal Calcs'!$A$79:$A$85, 0), MATCH(P$3, 'Dermal Calcs'!$B$78:$H$78, 0)))*$K56*$F56</f>
        <v>0</v>
      </c>
      <c r="Q56" s="543">
        <f>(INDEX('Dermal Calcs'!$B$79:$H$85, MATCH($L56,'Dermal Calcs'!$A$79:$A$85, 0), MATCH(Q$3, 'Dermal Calcs'!$B$78:$H$78, 0)))*$K56*$F56</f>
        <v>0</v>
      </c>
      <c r="R56" s="543">
        <f>(INDEX('Dermal Calcs'!$B$79:$H$85, MATCH($L56,'Dermal Calcs'!$A$79:$A$85, 0), MATCH(R$3, 'Dermal Calcs'!$B$78:$H$78, 0)))*$K56*$F56</f>
        <v>0</v>
      </c>
      <c r="S56" s="544">
        <f>(INDEX('Dermal Calcs'!$B$79:$H$85, MATCH($L56,'Dermal Calcs'!$A$79:$A$85, 0), MATCH(S$3, 'Dermal Calcs'!$B$78:$H$78, 0)))*$K56*$F56</f>
        <v>0</v>
      </c>
      <c r="T56" s="554">
        <f t="shared" si="211"/>
        <v>6.1938958707360883E-5</v>
      </c>
      <c r="U56" s="555">
        <f t="shared" si="212"/>
        <v>5.7960893854748621E-5</v>
      </c>
      <c r="V56" s="555">
        <f t="shared" si="213"/>
        <v>6.3380281690140851E-5</v>
      </c>
      <c r="W56" s="555">
        <f t="shared" si="214"/>
        <v>0</v>
      </c>
      <c r="X56" s="555">
        <f t="shared" si="215"/>
        <v>0</v>
      </c>
      <c r="Y56" s="555">
        <f t="shared" si="216"/>
        <v>0</v>
      </c>
      <c r="Z56" s="555">
        <f t="shared" si="217"/>
        <v>0</v>
      </c>
      <c r="AA56" s="554">
        <f t="shared" si="226"/>
        <v>3.0969479353680442E-5</v>
      </c>
      <c r="AB56" s="555">
        <f t="shared" si="227"/>
        <v>2.8980446927374311E-5</v>
      </c>
      <c r="AC56" s="555">
        <f t="shared" si="228"/>
        <v>3.1690140845070426E-5</v>
      </c>
      <c r="AD56" s="555">
        <f t="shared" si="229"/>
        <v>0</v>
      </c>
      <c r="AE56" s="555">
        <f t="shared" si="230"/>
        <v>0</v>
      </c>
      <c r="AF56" s="555">
        <f t="shared" si="231"/>
        <v>0</v>
      </c>
      <c r="AG56" s="555">
        <f t="shared" si="232"/>
        <v>0</v>
      </c>
      <c r="AH56" s="546">
        <f t="shared" si="168"/>
        <v>1.6969577728044076E-4</v>
      </c>
      <c r="AI56" s="547">
        <f t="shared" si="169"/>
        <v>1.5879696946506471E-4</v>
      </c>
      <c r="AJ56" s="547">
        <f t="shared" si="170"/>
        <v>1.7364460737024894E-4</v>
      </c>
      <c r="AK56" s="547">
        <f t="shared" si="171"/>
        <v>0</v>
      </c>
      <c r="AL56" s="547">
        <f t="shared" si="172"/>
        <v>0</v>
      </c>
      <c r="AM56" s="547">
        <f t="shared" si="173"/>
        <v>0</v>
      </c>
      <c r="AN56" s="548">
        <f t="shared" si="174"/>
        <v>0</v>
      </c>
      <c r="AO56" s="547">
        <f t="shared" si="218"/>
        <v>3.096947935368044E-2</v>
      </c>
      <c r="AP56" s="547">
        <f t="shared" si="219"/>
        <v>2.8980446927374309E-2</v>
      </c>
      <c r="AQ56" s="547">
        <f t="shared" si="220"/>
        <v>3.1690140845070429E-2</v>
      </c>
      <c r="AR56" s="547">
        <f t="shared" si="221"/>
        <v>0</v>
      </c>
      <c r="AS56" s="547">
        <f t="shared" si="222"/>
        <v>0</v>
      </c>
      <c r="AT56" s="547">
        <f t="shared" si="223"/>
        <v>0</v>
      </c>
      <c r="AU56" s="548">
        <f t="shared" si="224"/>
        <v>0</v>
      </c>
      <c r="AV56" s="554">
        <f t="shared" si="159"/>
        <v>1.6969577728044076E-4</v>
      </c>
      <c r="AW56" s="555">
        <f t="shared" si="160"/>
        <v>1.6622078841765681E-4</v>
      </c>
      <c r="AX56" s="555">
        <f t="shared" si="161"/>
        <v>0</v>
      </c>
      <c r="AY56" s="554">
        <f t="shared" si="162"/>
        <v>3.096947935368044E-2</v>
      </c>
      <c r="AZ56" s="555">
        <f t="shared" si="163"/>
        <v>3.0335293886222369E-2</v>
      </c>
      <c r="BA56" s="555">
        <f t="shared" si="164"/>
        <v>0</v>
      </c>
      <c r="BB56" s="549">
        <f t="shared" si="135"/>
        <v>6482188.4057970997</v>
      </c>
      <c r="BC56" s="549">
        <f t="shared" si="136"/>
        <v>6927084.3373493962</v>
      </c>
      <c r="BD56" s="549">
        <f t="shared" si="137"/>
        <v>6334777.7777777761</v>
      </c>
      <c r="BE56" s="557" t="s">
        <v>47</v>
      </c>
      <c r="BF56" s="557" t="s">
        <v>47</v>
      </c>
      <c r="BG56" s="557" t="s">
        <v>47</v>
      </c>
      <c r="BH56" s="558" t="s">
        <v>47</v>
      </c>
      <c r="BI56" s="551">
        <f t="shared" si="207"/>
        <v>35518.840579710137</v>
      </c>
      <c r="BJ56" s="551">
        <f t="shared" si="208"/>
        <v>37956.626506024084</v>
      </c>
      <c r="BK56" s="551">
        <f t="shared" si="210"/>
        <v>34711.111111111102</v>
      </c>
      <c r="BL56" s="557" t="s">
        <v>47</v>
      </c>
      <c r="BM56" s="557" t="s">
        <v>47</v>
      </c>
      <c r="BN56" s="557" t="s">
        <v>47</v>
      </c>
      <c r="BO56" s="558" t="s">
        <v>47</v>
      </c>
    </row>
    <row r="57" spans="1:67">
      <c r="A57" s="883"/>
      <c r="B57" s="559" t="s">
        <v>65</v>
      </c>
      <c r="C57" s="883"/>
      <c r="D57" s="530">
        <v>1</v>
      </c>
      <c r="E57" s="531">
        <v>1</v>
      </c>
      <c r="F57" s="531">
        <v>0</v>
      </c>
      <c r="G57" s="567">
        <f>'Compiled Products'!E9</f>
        <v>30</v>
      </c>
      <c r="H57" s="235">
        <f>H55</f>
        <v>52</v>
      </c>
      <c r="I57" s="235">
        <f>I55</f>
        <v>1</v>
      </c>
      <c r="J57" s="577">
        <f t="shared" si="225"/>
        <v>2.5000000000000001E-5</v>
      </c>
      <c r="K57" s="539">
        <f t="shared" si="233"/>
        <v>1.2500000000000001E-5</v>
      </c>
      <c r="L57" s="578" t="s">
        <v>1390</v>
      </c>
      <c r="M57" s="541">
        <f>(INDEX('Dermal Calcs'!$B$79:$H$85, MATCH($L57,'Dermal Calcs'!$A$79:$A$85, 0), MATCH(M$3, 'Dermal Calcs'!$B$78:$H$78, 0)))*$K57*$D57</f>
        <v>1.5484739676840221E-5</v>
      </c>
      <c r="N57" s="542">
        <f>(INDEX('Dermal Calcs'!$B$79:$H$85, MATCH($L57,'Dermal Calcs'!$A$79:$A$85, 0), MATCH(N$3, 'Dermal Calcs'!$B$78:$H$78, 0)))*$K57*$E57</f>
        <v>1.4490223463687155E-5</v>
      </c>
      <c r="O57" s="542">
        <f>(INDEX('Dermal Calcs'!$B$79:$H$85, MATCH($L57,'Dermal Calcs'!$A$79:$A$85, 0), MATCH(O$3, 'Dermal Calcs'!$B$78:$H$78, 0)))*$K57*$E57</f>
        <v>1.5845070422535213E-5</v>
      </c>
      <c r="P57" s="543">
        <f>(INDEX('Dermal Calcs'!$B$79:$H$85, MATCH($L57,'Dermal Calcs'!$A$79:$A$85, 0), MATCH(P$3, 'Dermal Calcs'!$B$78:$H$78, 0)))*$K57*$F57</f>
        <v>0</v>
      </c>
      <c r="Q57" s="543">
        <f>(INDEX('Dermal Calcs'!$B$79:$H$85, MATCH($L57,'Dermal Calcs'!$A$79:$A$85, 0), MATCH(Q$3, 'Dermal Calcs'!$B$78:$H$78, 0)))*$K57*$F57</f>
        <v>0</v>
      </c>
      <c r="R57" s="543">
        <f>(INDEX('Dermal Calcs'!$B$79:$H$85, MATCH($L57,'Dermal Calcs'!$A$79:$A$85, 0), MATCH(R$3, 'Dermal Calcs'!$B$78:$H$78, 0)))*$K57*$F57</f>
        <v>0</v>
      </c>
      <c r="S57" s="544">
        <f>(INDEX('Dermal Calcs'!$B$79:$H$85, MATCH($L57,'Dermal Calcs'!$A$79:$A$85, 0), MATCH(S$3, 'Dermal Calcs'!$B$78:$H$78, 0)))*$K57*$F57</f>
        <v>0</v>
      </c>
      <c r="T57" s="561">
        <f t="shared" si="211"/>
        <v>3.0969479353680442E-5</v>
      </c>
      <c r="U57" s="562">
        <f t="shared" si="212"/>
        <v>2.8980446927374311E-5</v>
      </c>
      <c r="V57" s="562">
        <f t="shared" si="213"/>
        <v>3.1690140845070426E-5</v>
      </c>
      <c r="W57" s="562">
        <f t="shared" si="214"/>
        <v>0</v>
      </c>
      <c r="X57" s="562">
        <f t="shared" si="215"/>
        <v>0</v>
      </c>
      <c r="Y57" s="562">
        <f t="shared" si="216"/>
        <v>0</v>
      </c>
      <c r="Z57" s="562">
        <f t="shared" si="217"/>
        <v>0</v>
      </c>
      <c r="AA57" s="561">
        <f t="shared" si="226"/>
        <v>1.5484739676840221E-5</v>
      </c>
      <c r="AB57" s="562">
        <f t="shared" si="227"/>
        <v>1.4490223463687155E-5</v>
      </c>
      <c r="AC57" s="562">
        <f t="shared" si="228"/>
        <v>1.5845070422535213E-5</v>
      </c>
      <c r="AD57" s="562">
        <f t="shared" si="229"/>
        <v>0</v>
      </c>
      <c r="AE57" s="562">
        <f t="shared" si="230"/>
        <v>0</v>
      </c>
      <c r="AF57" s="562">
        <f t="shared" si="231"/>
        <v>0</v>
      </c>
      <c r="AG57" s="562">
        <f t="shared" si="232"/>
        <v>0</v>
      </c>
      <c r="AH57" s="546">
        <f t="shared" si="168"/>
        <v>8.4847888640220378E-5</v>
      </c>
      <c r="AI57" s="547">
        <f t="shared" si="169"/>
        <v>7.9398484732532353E-5</v>
      </c>
      <c r="AJ57" s="547">
        <f t="shared" si="170"/>
        <v>8.6822303685124468E-5</v>
      </c>
      <c r="AK57" s="547">
        <f t="shared" si="171"/>
        <v>0</v>
      </c>
      <c r="AL57" s="547">
        <f t="shared" si="172"/>
        <v>0</v>
      </c>
      <c r="AM57" s="547">
        <f t="shared" si="173"/>
        <v>0</v>
      </c>
      <c r="AN57" s="548">
        <f t="shared" si="174"/>
        <v>0</v>
      </c>
      <c r="AO57" s="547">
        <f t="shared" si="218"/>
        <v>1.548473967684022E-2</v>
      </c>
      <c r="AP57" s="547">
        <f t="shared" si="219"/>
        <v>1.4490223463687155E-2</v>
      </c>
      <c r="AQ57" s="547">
        <f t="shared" si="220"/>
        <v>1.5845070422535214E-2</v>
      </c>
      <c r="AR57" s="547">
        <f t="shared" si="221"/>
        <v>0</v>
      </c>
      <c r="AS57" s="547">
        <f t="shared" si="222"/>
        <v>0</v>
      </c>
      <c r="AT57" s="547">
        <f t="shared" si="223"/>
        <v>0</v>
      </c>
      <c r="AU57" s="548">
        <f t="shared" si="224"/>
        <v>0</v>
      </c>
      <c r="AV57" s="561">
        <f t="shared" si="159"/>
        <v>8.4847888640220378E-5</v>
      </c>
      <c r="AW57" s="562">
        <f t="shared" si="160"/>
        <v>8.3110394208828404E-5</v>
      </c>
      <c r="AX57" s="560">
        <f t="shared" si="161"/>
        <v>0</v>
      </c>
      <c r="AY57" s="561">
        <f t="shared" si="162"/>
        <v>1.548473967684022E-2</v>
      </c>
      <c r="AZ57" s="562">
        <f t="shared" si="163"/>
        <v>1.5167646943111185E-2</v>
      </c>
      <c r="BA57" s="562">
        <f t="shared" si="164"/>
        <v>0</v>
      </c>
      <c r="BB57" s="549">
        <f t="shared" si="135"/>
        <v>12964376.811594199</v>
      </c>
      <c r="BC57" s="549">
        <f t="shared" si="136"/>
        <v>13854168.674698792</v>
      </c>
      <c r="BD57" s="549">
        <f t="shared" si="137"/>
        <v>12669555.555555552</v>
      </c>
      <c r="BE57" s="557" t="s">
        <v>47</v>
      </c>
      <c r="BF57" s="557" t="s">
        <v>47</v>
      </c>
      <c r="BG57" s="557" t="s">
        <v>47</v>
      </c>
      <c r="BH57" s="558" t="s">
        <v>47</v>
      </c>
      <c r="BI57" s="551">
        <f t="shared" si="207"/>
        <v>71037.681159420274</v>
      </c>
      <c r="BJ57" s="551">
        <f t="shared" si="208"/>
        <v>75913.253012048168</v>
      </c>
      <c r="BK57" s="551">
        <f t="shared" si="210"/>
        <v>69422.222222222204</v>
      </c>
      <c r="BL57" s="557" t="s">
        <v>47</v>
      </c>
      <c r="BM57" s="557" t="s">
        <v>47</v>
      </c>
      <c r="BN57" s="557" t="s">
        <v>47</v>
      </c>
      <c r="BO57" s="558" t="s">
        <v>47</v>
      </c>
    </row>
    <row r="58" spans="1:67" ht="14.5" customHeight="1">
      <c r="A58" s="881" t="str">
        <f>'Compiled Products'!F1</f>
        <v>Auto Repair Putty</v>
      </c>
      <c r="B58" s="461" t="s">
        <v>69</v>
      </c>
      <c r="C58" s="881" t="s">
        <v>961</v>
      </c>
      <c r="D58" s="527">
        <v>1</v>
      </c>
      <c r="E58" s="640">
        <v>1</v>
      </c>
      <c r="F58" s="640">
        <v>0</v>
      </c>
      <c r="G58" s="567">
        <f>'Compiled Products'!F7</f>
        <v>120</v>
      </c>
      <c r="H58" s="244">
        <f>'Compiled Products'!F6</f>
        <v>2</v>
      </c>
      <c r="I58" s="244">
        <v>1</v>
      </c>
      <c r="J58" s="577">
        <f t="shared" si="225"/>
        <v>2.5000000000000001E-5</v>
      </c>
      <c r="K58" s="539">
        <f t="shared" si="233"/>
        <v>5.0000000000000002E-5</v>
      </c>
      <c r="L58" s="553" t="s">
        <v>1390</v>
      </c>
      <c r="M58" s="541">
        <f>(INDEX('Dermal Calcs'!$B$79:$H$85, MATCH($L58,'Dermal Calcs'!$A$79:$A$85, 0), MATCH(M$3, 'Dermal Calcs'!$B$78:$H$78, 0)))*$K58*$D58</f>
        <v>6.1938958707360883E-5</v>
      </c>
      <c r="N58" s="542">
        <f>(INDEX('Dermal Calcs'!$B$79:$H$85, MATCH($L58,'Dermal Calcs'!$A$79:$A$85, 0), MATCH(N$3, 'Dermal Calcs'!$B$78:$H$78, 0)))*$K58*$E58</f>
        <v>5.7960893854748621E-5</v>
      </c>
      <c r="O58" s="542">
        <f>(INDEX('Dermal Calcs'!$B$79:$H$85, MATCH($L58,'Dermal Calcs'!$A$79:$A$85, 0), MATCH(O$3, 'Dermal Calcs'!$B$78:$H$78, 0)))*$K58*$E58</f>
        <v>6.3380281690140851E-5</v>
      </c>
      <c r="P58" s="543">
        <f>(INDEX('Dermal Calcs'!$B$79:$H$85, MATCH($L58,'Dermal Calcs'!$A$79:$A$85, 0), MATCH(P$3, 'Dermal Calcs'!$B$78:$H$78, 0)))*$K58*$F58</f>
        <v>0</v>
      </c>
      <c r="Q58" s="543">
        <f>(INDEX('Dermal Calcs'!$B$79:$H$85, MATCH($L58,'Dermal Calcs'!$A$79:$A$85, 0), MATCH(Q$3, 'Dermal Calcs'!$B$78:$H$78, 0)))*$K58*$F58</f>
        <v>0</v>
      </c>
      <c r="R58" s="543">
        <f>(INDEX('Dermal Calcs'!$B$79:$H$85, MATCH($L58,'Dermal Calcs'!$A$79:$A$85, 0), MATCH(R$3, 'Dermal Calcs'!$B$78:$H$78, 0)))*$K58*$F58</f>
        <v>0</v>
      </c>
      <c r="S58" s="544">
        <f>(INDEX('Dermal Calcs'!$B$79:$H$85, MATCH($L58,'Dermal Calcs'!$A$79:$A$85, 0), MATCH(S$3, 'Dermal Calcs'!$B$78:$H$78, 0)))*$K58*$F58</f>
        <v>0</v>
      </c>
      <c r="T58" s="546">
        <f t="shared" si="211"/>
        <v>2.2607719928186724E-2</v>
      </c>
      <c r="U58" s="547">
        <f t="shared" si="212"/>
        <v>2.1155726256983247E-2</v>
      </c>
      <c r="V58" s="547">
        <f t="shared" si="213"/>
        <v>2.313380281690141E-2</v>
      </c>
      <c r="W58" s="555">
        <f t="shared" si="214"/>
        <v>0</v>
      </c>
      <c r="X58" s="555">
        <f t="shared" si="215"/>
        <v>0</v>
      </c>
      <c r="Y58" s="555">
        <f t="shared" si="216"/>
        <v>0</v>
      </c>
      <c r="Z58" s="555">
        <f t="shared" si="217"/>
        <v>0</v>
      </c>
      <c r="AA58" s="572">
        <f t="shared" si="226"/>
        <v>6.1938958707360883E-5</v>
      </c>
      <c r="AB58" s="556">
        <f t="shared" si="227"/>
        <v>5.7960893854748621E-5</v>
      </c>
      <c r="AC58" s="556">
        <f t="shared" si="228"/>
        <v>6.3380281690140851E-5</v>
      </c>
      <c r="AD58" s="555">
        <f t="shared" si="229"/>
        <v>0</v>
      </c>
      <c r="AE58" s="555">
        <f t="shared" si="230"/>
        <v>0</v>
      </c>
      <c r="AF58" s="555">
        <f t="shared" si="231"/>
        <v>0</v>
      </c>
      <c r="AG58" s="555">
        <f t="shared" si="232"/>
        <v>0</v>
      </c>
      <c r="AH58" s="546">
        <f t="shared" si="168"/>
        <v>6.1938958707360887E-2</v>
      </c>
      <c r="AI58" s="547">
        <f t="shared" si="169"/>
        <v>5.7960893854748619E-2</v>
      </c>
      <c r="AJ58" s="547">
        <f t="shared" si="170"/>
        <v>6.3380281690140844E-2</v>
      </c>
      <c r="AK58" s="547">
        <f t="shared" si="171"/>
        <v>0</v>
      </c>
      <c r="AL58" s="547">
        <f t="shared" si="172"/>
        <v>0</v>
      </c>
      <c r="AM58" s="547">
        <f t="shared" si="173"/>
        <v>0</v>
      </c>
      <c r="AN58" s="548">
        <f t="shared" si="174"/>
        <v>0</v>
      </c>
      <c r="AO58" s="547">
        <f t="shared" si="218"/>
        <v>6.193895870736088E-2</v>
      </c>
      <c r="AP58" s="547">
        <f t="shared" si="219"/>
        <v>5.7960893854748619E-2</v>
      </c>
      <c r="AQ58" s="547">
        <f t="shared" si="220"/>
        <v>6.3380281690140858E-2</v>
      </c>
      <c r="AR58" s="547">
        <f t="shared" si="221"/>
        <v>0</v>
      </c>
      <c r="AS58" s="547">
        <f t="shared" si="222"/>
        <v>0</v>
      </c>
      <c r="AT58" s="547">
        <f t="shared" si="223"/>
        <v>0</v>
      </c>
      <c r="AU58" s="548">
        <f t="shared" si="224"/>
        <v>0</v>
      </c>
      <c r="AV58" s="572">
        <f t="shared" si="159"/>
        <v>6.1938958707360887E-2</v>
      </c>
      <c r="AW58" s="556">
        <f t="shared" si="160"/>
        <v>6.0670587772444738E-2</v>
      </c>
      <c r="AX58" s="555">
        <f t="shared" si="161"/>
        <v>0</v>
      </c>
      <c r="AY58" s="572">
        <f t="shared" si="162"/>
        <v>6.193895870736088E-2</v>
      </c>
      <c r="AZ58" s="556">
        <f t="shared" si="163"/>
        <v>6.0670587772444738E-2</v>
      </c>
      <c r="BA58" s="555">
        <f t="shared" si="164"/>
        <v>0</v>
      </c>
      <c r="BB58" s="549">
        <f t="shared" si="135"/>
        <v>17759.420289855065</v>
      </c>
      <c r="BC58" s="549">
        <f t="shared" si="136"/>
        <v>18978.313253012042</v>
      </c>
      <c r="BD58" s="549">
        <f t="shared" si="137"/>
        <v>17355.555555555555</v>
      </c>
      <c r="BE58" s="557" t="s">
        <v>47</v>
      </c>
      <c r="BF58" s="557" t="s">
        <v>47</v>
      </c>
      <c r="BG58" s="557" t="s">
        <v>47</v>
      </c>
      <c r="BH58" s="558" t="s">
        <v>47</v>
      </c>
      <c r="BI58" s="551">
        <f t="shared" si="207"/>
        <v>17759.420289855068</v>
      </c>
      <c r="BJ58" s="551">
        <f t="shared" si="208"/>
        <v>18978.313253012042</v>
      </c>
      <c r="BK58" s="551">
        <f t="shared" si="210"/>
        <v>17355.555555555551</v>
      </c>
      <c r="BL58" s="557" t="s">
        <v>47</v>
      </c>
      <c r="BM58" s="557" t="s">
        <v>47</v>
      </c>
      <c r="BN58" s="557" t="s">
        <v>47</v>
      </c>
      <c r="BO58" s="558" t="s">
        <v>47</v>
      </c>
    </row>
    <row r="59" spans="1:67">
      <c r="A59" s="882"/>
      <c r="B59" s="461" t="s">
        <v>1065</v>
      </c>
      <c r="C59" s="882"/>
      <c r="D59" s="527">
        <v>1</v>
      </c>
      <c r="E59" s="640">
        <v>1</v>
      </c>
      <c r="F59" s="640">
        <v>0</v>
      </c>
      <c r="G59" s="567">
        <f>'Compiled Products'!F8</f>
        <v>60</v>
      </c>
      <c r="H59" s="235">
        <f>H58</f>
        <v>2</v>
      </c>
      <c r="I59" s="235">
        <f>I58</f>
        <v>1</v>
      </c>
      <c r="J59" s="577">
        <f t="shared" si="225"/>
        <v>2.5000000000000001E-5</v>
      </c>
      <c r="K59" s="539">
        <f t="shared" si="233"/>
        <v>2.5000000000000001E-5</v>
      </c>
      <c r="L59" s="553" t="s">
        <v>1390</v>
      </c>
      <c r="M59" s="541">
        <f>(INDEX('Dermal Calcs'!$B$79:$H$85, MATCH($L59,'Dermal Calcs'!$A$79:$A$85, 0), MATCH(M$3, 'Dermal Calcs'!$B$78:$H$78, 0)))*$K59*$D59</f>
        <v>3.0969479353680442E-5</v>
      </c>
      <c r="N59" s="542">
        <f>(INDEX('Dermal Calcs'!$B$79:$H$85, MATCH($L59,'Dermal Calcs'!$A$79:$A$85, 0), MATCH(N$3, 'Dermal Calcs'!$B$78:$H$78, 0)))*$K59*$E59</f>
        <v>2.8980446927374311E-5</v>
      </c>
      <c r="O59" s="542">
        <f>(INDEX('Dermal Calcs'!$B$79:$H$85, MATCH($L59,'Dermal Calcs'!$A$79:$A$85, 0), MATCH(O$3, 'Dermal Calcs'!$B$78:$H$78, 0)))*$K59*$E59</f>
        <v>3.1690140845070426E-5</v>
      </c>
      <c r="P59" s="543">
        <f>(INDEX('Dermal Calcs'!$B$79:$H$85, MATCH($L59,'Dermal Calcs'!$A$79:$A$85, 0), MATCH(P$3, 'Dermal Calcs'!$B$78:$H$78, 0)))*$K59*$F59</f>
        <v>0</v>
      </c>
      <c r="Q59" s="543">
        <f>(INDEX('Dermal Calcs'!$B$79:$H$85, MATCH($L59,'Dermal Calcs'!$A$79:$A$85, 0), MATCH(Q$3, 'Dermal Calcs'!$B$78:$H$78, 0)))*$K59*$F59</f>
        <v>0</v>
      </c>
      <c r="R59" s="543">
        <f>(INDEX('Dermal Calcs'!$B$79:$H$85, MATCH($L59,'Dermal Calcs'!$A$79:$A$85, 0), MATCH(R$3, 'Dermal Calcs'!$B$78:$H$78, 0)))*$K59*$F59</f>
        <v>0</v>
      </c>
      <c r="S59" s="544">
        <f>(INDEX('Dermal Calcs'!$B$79:$H$85, MATCH($L59,'Dermal Calcs'!$A$79:$A$85, 0), MATCH(S$3, 'Dermal Calcs'!$B$78:$H$78, 0)))*$K59*$F59</f>
        <v>0</v>
      </c>
      <c r="T59" s="546">
        <f t="shared" si="211"/>
        <v>1.1303859964093362E-2</v>
      </c>
      <c r="U59" s="547">
        <f t="shared" si="212"/>
        <v>1.0577863128491623E-2</v>
      </c>
      <c r="V59" s="547">
        <f t="shared" si="213"/>
        <v>1.1566901408450705E-2</v>
      </c>
      <c r="W59" s="555">
        <f t="shared" si="214"/>
        <v>0</v>
      </c>
      <c r="X59" s="555">
        <f t="shared" si="215"/>
        <v>0</v>
      </c>
      <c r="Y59" s="555">
        <f t="shared" si="216"/>
        <v>0</v>
      </c>
      <c r="Z59" s="555">
        <f t="shared" si="217"/>
        <v>0</v>
      </c>
      <c r="AA59" s="572">
        <f t="shared" si="226"/>
        <v>3.0969479353680442E-5</v>
      </c>
      <c r="AB59" s="556">
        <f t="shared" si="227"/>
        <v>2.8980446927374311E-5</v>
      </c>
      <c r="AC59" s="556">
        <f t="shared" si="228"/>
        <v>3.1690140845070426E-5</v>
      </c>
      <c r="AD59" s="555">
        <f t="shared" si="229"/>
        <v>0</v>
      </c>
      <c r="AE59" s="555">
        <f t="shared" si="230"/>
        <v>0</v>
      </c>
      <c r="AF59" s="555">
        <f t="shared" si="231"/>
        <v>0</v>
      </c>
      <c r="AG59" s="555">
        <f t="shared" si="232"/>
        <v>0</v>
      </c>
      <c r="AH59" s="546">
        <f t="shared" si="168"/>
        <v>3.0969479353680444E-2</v>
      </c>
      <c r="AI59" s="547">
        <f t="shared" si="169"/>
        <v>2.8980446927374309E-2</v>
      </c>
      <c r="AJ59" s="547">
        <f t="shared" si="170"/>
        <v>3.1690140845070422E-2</v>
      </c>
      <c r="AK59" s="547">
        <f t="shared" si="171"/>
        <v>0</v>
      </c>
      <c r="AL59" s="547">
        <f t="shared" si="172"/>
        <v>0</v>
      </c>
      <c r="AM59" s="547">
        <f t="shared" si="173"/>
        <v>0</v>
      </c>
      <c r="AN59" s="548">
        <f t="shared" si="174"/>
        <v>0</v>
      </c>
      <c r="AO59" s="547">
        <f t="shared" si="218"/>
        <v>3.096947935368044E-2</v>
      </c>
      <c r="AP59" s="547">
        <f t="shared" si="219"/>
        <v>2.8980446927374309E-2</v>
      </c>
      <c r="AQ59" s="547">
        <f t="shared" si="220"/>
        <v>3.1690140845070429E-2</v>
      </c>
      <c r="AR59" s="547">
        <f t="shared" si="221"/>
        <v>0</v>
      </c>
      <c r="AS59" s="547">
        <f t="shared" si="222"/>
        <v>0</v>
      </c>
      <c r="AT59" s="547">
        <f t="shared" si="223"/>
        <v>0</v>
      </c>
      <c r="AU59" s="548">
        <f t="shared" si="224"/>
        <v>0</v>
      </c>
      <c r="AV59" s="572">
        <f t="shared" si="159"/>
        <v>3.0969479353680444E-2</v>
      </c>
      <c r="AW59" s="556">
        <f t="shared" si="160"/>
        <v>3.0335293886222369E-2</v>
      </c>
      <c r="AX59" s="555">
        <f t="shared" si="161"/>
        <v>0</v>
      </c>
      <c r="AY59" s="572">
        <f t="shared" si="162"/>
        <v>3.096947935368044E-2</v>
      </c>
      <c r="AZ59" s="556">
        <f t="shared" si="163"/>
        <v>3.0335293886222369E-2</v>
      </c>
      <c r="BA59" s="555">
        <f t="shared" si="164"/>
        <v>0</v>
      </c>
      <c r="BB59" s="549">
        <f t="shared" si="135"/>
        <v>35518.84057971013</v>
      </c>
      <c r="BC59" s="549">
        <f t="shared" si="136"/>
        <v>37956.626506024084</v>
      </c>
      <c r="BD59" s="549">
        <f t="shared" si="137"/>
        <v>34711.111111111109</v>
      </c>
      <c r="BE59" s="557" t="s">
        <v>47</v>
      </c>
      <c r="BF59" s="557" t="s">
        <v>47</v>
      </c>
      <c r="BG59" s="557" t="s">
        <v>47</v>
      </c>
      <c r="BH59" s="558" t="s">
        <v>47</v>
      </c>
      <c r="BI59" s="551">
        <f t="shared" si="207"/>
        <v>35518.840579710137</v>
      </c>
      <c r="BJ59" s="551">
        <f t="shared" si="208"/>
        <v>37956.626506024084</v>
      </c>
      <c r="BK59" s="551">
        <f t="shared" si="210"/>
        <v>34711.111111111102</v>
      </c>
      <c r="BL59" s="557" t="s">
        <v>47</v>
      </c>
      <c r="BM59" s="557" t="s">
        <v>47</v>
      </c>
      <c r="BN59" s="557" t="s">
        <v>47</v>
      </c>
      <c r="BO59" s="558" t="s">
        <v>47</v>
      </c>
    </row>
    <row r="60" spans="1:67">
      <c r="A60" s="883"/>
      <c r="B60" s="461" t="s">
        <v>65</v>
      </c>
      <c r="C60" s="883"/>
      <c r="D60" s="530">
        <v>1</v>
      </c>
      <c r="E60" s="531">
        <v>1</v>
      </c>
      <c r="F60" s="531">
        <v>0</v>
      </c>
      <c r="G60" s="567">
        <f>'Compiled Products'!F9</f>
        <v>30</v>
      </c>
      <c r="H60" s="235">
        <f>H58</f>
        <v>2</v>
      </c>
      <c r="I60" s="235">
        <f>I58</f>
        <v>1</v>
      </c>
      <c r="J60" s="577">
        <f t="shared" si="225"/>
        <v>2.5000000000000001E-5</v>
      </c>
      <c r="K60" s="539">
        <f t="shared" si="233"/>
        <v>1.2500000000000001E-5</v>
      </c>
      <c r="L60" s="578" t="s">
        <v>1390</v>
      </c>
      <c r="M60" s="541">
        <f>(INDEX('Dermal Calcs'!$B$79:$H$85, MATCH($L60,'Dermal Calcs'!$A$79:$A$85, 0), MATCH(M$3, 'Dermal Calcs'!$B$78:$H$78, 0)))*$K60*$D60</f>
        <v>1.5484739676840221E-5</v>
      </c>
      <c r="N60" s="542">
        <f>(INDEX('Dermal Calcs'!$B$79:$H$85, MATCH($L60,'Dermal Calcs'!$A$79:$A$85, 0), MATCH(N$3, 'Dermal Calcs'!$B$78:$H$78, 0)))*$K60*$E60</f>
        <v>1.4490223463687155E-5</v>
      </c>
      <c r="O60" s="542">
        <f>(INDEX('Dermal Calcs'!$B$79:$H$85, MATCH($L60,'Dermal Calcs'!$A$79:$A$85, 0), MATCH(O$3, 'Dermal Calcs'!$B$78:$H$78, 0)))*$K60*$E60</f>
        <v>1.5845070422535213E-5</v>
      </c>
      <c r="P60" s="543">
        <f>(INDEX('Dermal Calcs'!$B$79:$H$85, MATCH($L60,'Dermal Calcs'!$A$79:$A$85, 0), MATCH(P$3, 'Dermal Calcs'!$B$78:$H$78, 0)))*$K60*$F60</f>
        <v>0</v>
      </c>
      <c r="Q60" s="543">
        <f>(INDEX('Dermal Calcs'!$B$79:$H$85, MATCH($L60,'Dermal Calcs'!$A$79:$A$85, 0), MATCH(Q$3, 'Dermal Calcs'!$B$78:$H$78, 0)))*$K60*$F60</f>
        <v>0</v>
      </c>
      <c r="R60" s="543">
        <f>(INDEX('Dermal Calcs'!$B$79:$H$85, MATCH($L60,'Dermal Calcs'!$A$79:$A$85, 0), MATCH(R$3, 'Dermal Calcs'!$B$78:$H$78, 0)))*$K60*$F60</f>
        <v>0</v>
      </c>
      <c r="S60" s="544">
        <f>(INDEX('Dermal Calcs'!$B$79:$H$85, MATCH($L60,'Dermal Calcs'!$A$79:$A$85, 0), MATCH(S$3, 'Dermal Calcs'!$B$78:$H$78, 0)))*$K60*$F60</f>
        <v>0</v>
      </c>
      <c r="T60" s="546">
        <f t="shared" si="211"/>
        <v>5.6519299820466809E-3</v>
      </c>
      <c r="U60" s="547">
        <f t="shared" si="212"/>
        <v>5.2889315642458117E-3</v>
      </c>
      <c r="V60" s="547">
        <f t="shared" si="213"/>
        <v>5.7834507042253524E-3</v>
      </c>
      <c r="W60" s="555">
        <f t="shared" si="214"/>
        <v>0</v>
      </c>
      <c r="X60" s="555">
        <f t="shared" si="215"/>
        <v>0</v>
      </c>
      <c r="Y60" s="555">
        <f t="shared" si="216"/>
        <v>0</v>
      </c>
      <c r="Z60" s="555">
        <f t="shared" si="217"/>
        <v>0</v>
      </c>
      <c r="AA60" s="572">
        <f t="shared" si="226"/>
        <v>1.5484739676840221E-5</v>
      </c>
      <c r="AB60" s="556">
        <f t="shared" si="227"/>
        <v>1.4490223463687155E-5</v>
      </c>
      <c r="AC60" s="556">
        <f t="shared" si="228"/>
        <v>1.5845070422535213E-5</v>
      </c>
      <c r="AD60" s="555">
        <f t="shared" si="229"/>
        <v>0</v>
      </c>
      <c r="AE60" s="555">
        <f t="shared" si="230"/>
        <v>0</v>
      </c>
      <c r="AF60" s="555">
        <f t="shared" si="231"/>
        <v>0</v>
      </c>
      <c r="AG60" s="555">
        <f t="shared" si="232"/>
        <v>0</v>
      </c>
      <c r="AH60" s="546">
        <f t="shared" si="168"/>
        <v>1.5484739676840222E-2</v>
      </c>
      <c r="AI60" s="547">
        <f t="shared" si="169"/>
        <v>1.4490223463687155E-2</v>
      </c>
      <c r="AJ60" s="547">
        <f t="shared" si="170"/>
        <v>1.5845070422535211E-2</v>
      </c>
      <c r="AK60" s="547">
        <f t="shared" si="171"/>
        <v>0</v>
      </c>
      <c r="AL60" s="547">
        <f t="shared" si="172"/>
        <v>0</v>
      </c>
      <c r="AM60" s="547">
        <f t="shared" si="173"/>
        <v>0</v>
      </c>
      <c r="AN60" s="548">
        <f t="shared" si="174"/>
        <v>0</v>
      </c>
      <c r="AO60" s="547">
        <f t="shared" si="218"/>
        <v>1.548473967684022E-2</v>
      </c>
      <c r="AP60" s="547">
        <f t="shared" si="219"/>
        <v>1.4490223463687155E-2</v>
      </c>
      <c r="AQ60" s="547">
        <f t="shared" si="220"/>
        <v>1.5845070422535214E-2</v>
      </c>
      <c r="AR60" s="547">
        <f t="shared" si="221"/>
        <v>0</v>
      </c>
      <c r="AS60" s="547">
        <f t="shared" si="222"/>
        <v>0</v>
      </c>
      <c r="AT60" s="547">
        <f t="shared" si="223"/>
        <v>0</v>
      </c>
      <c r="AU60" s="548">
        <f t="shared" si="224"/>
        <v>0</v>
      </c>
      <c r="AV60" s="572">
        <f t="shared" si="159"/>
        <v>1.5484739676840222E-2</v>
      </c>
      <c r="AW60" s="556">
        <f t="shared" si="160"/>
        <v>1.5167646943111185E-2</v>
      </c>
      <c r="AX60" s="555">
        <f t="shared" si="161"/>
        <v>0</v>
      </c>
      <c r="AY60" s="572">
        <f t="shared" si="162"/>
        <v>1.548473967684022E-2</v>
      </c>
      <c r="AZ60" s="556">
        <f t="shared" si="163"/>
        <v>1.5167646943111185E-2</v>
      </c>
      <c r="BA60" s="555">
        <f t="shared" si="164"/>
        <v>0</v>
      </c>
      <c r="BB60" s="549">
        <f t="shared" si="135"/>
        <v>71037.681159420259</v>
      </c>
      <c r="BC60" s="549">
        <f t="shared" si="136"/>
        <v>75913.253012048168</v>
      </c>
      <c r="BD60" s="549">
        <f t="shared" si="137"/>
        <v>69422.222222222219</v>
      </c>
      <c r="BE60" s="557" t="s">
        <v>47</v>
      </c>
      <c r="BF60" s="557" t="s">
        <v>47</v>
      </c>
      <c r="BG60" s="557" t="s">
        <v>47</v>
      </c>
      <c r="BH60" s="558" t="s">
        <v>47</v>
      </c>
      <c r="BI60" s="551">
        <f t="shared" si="207"/>
        <v>71037.681159420274</v>
      </c>
      <c r="BJ60" s="551">
        <f t="shared" si="208"/>
        <v>75913.253012048168</v>
      </c>
      <c r="BK60" s="551">
        <f t="shared" si="210"/>
        <v>69422.222222222204</v>
      </c>
      <c r="BL60" s="557" t="s">
        <v>47</v>
      </c>
      <c r="BM60" s="557" t="s">
        <v>47</v>
      </c>
      <c r="BN60" s="557" t="s">
        <v>47</v>
      </c>
      <c r="BO60" s="558" t="s">
        <v>47</v>
      </c>
    </row>
    <row r="61" spans="1:67" ht="14.5" customHeight="1">
      <c r="A61" s="881" t="str">
        <f>'Compiled Products'!G1</f>
        <v>Concrete Sealant</v>
      </c>
      <c r="B61" s="566" t="s">
        <v>69</v>
      </c>
      <c r="C61" s="881" t="s">
        <v>962</v>
      </c>
      <c r="D61" s="527">
        <v>1</v>
      </c>
      <c r="E61" s="640">
        <v>1</v>
      </c>
      <c r="F61" s="640">
        <v>0</v>
      </c>
      <c r="G61" s="567">
        <f>'Compiled Products'!G7</f>
        <v>480</v>
      </c>
      <c r="H61" s="244">
        <f>'Compiled Products'!G6</f>
        <v>365</v>
      </c>
      <c r="I61" s="244">
        <v>1</v>
      </c>
      <c r="J61" s="577">
        <f t="shared" si="225"/>
        <v>2.5000000000000001E-5</v>
      </c>
      <c r="K61" s="539">
        <f t="shared" si="233"/>
        <v>2.0000000000000001E-4</v>
      </c>
      <c r="L61" s="540" t="s">
        <v>1386</v>
      </c>
      <c r="M61" s="541">
        <f>(INDEX('Dermal Calcs'!$B$79:$H$85, MATCH($L61,'Dermal Calcs'!$A$79:$A$85, 0), MATCH(M$3, 'Dermal Calcs'!$B$78:$H$78, 0)))*$K61*$D61</f>
        <v>1.2387791741472177E-3</v>
      </c>
      <c r="N61" s="542">
        <f>(INDEX('Dermal Calcs'!$B$79:$H$85, MATCH($L61,'Dermal Calcs'!$A$79:$A$85, 0), MATCH(N$3, 'Dermal Calcs'!$B$78:$H$78, 0)))*$K61*$E61</f>
        <v>1.1592178770949723E-3</v>
      </c>
      <c r="O61" s="542">
        <f>(INDEX('Dermal Calcs'!$B$79:$H$85, MATCH($L61,'Dermal Calcs'!$A$79:$A$85, 0), MATCH(O$3, 'Dermal Calcs'!$B$78:$H$78, 0)))*$K61*$E61</f>
        <v>1.2676056338028171E-3</v>
      </c>
      <c r="P61" s="543">
        <f>(INDEX('Dermal Calcs'!$B$79:$H$85, MATCH($L61,'Dermal Calcs'!$A$79:$A$85, 0), MATCH(P$3, 'Dermal Calcs'!$B$78:$H$78, 0)))*$K61*$F61</f>
        <v>0</v>
      </c>
      <c r="Q61" s="543">
        <f>(INDEX('Dermal Calcs'!$B$79:$H$85, MATCH($L61,'Dermal Calcs'!$A$79:$A$85, 0), MATCH(Q$3, 'Dermal Calcs'!$B$78:$H$78, 0)))*$K61*$F61</f>
        <v>0</v>
      </c>
      <c r="R61" s="543">
        <f>(INDEX('Dermal Calcs'!$B$79:$H$85, MATCH($L61,'Dermal Calcs'!$A$79:$A$85, 0), MATCH(R$3, 'Dermal Calcs'!$B$78:$H$78, 0)))*$K61*$F61</f>
        <v>0</v>
      </c>
      <c r="S61" s="544">
        <f>(INDEX('Dermal Calcs'!$B$79:$H$85, MATCH($L61,'Dermal Calcs'!$A$79:$A$85, 0), MATCH(S$3, 'Dermal Calcs'!$B$78:$H$78, 0)))*$K61*$F61</f>
        <v>0</v>
      </c>
      <c r="T61" s="541">
        <f t="shared" si="211"/>
        <v>2.4775583482944353E-3</v>
      </c>
      <c r="U61" s="542">
        <f t="shared" si="212"/>
        <v>2.3184357541899446E-3</v>
      </c>
      <c r="V61" s="542">
        <f t="shared" si="213"/>
        <v>2.5352112676056342E-3</v>
      </c>
      <c r="W61" s="545">
        <f t="shared" si="214"/>
        <v>0</v>
      </c>
      <c r="X61" s="545">
        <f t="shared" si="215"/>
        <v>0</v>
      </c>
      <c r="Y61" s="545">
        <f t="shared" si="216"/>
        <v>0</v>
      </c>
      <c r="Z61" s="545">
        <f t="shared" si="217"/>
        <v>0</v>
      </c>
      <c r="AA61" s="541">
        <f t="shared" si="226"/>
        <v>1.2387791741472177E-3</v>
      </c>
      <c r="AB61" s="542">
        <f t="shared" si="227"/>
        <v>1.1592178770949723E-3</v>
      </c>
      <c r="AC61" s="542">
        <f t="shared" si="228"/>
        <v>1.2676056338028171E-3</v>
      </c>
      <c r="AD61" s="545">
        <f t="shared" si="229"/>
        <v>0</v>
      </c>
      <c r="AE61" s="545">
        <f t="shared" si="230"/>
        <v>0</v>
      </c>
      <c r="AF61" s="545">
        <f t="shared" si="231"/>
        <v>0</v>
      </c>
      <c r="AG61" s="545">
        <f t="shared" si="232"/>
        <v>0</v>
      </c>
      <c r="AH61" s="546">
        <f t="shared" si="168"/>
        <v>6.7878310912176309E-3</v>
      </c>
      <c r="AI61" s="547">
        <f t="shared" si="169"/>
        <v>6.3518787786025887E-3</v>
      </c>
      <c r="AJ61" s="547">
        <f t="shared" si="170"/>
        <v>6.9457842948099559E-3</v>
      </c>
      <c r="AK61" s="547">
        <f t="shared" si="171"/>
        <v>0</v>
      </c>
      <c r="AL61" s="547">
        <f t="shared" si="172"/>
        <v>0</v>
      </c>
      <c r="AM61" s="547">
        <f t="shared" si="173"/>
        <v>0</v>
      </c>
      <c r="AN61" s="548">
        <f t="shared" si="174"/>
        <v>0</v>
      </c>
      <c r="AO61" s="547">
        <f t="shared" si="218"/>
        <v>1.2387791741472176</v>
      </c>
      <c r="AP61" s="547">
        <f t="shared" si="219"/>
        <v>1.1592178770949724</v>
      </c>
      <c r="AQ61" s="547">
        <f t="shared" si="220"/>
        <v>1.267605633802817</v>
      </c>
      <c r="AR61" s="547">
        <f t="shared" si="221"/>
        <v>0</v>
      </c>
      <c r="AS61" s="547">
        <f t="shared" si="222"/>
        <v>0</v>
      </c>
      <c r="AT61" s="547">
        <f t="shared" si="223"/>
        <v>0</v>
      </c>
      <c r="AU61" s="548">
        <f t="shared" si="224"/>
        <v>0</v>
      </c>
      <c r="AV61" s="541">
        <f t="shared" ref="AV61:AV69" si="234">(T61*1000)/365</f>
        <v>6.7878310912176309E-3</v>
      </c>
      <c r="AW61" s="542">
        <f t="shared" ref="AW61:AW69" si="235">(AVERAGE(U61:V61)*1000)/365</f>
        <v>6.6488315367062715E-3</v>
      </c>
      <c r="AX61" s="545">
        <f t="shared" ref="AX61:AX69" si="236">(AVERAGE(W61:Z61)*1000)/365</f>
        <v>0</v>
      </c>
      <c r="AY61" s="541">
        <f t="shared" ref="AY61:AY69" si="237">AA61*1000</f>
        <v>1.2387791741472176</v>
      </c>
      <c r="AZ61" s="542">
        <f t="shared" ref="AZ61:AZ69" si="238">AVERAGE(AB61:AC61)*1000</f>
        <v>1.2134117554488946</v>
      </c>
      <c r="BA61" s="545">
        <f t="shared" ref="BA61:BA69" si="239">AVERAGE(AD61:AG61)*1000</f>
        <v>0</v>
      </c>
      <c r="BB61" s="549">
        <f t="shared" si="135"/>
        <v>162054.71014492749</v>
      </c>
      <c r="BC61" s="549">
        <f t="shared" si="136"/>
        <v>173177.10843373489</v>
      </c>
      <c r="BD61" s="549">
        <f t="shared" si="137"/>
        <v>158369.44444444444</v>
      </c>
      <c r="BE61" s="557" t="s">
        <v>47</v>
      </c>
      <c r="BF61" s="557" t="s">
        <v>47</v>
      </c>
      <c r="BG61" s="557" t="s">
        <v>47</v>
      </c>
      <c r="BH61" s="558" t="s">
        <v>47</v>
      </c>
      <c r="BI61" s="551">
        <f t="shared" si="207"/>
        <v>887.9710144927534</v>
      </c>
      <c r="BJ61" s="551">
        <f t="shared" si="208"/>
        <v>948.91566265060214</v>
      </c>
      <c r="BK61" s="551">
        <f t="shared" si="210"/>
        <v>867.77777777777771</v>
      </c>
      <c r="BL61" s="557" t="s">
        <v>47</v>
      </c>
      <c r="BM61" s="557" t="s">
        <v>47</v>
      </c>
      <c r="BN61" s="557" t="s">
        <v>47</v>
      </c>
      <c r="BO61" s="558" t="s">
        <v>47</v>
      </c>
    </row>
    <row r="62" spans="1:67">
      <c r="A62" s="882"/>
      <c r="B62" s="461" t="s">
        <v>1065</v>
      </c>
      <c r="C62" s="882"/>
      <c r="D62" s="527">
        <v>1</v>
      </c>
      <c r="E62" s="640">
        <v>1</v>
      </c>
      <c r="F62" s="640">
        <v>0</v>
      </c>
      <c r="G62" s="567">
        <f>'Compiled Products'!G8</f>
        <v>240</v>
      </c>
      <c r="H62" s="235">
        <f>H61</f>
        <v>365</v>
      </c>
      <c r="I62" s="235">
        <f>I61</f>
        <v>1</v>
      </c>
      <c r="J62" s="577">
        <f t="shared" si="225"/>
        <v>2.5000000000000001E-5</v>
      </c>
      <c r="K62" s="539">
        <f t="shared" si="233"/>
        <v>1E-4</v>
      </c>
      <c r="L62" s="553" t="s">
        <v>1395</v>
      </c>
      <c r="M62" s="541">
        <f>(INDEX('Dermal Calcs'!$B$79:$H$85, MATCH($L62,'Dermal Calcs'!$A$79:$A$85, 0), MATCH(M$3, 'Dermal Calcs'!$B$78:$H$78, 0)))*$K62*$D62</f>
        <v>3.0969479353680442E-4</v>
      </c>
      <c r="N62" s="542">
        <f>(INDEX('Dermal Calcs'!$B$79:$H$85, MATCH($L62,'Dermal Calcs'!$A$79:$A$85, 0), MATCH(N$3, 'Dermal Calcs'!$B$78:$H$78, 0)))*$K62*$E62</f>
        <v>2.8980446927374308E-4</v>
      </c>
      <c r="O62" s="542">
        <f>(INDEX('Dermal Calcs'!$B$79:$H$85, MATCH($L62,'Dermal Calcs'!$A$79:$A$85, 0), MATCH(O$3, 'Dermal Calcs'!$B$78:$H$78, 0)))*$K62*$E62</f>
        <v>3.1690140845070427E-4</v>
      </c>
      <c r="P62" s="543">
        <f>(INDEX('Dermal Calcs'!$B$79:$H$85, MATCH($L62,'Dermal Calcs'!$A$79:$A$85, 0), MATCH(P$3, 'Dermal Calcs'!$B$78:$H$78, 0)))*$K62*$F62</f>
        <v>0</v>
      </c>
      <c r="Q62" s="543">
        <f>(INDEX('Dermal Calcs'!$B$79:$H$85, MATCH($L62,'Dermal Calcs'!$A$79:$A$85, 0), MATCH(Q$3, 'Dermal Calcs'!$B$78:$H$78, 0)))*$K62*$F62</f>
        <v>0</v>
      </c>
      <c r="R62" s="543">
        <f>(INDEX('Dermal Calcs'!$B$79:$H$85, MATCH($L62,'Dermal Calcs'!$A$79:$A$85, 0), MATCH(R$3, 'Dermal Calcs'!$B$78:$H$78, 0)))*$K62*$F62</f>
        <v>0</v>
      </c>
      <c r="S62" s="544">
        <f>(INDEX('Dermal Calcs'!$B$79:$H$85, MATCH($L62,'Dermal Calcs'!$A$79:$A$85, 0), MATCH(S$3, 'Dermal Calcs'!$B$78:$H$78, 0)))*$K62*$F62</f>
        <v>0</v>
      </c>
      <c r="T62" s="554">
        <f t="shared" si="211"/>
        <v>6.1938958707360883E-4</v>
      </c>
      <c r="U62" s="555">
        <f t="shared" si="212"/>
        <v>5.7960893854748616E-4</v>
      </c>
      <c r="V62" s="555">
        <f t="shared" si="213"/>
        <v>6.3380281690140854E-4</v>
      </c>
      <c r="W62" s="556">
        <f t="shared" si="214"/>
        <v>0</v>
      </c>
      <c r="X62" s="556">
        <f t="shared" si="215"/>
        <v>0</v>
      </c>
      <c r="Y62" s="556">
        <f t="shared" si="216"/>
        <v>0</v>
      </c>
      <c r="Z62" s="556">
        <f t="shared" si="217"/>
        <v>0</v>
      </c>
      <c r="AA62" s="554">
        <f t="shared" si="226"/>
        <v>3.0969479353680442E-4</v>
      </c>
      <c r="AB62" s="555">
        <f t="shared" si="227"/>
        <v>2.8980446927374308E-4</v>
      </c>
      <c r="AC62" s="555">
        <f t="shared" si="228"/>
        <v>3.1690140845070427E-4</v>
      </c>
      <c r="AD62" s="556">
        <f t="shared" si="229"/>
        <v>0</v>
      </c>
      <c r="AE62" s="556">
        <f t="shared" si="230"/>
        <v>0</v>
      </c>
      <c r="AF62" s="556">
        <f t="shared" si="231"/>
        <v>0</v>
      </c>
      <c r="AG62" s="556">
        <f t="shared" si="232"/>
        <v>0</v>
      </c>
      <c r="AH62" s="546">
        <f t="shared" si="168"/>
        <v>1.6969577728044077E-3</v>
      </c>
      <c r="AI62" s="547">
        <f t="shared" si="169"/>
        <v>1.5879696946506472E-3</v>
      </c>
      <c r="AJ62" s="547">
        <f t="shared" si="170"/>
        <v>1.736446073702489E-3</v>
      </c>
      <c r="AK62" s="547">
        <f t="shared" si="171"/>
        <v>0</v>
      </c>
      <c r="AL62" s="547">
        <f t="shared" si="172"/>
        <v>0</v>
      </c>
      <c r="AM62" s="547">
        <f t="shared" si="173"/>
        <v>0</v>
      </c>
      <c r="AN62" s="548">
        <f t="shared" si="174"/>
        <v>0</v>
      </c>
      <c r="AO62" s="547">
        <f t="shared" si="218"/>
        <v>0.3096947935368044</v>
      </c>
      <c r="AP62" s="547">
        <f t="shared" si="219"/>
        <v>0.28980446927374309</v>
      </c>
      <c r="AQ62" s="547">
        <f t="shared" si="220"/>
        <v>0.31690140845070425</v>
      </c>
      <c r="AR62" s="547">
        <f t="shared" si="221"/>
        <v>0</v>
      </c>
      <c r="AS62" s="547">
        <f t="shared" si="222"/>
        <v>0</v>
      </c>
      <c r="AT62" s="547">
        <f t="shared" si="223"/>
        <v>0</v>
      </c>
      <c r="AU62" s="548">
        <f t="shared" si="224"/>
        <v>0</v>
      </c>
      <c r="AV62" s="554">
        <f t="shared" si="234"/>
        <v>1.6969577728044077E-3</v>
      </c>
      <c r="AW62" s="555">
        <f t="shared" si="235"/>
        <v>1.6622078841765679E-3</v>
      </c>
      <c r="AX62" s="556">
        <f t="shared" si="236"/>
        <v>0</v>
      </c>
      <c r="AY62" s="554">
        <f t="shared" si="237"/>
        <v>0.3096947935368044</v>
      </c>
      <c r="AZ62" s="555">
        <f t="shared" si="238"/>
        <v>0.30335293886222364</v>
      </c>
      <c r="BA62" s="556">
        <f t="shared" si="239"/>
        <v>0</v>
      </c>
      <c r="BB62" s="549">
        <f t="shared" si="135"/>
        <v>648218.84057970997</v>
      </c>
      <c r="BC62" s="549">
        <f t="shared" si="136"/>
        <v>692708.43373493955</v>
      </c>
      <c r="BD62" s="549">
        <f t="shared" si="137"/>
        <v>633477.77777777775</v>
      </c>
      <c r="BE62" s="557" t="s">
        <v>47</v>
      </c>
      <c r="BF62" s="557" t="s">
        <v>47</v>
      </c>
      <c r="BG62" s="557" t="s">
        <v>47</v>
      </c>
      <c r="BH62" s="558" t="s">
        <v>47</v>
      </c>
      <c r="BI62" s="551">
        <f t="shared" si="207"/>
        <v>3551.8840579710136</v>
      </c>
      <c r="BJ62" s="551">
        <f t="shared" si="208"/>
        <v>3795.6626506024086</v>
      </c>
      <c r="BK62" s="551">
        <f t="shared" si="210"/>
        <v>3471.1111111111109</v>
      </c>
      <c r="BL62" s="557" t="s">
        <v>47</v>
      </c>
      <c r="BM62" s="557" t="s">
        <v>47</v>
      </c>
      <c r="BN62" s="557" t="s">
        <v>47</v>
      </c>
      <c r="BO62" s="558" t="s">
        <v>47</v>
      </c>
    </row>
    <row r="63" spans="1:67">
      <c r="A63" s="883"/>
      <c r="B63" s="559" t="s">
        <v>65</v>
      </c>
      <c r="C63" s="883"/>
      <c r="D63" s="530">
        <v>1</v>
      </c>
      <c r="E63" s="531">
        <v>1</v>
      </c>
      <c r="F63" s="531">
        <v>0</v>
      </c>
      <c r="G63" s="567">
        <f>'Compiled Products'!G9</f>
        <v>120</v>
      </c>
      <c r="H63" s="235">
        <f>H61</f>
        <v>365</v>
      </c>
      <c r="I63" s="235">
        <f>I61</f>
        <v>1</v>
      </c>
      <c r="J63" s="577">
        <f t="shared" si="225"/>
        <v>2.5000000000000001E-5</v>
      </c>
      <c r="K63" s="539">
        <f t="shared" si="233"/>
        <v>5.0000000000000002E-5</v>
      </c>
      <c r="L63" s="560" t="s">
        <v>1390</v>
      </c>
      <c r="M63" s="541">
        <f>(INDEX('Dermal Calcs'!$B$79:$H$85, MATCH($L63,'Dermal Calcs'!$A$79:$A$85, 0), MATCH(M$3, 'Dermal Calcs'!$B$78:$H$78, 0)))*$K63*$D63</f>
        <v>6.1938958707360883E-5</v>
      </c>
      <c r="N63" s="542">
        <f>(INDEX('Dermal Calcs'!$B$79:$H$85, MATCH($L63,'Dermal Calcs'!$A$79:$A$85, 0), MATCH(N$3, 'Dermal Calcs'!$B$78:$H$78, 0)))*$K63*$E63</f>
        <v>5.7960893854748621E-5</v>
      </c>
      <c r="O63" s="542">
        <f>(INDEX('Dermal Calcs'!$B$79:$H$85, MATCH($L63,'Dermal Calcs'!$A$79:$A$85, 0), MATCH(O$3, 'Dermal Calcs'!$B$78:$H$78, 0)))*$K63*$E63</f>
        <v>6.3380281690140851E-5</v>
      </c>
      <c r="P63" s="543">
        <f>(INDEX('Dermal Calcs'!$B$79:$H$85, MATCH($L63,'Dermal Calcs'!$A$79:$A$85, 0), MATCH(P$3, 'Dermal Calcs'!$B$78:$H$78, 0)))*$K63*$F63</f>
        <v>0</v>
      </c>
      <c r="Q63" s="543">
        <f>(INDEX('Dermal Calcs'!$B$79:$H$85, MATCH($L63,'Dermal Calcs'!$A$79:$A$85, 0), MATCH(Q$3, 'Dermal Calcs'!$B$78:$H$78, 0)))*$K63*$F63</f>
        <v>0</v>
      </c>
      <c r="R63" s="543">
        <f>(INDEX('Dermal Calcs'!$B$79:$H$85, MATCH($L63,'Dermal Calcs'!$A$79:$A$85, 0), MATCH(R$3, 'Dermal Calcs'!$B$78:$H$78, 0)))*$K63*$F63</f>
        <v>0</v>
      </c>
      <c r="S63" s="544">
        <f>(INDEX('Dermal Calcs'!$B$79:$H$85, MATCH($L63,'Dermal Calcs'!$A$79:$A$85, 0), MATCH(S$3, 'Dermal Calcs'!$B$78:$H$78, 0)))*$K63*$F63</f>
        <v>0</v>
      </c>
      <c r="T63" s="561">
        <f t="shared" si="211"/>
        <v>1.2387791741472177E-4</v>
      </c>
      <c r="U63" s="562">
        <f t="shared" si="212"/>
        <v>1.1592178770949724E-4</v>
      </c>
      <c r="V63" s="562">
        <f t="shared" si="213"/>
        <v>1.267605633802817E-4</v>
      </c>
      <c r="W63" s="563">
        <f t="shared" si="214"/>
        <v>0</v>
      </c>
      <c r="X63" s="563">
        <f t="shared" si="215"/>
        <v>0</v>
      </c>
      <c r="Y63" s="563">
        <f t="shared" si="216"/>
        <v>0</v>
      </c>
      <c r="Z63" s="563">
        <f t="shared" si="217"/>
        <v>0</v>
      </c>
      <c r="AA63" s="561">
        <f t="shared" si="226"/>
        <v>6.1938958707360883E-5</v>
      </c>
      <c r="AB63" s="562">
        <f t="shared" si="227"/>
        <v>5.7960893854748621E-5</v>
      </c>
      <c r="AC63" s="562">
        <f t="shared" si="228"/>
        <v>6.3380281690140851E-5</v>
      </c>
      <c r="AD63" s="563">
        <f t="shared" si="229"/>
        <v>0</v>
      </c>
      <c r="AE63" s="563">
        <f t="shared" si="230"/>
        <v>0</v>
      </c>
      <c r="AF63" s="563">
        <f t="shared" si="231"/>
        <v>0</v>
      </c>
      <c r="AG63" s="563">
        <f t="shared" si="232"/>
        <v>0</v>
      </c>
      <c r="AH63" s="546">
        <f t="shared" si="168"/>
        <v>3.3939155456088151E-4</v>
      </c>
      <c r="AI63" s="547">
        <f t="shared" si="169"/>
        <v>3.1759393893012941E-4</v>
      </c>
      <c r="AJ63" s="547">
        <f t="shared" si="170"/>
        <v>3.4728921474049787E-4</v>
      </c>
      <c r="AK63" s="547">
        <f t="shared" si="171"/>
        <v>0</v>
      </c>
      <c r="AL63" s="547">
        <f t="shared" si="172"/>
        <v>0</v>
      </c>
      <c r="AM63" s="547">
        <f t="shared" si="173"/>
        <v>0</v>
      </c>
      <c r="AN63" s="548">
        <f t="shared" si="174"/>
        <v>0</v>
      </c>
      <c r="AO63" s="547">
        <f t="shared" si="218"/>
        <v>6.193895870736088E-2</v>
      </c>
      <c r="AP63" s="547">
        <f t="shared" si="219"/>
        <v>5.7960893854748619E-2</v>
      </c>
      <c r="AQ63" s="547">
        <f t="shared" si="220"/>
        <v>6.3380281690140858E-2</v>
      </c>
      <c r="AR63" s="547">
        <f t="shared" si="221"/>
        <v>0</v>
      </c>
      <c r="AS63" s="547">
        <f t="shared" si="222"/>
        <v>0</v>
      </c>
      <c r="AT63" s="547">
        <f t="shared" si="223"/>
        <v>0</v>
      </c>
      <c r="AU63" s="548">
        <f t="shared" si="224"/>
        <v>0</v>
      </c>
      <c r="AV63" s="561">
        <f t="shared" si="234"/>
        <v>3.3939155456088151E-4</v>
      </c>
      <c r="AW63" s="562">
        <f t="shared" si="235"/>
        <v>3.3244157683531362E-4</v>
      </c>
      <c r="AX63" s="563">
        <f t="shared" si="236"/>
        <v>0</v>
      </c>
      <c r="AY63" s="561">
        <f t="shared" si="237"/>
        <v>6.193895870736088E-2</v>
      </c>
      <c r="AZ63" s="562">
        <f t="shared" si="238"/>
        <v>6.0670587772444738E-2</v>
      </c>
      <c r="BA63" s="563">
        <f t="shared" si="239"/>
        <v>0</v>
      </c>
      <c r="BB63" s="549">
        <f t="shared" si="135"/>
        <v>3241094.2028985498</v>
      </c>
      <c r="BC63" s="549">
        <f t="shared" si="136"/>
        <v>3463542.1686746981</v>
      </c>
      <c r="BD63" s="549">
        <f t="shared" si="137"/>
        <v>3167388.8888888881</v>
      </c>
      <c r="BE63" s="557" t="s">
        <v>47</v>
      </c>
      <c r="BF63" s="557" t="s">
        <v>47</v>
      </c>
      <c r="BG63" s="557" t="s">
        <v>47</v>
      </c>
      <c r="BH63" s="558" t="s">
        <v>47</v>
      </c>
      <c r="BI63" s="551">
        <f t="shared" si="207"/>
        <v>17759.420289855068</v>
      </c>
      <c r="BJ63" s="551">
        <f t="shared" si="208"/>
        <v>18978.313253012042</v>
      </c>
      <c r="BK63" s="551">
        <f t="shared" si="210"/>
        <v>17355.555555555551</v>
      </c>
      <c r="BL63" s="557" t="s">
        <v>47</v>
      </c>
      <c r="BM63" s="557" t="s">
        <v>47</v>
      </c>
      <c r="BN63" s="557" t="s">
        <v>47</v>
      </c>
      <c r="BO63" s="558" t="s">
        <v>47</v>
      </c>
    </row>
    <row r="64" spans="1:67" ht="14.5" customHeight="1">
      <c r="A64" s="881" t="str">
        <f>'Compiled Products'!H1</f>
        <v>Flooring Adhesive</v>
      </c>
      <c r="B64" s="461" t="s">
        <v>69</v>
      </c>
      <c r="C64" s="881" t="s">
        <v>963</v>
      </c>
      <c r="D64" s="527">
        <v>1</v>
      </c>
      <c r="E64" s="640">
        <v>1</v>
      </c>
      <c r="F64" s="640">
        <v>0</v>
      </c>
      <c r="G64" s="567">
        <f>'Compiled Products'!H7</f>
        <v>480</v>
      </c>
      <c r="H64" s="244">
        <f>'Compiled Products'!H6</f>
        <v>2</v>
      </c>
      <c r="I64" s="244">
        <v>1</v>
      </c>
      <c r="J64" s="577">
        <f t="shared" si="225"/>
        <v>2.5000000000000001E-5</v>
      </c>
      <c r="K64" s="539">
        <f t="shared" si="233"/>
        <v>2.0000000000000001E-4</v>
      </c>
      <c r="L64" s="553" t="s">
        <v>1390</v>
      </c>
      <c r="M64" s="541">
        <f>(INDEX('Dermal Calcs'!$B$79:$H$85, MATCH($L64,'Dermal Calcs'!$A$79:$A$85, 0), MATCH(M$3, 'Dermal Calcs'!$B$78:$H$78, 0)))*$K64*$D64</f>
        <v>2.4775583482944353E-4</v>
      </c>
      <c r="N64" s="542">
        <f>(INDEX('Dermal Calcs'!$B$79:$H$85, MATCH($L64,'Dermal Calcs'!$A$79:$A$85, 0), MATCH(N$3, 'Dermal Calcs'!$B$78:$H$78, 0)))*$K64*$E64</f>
        <v>2.3184357541899449E-4</v>
      </c>
      <c r="O64" s="542">
        <f>(INDEX('Dermal Calcs'!$B$79:$H$85, MATCH($L64,'Dermal Calcs'!$A$79:$A$85, 0), MATCH(O$3, 'Dermal Calcs'!$B$78:$H$78, 0)))*$K64*$E64</f>
        <v>2.535211267605634E-4</v>
      </c>
      <c r="P64" s="543">
        <f>(INDEX('Dermal Calcs'!$B$79:$H$85, MATCH($L64,'Dermal Calcs'!$A$79:$A$85, 0), MATCH(P$3, 'Dermal Calcs'!$B$78:$H$78, 0)))*$K64*$F64</f>
        <v>0</v>
      </c>
      <c r="Q64" s="543">
        <f>(INDEX('Dermal Calcs'!$B$79:$H$85, MATCH($L64,'Dermal Calcs'!$A$79:$A$85, 0), MATCH(Q$3, 'Dermal Calcs'!$B$78:$H$78, 0)))*$K64*$F64</f>
        <v>0</v>
      </c>
      <c r="R64" s="543">
        <f>(INDEX('Dermal Calcs'!$B$79:$H$85, MATCH($L64,'Dermal Calcs'!$A$79:$A$85, 0), MATCH(R$3, 'Dermal Calcs'!$B$78:$H$78, 0)))*$K64*$F64</f>
        <v>0</v>
      </c>
      <c r="S64" s="544">
        <f>(INDEX('Dermal Calcs'!$B$79:$H$85, MATCH($L64,'Dermal Calcs'!$A$79:$A$85, 0), MATCH(S$3, 'Dermal Calcs'!$B$78:$H$78, 0)))*$K64*$F64</f>
        <v>0</v>
      </c>
      <c r="T64" s="541">
        <f t="shared" si="211"/>
        <v>1.2883303411131064E-2</v>
      </c>
      <c r="U64" s="542">
        <f t="shared" si="212"/>
        <v>1.2055865921787713E-2</v>
      </c>
      <c r="V64" s="542">
        <f t="shared" si="213"/>
        <v>1.3183098591549296E-2</v>
      </c>
      <c r="W64" s="542">
        <f t="shared" si="214"/>
        <v>0</v>
      </c>
      <c r="X64" s="542">
        <f t="shared" si="215"/>
        <v>0</v>
      </c>
      <c r="Y64" s="542">
        <f t="shared" si="216"/>
        <v>0</v>
      </c>
      <c r="Z64" s="542">
        <f t="shared" si="217"/>
        <v>0</v>
      </c>
      <c r="AA64" s="541">
        <f t="shared" si="226"/>
        <v>2.4775583482944353E-4</v>
      </c>
      <c r="AB64" s="542">
        <f t="shared" si="227"/>
        <v>2.3184357541899449E-4</v>
      </c>
      <c r="AC64" s="542">
        <f t="shared" si="228"/>
        <v>2.535211267605634E-4</v>
      </c>
      <c r="AD64" s="542">
        <f t="shared" si="229"/>
        <v>0</v>
      </c>
      <c r="AE64" s="542">
        <f t="shared" si="230"/>
        <v>0</v>
      </c>
      <c r="AF64" s="542">
        <f t="shared" si="231"/>
        <v>0</v>
      </c>
      <c r="AG64" s="542">
        <f t="shared" si="232"/>
        <v>0</v>
      </c>
      <c r="AH64" s="546">
        <f t="shared" si="168"/>
        <v>3.5296721674331677E-2</v>
      </c>
      <c r="AI64" s="547">
        <f t="shared" si="169"/>
        <v>3.3029769648733463E-2</v>
      </c>
      <c r="AJ64" s="547">
        <f t="shared" si="170"/>
        <v>3.6118078333011769E-2</v>
      </c>
      <c r="AK64" s="547">
        <f t="shared" si="171"/>
        <v>0</v>
      </c>
      <c r="AL64" s="547">
        <f t="shared" si="172"/>
        <v>0</v>
      </c>
      <c r="AM64" s="547">
        <f t="shared" si="173"/>
        <v>0</v>
      </c>
      <c r="AN64" s="548">
        <f t="shared" si="174"/>
        <v>0</v>
      </c>
      <c r="AO64" s="547">
        <f t="shared" si="218"/>
        <v>0.24775583482944352</v>
      </c>
      <c r="AP64" s="547">
        <f t="shared" si="219"/>
        <v>0.23184357541899447</v>
      </c>
      <c r="AQ64" s="547">
        <f t="shared" si="220"/>
        <v>0.25352112676056343</v>
      </c>
      <c r="AR64" s="547">
        <f t="shared" si="221"/>
        <v>0</v>
      </c>
      <c r="AS64" s="547">
        <f t="shared" si="222"/>
        <v>0</v>
      </c>
      <c r="AT64" s="547">
        <f t="shared" si="223"/>
        <v>0</v>
      </c>
      <c r="AU64" s="548">
        <f t="shared" si="224"/>
        <v>0</v>
      </c>
      <c r="AV64" s="541">
        <f t="shared" si="234"/>
        <v>3.5296721674331677E-2</v>
      </c>
      <c r="AW64" s="542">
        <f t="shared" si="235"/>
        <v>3.4573923990872613E-2</v>
      </c>
      <c r="AX64" s="542">
        <f t="shared" si="236"/>
        <v>0</v>
      </c>
      <c r="AY64" s="541">
        <f t="shared" si="237"/>
        <v>0.24775583482944352</v>
      </c>
      <c r="AZ64" s="542">
        <f t="shared" si="238"/>
        <v>0.24268235108977895</v>
      </c>
      <c r="BA64" s="542">
        <f t="shared" si="239"/>
        <v>0</v>
      </c>
      <c r="BB64" s="549">
        <f t="shared" si="135"/>
        <v>31164.36733556298</v>
      </c>
      <c r="BC64" s="549">
        <f t="shared" si="136"/>
        <v>33303.290083410553</v>
      </c>
      <c r="BD64" s="549">
        <f t="shared" si="137"/>
        <v>30455.662393162394</v>
      </c>
      <c r="BE64" s="557" t="s">
        <v>47</v>
      </c>
      <c r="BF64" s="557" t="s">
        <v>47</v>
      </c>
      <c r="BG64" s="557" t="s">
        <v>47</v>
      </c>
      <c r="BH64" s="558" t="s">
        <v>47</v>
      </c>
      <c r="BI64" s="551">
        <f t="shared" si="207"/>
        <v>4439.8550724637671</v>
      </c>
      <c r="BJ64" s="551">
        <f t="shared" si="208"/>
        <v>4744.5783132530105</v>
      </c>
      <c r="BK64" s="551">
        <f t="shared" si="210"/>
        <v>4338.8888888888878</v>
      </c>
      <c r="BL64" s="557" t="s">
        <v>47</v>
      </c>
      <c r="BM64" s="557" t="s">
        <v>47</v>
      </c>
      <c r="BN64" s="557" t="s">
        <v>47</v>
      </c>
      <c r="BO64" s="558" t="s">
        <v>47</v>
      </c>
    </row>
    <row r="65" spans="1:67">
      <c r="A65" s="882"/>
      <c r="B65" s="461" t="s">
        <v>1065</v>
      </c>
      <c r="C65" s="882"/>
      <c r="D65" s="527">
        <v>1</v>
      </c>
      <c r="E65" s="640">
        <v>1</v>
      </c>
      <c r="F65" s="640">
        <v>0</v>
      </c>
      <c r="G65" s="567">
        <f>'Compiled Products'!H8</f>
        <v>240</v>
      </c>
      <c r="H65" s="235">
        <f>H64</f>
        <v>2</v>
      </c>
      <c r="I65" s="235">
        <f>I64</f>
        <v>1</v>
      </c>
      <c r="J65" s="577">
        <f t="shared" si="225"/>
        <v>2.5000000000000001E-5</v>
      </c>
      <c r="K65" s="539">
        <f t="shared" si="233"/>
        <v>1E-4</v>
      </c>
      <c r="L65" s="553" t="s">
        <v>1390</v>
      </c>
      <c r="M65" s="541">
        <f>(INDEX('Dermal Calcs'!$B$79:$H$85, MATCH($L65,'Dermal Calcs'!$A$79:$A$85, 0), MATCH(M$3, 'Dermal Calcs'!$B$78:$H$78, 0)))*$K65*$D65</f>
        <v>1.2387791741472177E-4</v>
      </c>
      <c r="N65" s="542">
        <f>(INDEX('Dermal Calcs'!$B$79:$H$85, MATCH($L65,'Dermal Calcs'!$A$79:$A$85, 0), MATCH(N$3, 'Dermal Calcs'!$B$78:$H$78, 0)))*$K65*$E65</f>
        <v>1.1592178770949724E-4</v>
      </c>
      <c r="O65" s="542">
        <f>(INDEX('Dermal Calcs'!$B$79:$H$85, MATCH($L65,'Dermal Calcs'!$A$79:$A$85, 0), MATCH(O$3, 'Dermal Calcs'!$B$78:$H$78, 0)))*$K65*$E65</f>
        <v>1.267605633802817E-4</v>
      </c>
      <c r="P65" s="543">
        <f>(INDEX('Dermal Calcs'!$B$79:$H$85, MATCH($L65,'Dermal Calcs'!$A$79:$A$85, 0), MATCH(P$3, 'Dermal Calcs'!$B$78:$H$78, 0)))*$K65*$F65</f>
        <v>0</v>
      </c>
      <c r="Q65" s="543">
        <f>(INDEX('Dermal Calcs'!$B$79:$H$85, MATCH($L65,'Dermal Calcs'!$A$79:$A$85, 0), MATCH(Q$3, 'Dermal Calcs'!$B$78:$H$78, 0)))*$K65*$F65</f>
        <v>0</v>
      </c>
      <c r="R65" s="543">
        <f>(INDEX('Dermal Calcs'!$B$79:$H$85, MATCH($L65,'Dermal Calcs'!$A$79:$A$85, 0), MATCH(R$3, 'Dermal Calcs'!$B$78:$H$78, 0)))*$K65*$F65</f>
        <v>0</v>
      </c>
      <c r="S65" s="544">
        <f>(INDEX('Dermal Calcs'!$B$79:$H$85, MATCH($L65,'Dermal Calcs'!$A$79:$A$85, 0), MATCH(S$3, 'Dermal Calcs'!$B$78:$H$78, 0)))*$K65*$F65</f>
        <v>0</v>
      </c>
      <c r="T65" s="554">
        <f t="shared" si="211"/>
        <v>6.4416517055655318E-3</v>
      </c>
      <c r="U65" s="555">
        <f t="shared" si="212"/>
        <v>6.0279329608938564E-3</v>
      </c>
      <c r="V65" s="555">
        <f t="shared" si="213"/>
        <v>6.5915492957746482E-3</v>
      </c>
      <c r="W65" s="555">
        <f t="shared" si="214"/>
        <v>0</v>
      </c>
      <c r="X65" s="555">
        <f t="shared" si="215"/>
        <v>0</v>
      </c>
      <c r="Y65" s="555">
        <f t="shared" si="216"/>
        <v>0</v>
      </c>
      <c r="Z65" s="555">
        <f t="shared" si="217"/>
        <v>0</v>
      </c>
      <c r="AA65" s="554">
        <f t="shared" si="226"/>
        <v>1.2387791741472177E-4</v>
      </c>
      <c r="AB65" s="555">
        <f t="shared" si="227"/>
        <v>1.1592178770949724E-4</v>
      </c>
      <c r="AC65" s="555">
        <f t="shared" si="228"/>
        <v>1.267605633802817E-4</v>
      </c>
      <c r="AD65" s="555">
        <f t="shared" si="229"/>
        <v>0</v>
      </c>
      <c r="AE65" s="555">
        <f t="shared" si="230"/>
        <v>0</v>
      </c>
      <c r="AF65" s="555">
        <f t="shared" si="231"/>
        <v>0</v>
      </c>
      <c r="AG65" s="555">
        <f t="shared" si="232"/>
        <v>0</v>
      </c>
      <c r="AH65" s="546">
        <f t="shared" si="168"/>
        <v>1.7648360837165838E-2</v>
      </c>
      <c r="AI65" s="547">
        <f t="shared" si="169"/>
        <v>1.6514884824366732E-2</v>
      </c>
      <c r="AJ65" s="547">
        <f t="shared" si="170"/>
        <v>1.8059039166505884E-2</v>
      </c>
      <c r="AK65" s="547">
        <f t="shared" si="171"/>
        <v>0</v>
      </c>
      <c r="AL65" s="547">
        <f t="shared" si="172"/>
        <v>0</v>
      </c>
      <c r="AM65" s="547">
        <f t="shared" si="173"/>
        <v>0</v>
      </c>
      <c r="AN65" s="548">
        <f t="shared" si="174"/>
        <v>0</v>
      </c>
      <c r="AO65" s="547">
        <f t="shared" si="218"/>
        <v>0.12387791741472176</v>
      </c>
      <c r="AP65" s="547">
        <f t="shared" si="219"/>
        <v>0.11592178770949724</v>
      </c>
      <c r="AQ65" s="547">
        <f t="shared" si="220"/>
        <v>0.12676056338028172</v>
      </c>
      <c r="AR65" s="547">
        <f t="shared" si="221"/>
        <v>0</v>
      </c>
      <c r="AS65" s="547">
        <f t="shared" si="222"/>
        <v>0</v>
      </c>
      <c r="AT65" s="547">
        <f t="shared" si="223"/>
        <v>0</v>
      </c>
      <c r="AU65" s="548">
        <f t="shared" si="224"/>
        <v>0</v>
      </c>
      <c r="AV65" s="554">
        <f t="shared" si="234"/>
        <v>1.7648360837165838E-2</v>
      </c>
      <c r="AW65" s="555">
        <f t="shared" si="235"/>
        <v>1.7286961995436306E-2</v>
      </c>
      <c r="AX65" s="555">
        <f t="shared" si="236"/>
        <v>0</v>
      </c>
      <c r="AY65" s="554">
        <f t="shared" si="237"/>
        <v>0.12387791741472176</v>
      </c>
      <c r="AZ65" s="555">
        <f t="shared" si="238"/>
        <v>0.12134117554488948</v>
      </c>
      <c r="BA65" s="555">
        <f t="shared" si="239"/>
        <v>0</v>
      </c>
      <c r="BB65" s="549">
        <f t="shared" si="135"/>
        <v>62328.73467112596</v>
      </c>
      <c r="BC65" s="549">
        <f t="shared" si="136"/>
        <v>66606.580166821106</v>
      </c>
      <c r="BD65" s="549">
        <f t="shared" si="137"/>
        <v>60911.324786324789</v>
      </c>
      <c r="BE65" s="557" t="s">
        <v>47</v>
      </c>
      <c r="BF65" s="557" t="s">
        <v>47</v>
      </c>
      <c r="BG65" s="557" t="s">
        <v>47</v>
      </c>
      <c r="BH65" s="558" t="s">
        <v>47</v>
      </c>
      <c r="BI65" s="551">
        <f t="shared" si="207"/>
        <v>8879.7101449275342</v>
      </c>
      <c r="BJ65" s="551">
        <f t="shared" si="208"/>
        <v>9489.156626506021</v>
      </c>
      <c r="BK65" s="551">
        <f t="shared" si="210"/>
        <v>8677.7777777777756</v>
      </c>
      <c r="BL65" s="557" t="s">
        <v>47</v>
      </c>
      <c r="BM65" s="557" t="s">
        <v>47</v>
      </c>
      <c r="BN65" s="557" t="s">
        <v>47</v>
      </c>
      <c r="BO65" s="558" t="s">
        <v>47</v>
      </c>
    </row>
    <row r="66" spans="1:67">
      <c r="A66" s="883"/>
      <c r="B66" s="559" t="s">
        <v>65</v>
      </c>
      <c r="C66" s="883"/>
      <c r="D66" s="530">
        <v>1</v>
      </c>
      <c r="E66" s="531">
        <v>1</v>
      </c>
      <c r="F66" s="531">
        <v>0</v>
      </c>
      <c r="G66" s="567">
        <f>'Compiled Products'!H9</f>
        <v>120</v>
      </c>
      <c r="H66" s="235">
        <f>H64</f>
        <v>2</v>
      </c>
      <c r="I66" s="235">
        <f>I64</f>
        <v>1</v>
      </c>
      <c r="J66" s="577">
        <f t="shared" si="225"/>
        <v>2.5000000000000001E-5</v>
      </c>
      <c r="K66" s="539">
        <f t="shared" si="233"/>
        <v>5.0000000000000002E-5</v>
      </c>
      <c r="L66" s="553" t="s">
        <v>1390</v>
      </c>
      <c r="M66" s="541">
        <f>(INDEX('Dermal Calcs'!$B$79:$H$85, MATCH($L66,'Dermal Calcs'!$A$79:$A$85, 0), MATCH(M$3, 'Dermal Calcs'!$B$78:$H$78, 0)))*$K66*$D66</f>
        <v>6.1938958707360883E-5</v>
      </c>
      <c r="N66" s="542">
        <f>(INDEX('Dermal Calcs'!$B$79:$H$85, MATCH($L66,'Dermal Calcs'!$A$79:$A$85, 0), MATCH(N$3, 'Dermal Calcs'!$B$78:$H$78, 0)))*$K66*$E66</f>
        <v>5.7960893854748621E-5</v>
      </c>
      <c r="O66" s="542">
        <f>(INDEX('Dermal Calcs'!$B$79:$H$85, MATCH($L66,'Dermal Calcs'!$A$79:$A$85, 0), MATCH(O$3, 'Dermal Calcs'!$B$78:$H$78, 0)))*$K66*$E66</f>
        <v>6.3380281690140851E-5</v>
      </c>
      <c r="P66" s="543">
        <f>(INDEX('Dermal Calcs'!$B$79:$H$85, MATCH($L66,'Dermal Calcs'!$A$79:$A$85, 0), MATCH(P$3, 'Dermal Calcs'!$B$78:$H$78, 0)))*$K66*$F66</f>
        <v>0</v>
      </c>
      <c r="Q66" s="543">
        <f>(INDEX('Dermal Calcs'!$B$79:$H$85, MATCH($L66,'Dermal Calcs'!$A$79:$A$85, 0), MATCH(Q$3, 'Dermal Calcs'!$B$78:$H$78, 0)))*$K66*$F66</f>
        <v>0</v>
      </c>
      <c r="R66" s="543">
        <f>(INDEX('Dermal Calcs'!$B$79:$H$85, MATCH($L66,'Dermal Calcs'!$A$79:$A$85, 0), MATCH(R$3, 'Dermal Calcs'!$B$78:$H$78, 0)))*$K66*$F66</f>
        <v>0</v>
      </c>
      <c r="S66" s="544">
        <f>(INDEX('Dermal Calcs'!$B$79:$H$85, MATCH($L66,'Dermal Calcs'!$A$79:$A$85, 0), MATCH(S$3, 'Dermal Calcs'!$B$78:$H$78, 0)))*$K66*$F66</f>
        <v>0</v>
      </c>
      <c r="T66" s="561">
        <f t="shared" si="211"/>
        <v>3.2208258527827659E-3</v>
      </c>
      <c r="U66" s="562">
        <f t="shared" si="212"/>
        <v>3.0139664804469282E-3</v>
      </c>
      <c r="V66" s="562">
        <f t="shared" si="213"/>
        <v>3.2957746478873241E-3</v>
      </c>
      <c r="W66" s="562">
        <f t="shared" si="214"/>
        <v>0</v>
      </c>
      <c r="X66" s="562">
        <f t="shared" si="215"/>
        <v>0</v>
      </c>
      <c r="Y66" s="562">
        <f t="shared" si="216"/>
        <v>0</v>
      </c>
      <c r="Z66" s="562">
        <f t="shared" si="217"/>
        <v>0</v>
      </c>
      <c r="AA66" s="561">
        <f t="shared" si="226"/>
        <v>6.1938958707360883E-5</v>
      </c>
      <c r="AB66" s="562">
        <f t="shared" si="227"/>
        <v>5.7960893854748621E-5</v>
      </c>
      <c r="AC66" s="562">
        <f t="shared" si="228"/>
        <v>6.3380281690140851E-5</v>
      </c>
      <c r="AD66" s="562">
        <f t="shared" si="229"/>
        <v>0</v>
      </c>
      <c r="AE66" s="562">
        <f t="shared" si="230"/>
        <v>0</v>
      </c>
      <c r="AF66" s="562">
        <f t="shared" si="231"/>
        <v>0</v>
      </c>
      <c r="AG66" s="562">
        <f t="shared" si="232"/>
        <v>0</v>
      </c>
      <c r="AH66" s="579">
        <f t="shared" si="168"/>
        <v>8.8241804185829192E-3</v>
      </c>
      <c r="AI66" s="580">
        <f t="shared" si="169"/>
        <v>8.2574424121833658E-3</v>
      </c>
      <c r="AJ66" s="580">
        <f t="shared" si="170"/>
        <v>9.0295195832529422E-3</v>
      </c>
      <c r="AK66" s="580">
        <f t="shared" si="171"/>
        <v>0</v>
      </c>
      <c r="AL66" s="580">
        <f t="shared" si="172"/>
        <v>0</v>
      </c>
      <c r="AM66" s="580">
        <f t="shared" si="173"/>
        <v>0</v>
      </c>
      <c r="AN66" s="581">
        <f t="shared" si="174"/>
        <v>0</v>
      </c>
      <c r="AO66" s="580">
        <f t="shared" si="218"/>
        <v>6.193895870736088E-2</v>
      </c>
      <c r="AP66" s="580">
        <f t="shared" si="219"/>
        <v>5.7960893854748619E-2</v>
      </c>
      <c r="AQ66" s="580">
        <f t="shared" si="220"/>
        <v>6.3380281690140858E-2</v>
      </c>
      <c r="AR66" s="580">
        <f t="shared" si="221"/>
        <v>0</v>
      </c>
      <c r="AS66" s="580">
        <f t="shared" si="222"/>
        <v>0</v>
      </c>
      <c r="AT66" s="580">
        <f t="shared" si="223"/>
        <v>0</v>
      </c>
      <c r="AU66" s="581">
        <f t="shared" si="224"/>
        <v>0</v>
      </c>
      <c r="AV66" s="561">
        <f t="shared" si="234"/>
        <v>8.8241804185829192E-3</v>
      </c>
      <c r="AW66" s="562">
        <f t="shared" si="235"/>
        <v>8.6434809977181531E-3</v>
      </c>
      <c r="AX66" s="562">
        <f t="shared" si="236"/>
        <v>0</v>
      </c>
      <c r="AY66" s="561">
        <f t="shared" si="237"/>
        <v>6.193895870736088E-2</v>
      </c>
      <c r="AZ66" s="562">
        <f t="shared" si="238"/>
        <v>6.0670587772444738E-2</v>
      </c>
      <c r="BA66" s="562">
        <f t="shared" si="239"/>
        <v>0</v>
      </c>
      <c r="BB66" s="549">
        <f t="shared" si="135"/>
        <v>124657.46934225192</v>
      </c>
      <c r="BC66" s="549">
        <f t="shared" si="136"/>
        <v>133213.16033364221</v>
      </c>
      <c r="BD66" s="549">
        <f t="shared" si="137"/>
        <v>121822.64957264958</v>
      </c>
      <c r="BE66" s="557" t="s">
        <v>47</v>
      </c>
      <c r="BF66" s="557" t="s">
        <v>47</v>
      </c>
      <c r="BG66" s="557" t="s">
        <v>47</v>
      </c>
      <c r="BH66" s="558" t="s">
        <v>47</v>
      </c>
      <c r="BI66" s="551">
        <f t="shared" si="207"/>
        <v>17759.420289855068</v>
      </c>
      <c r="BJ66" s="551">
        <f t="shared" si="208"/>
        <v>18978.313253012042</v>
      </c>
      <c r="BK66" s="551">
        <f t="shared" si="210"/>
        <v>17355.555555555551</v>
      </c>
      <c r="BL66" s="557" t="s">
        <v>47</v>
      </c>
      <c r="BM66" s="557" t="s">
        <v>47</v>
      </c>
      <c r="BN66" s="557" t="s">
        <v>47</v>
      </c>
      <c r="BO66" s="558" t="s">
        <v>47</v>
      </c>
    </row>
    <row r="67" spans="1:67" ht="14.5" customHeight="1">
      <c r="A67" s="881" t="str">
        <f>'Compiled Products'!I1</f>
        <v>Fragrance Oil</v>
      </c>
      <c r="B67" s="566" t="s">
        <v>69</v>
      </c>
      <c r="C67" s="881" t="s">
        <v>964</v>
      </c>
      <c r="D67" s="527">
        <v>1</v>
      </c>
      <c r="E67" s="640">
        <v>1</v>
      </c>
      <c r="F67" s="640">
        <v>1</v>
      </c>
      <c r="G67" s="567">
        <f>'Compiled Products'!I7</f>
        <v>120</v>
      </c>
      <c r="H67" s="244">
        <f>'Compiled Products'!I6</f>
        <v>52</v>
      </c>
      <c r="I67" s="244">
        <v>1</v>
      </c>
      <c r="J67" s="577">
        <f t="shared" si="225"/>
        <v>2.5000000000000001E-5</v>
      </c>
      <c r="K67" s="539">
        <f t="shared" si="233"/>
        <v>5.0000000000000002E-5</v>
      </c>
      <c r="L67" s="540" t="s">
        <v>1386</v>
      </c>
      <c r="M67" s="541">
        <f>(INDEX('Dermal Calcs'!$B$79:$H$85, MATCH($L67,'Dermal Calcs'!$A$79:$A$85, 0), MATCH(M$3, 'Dermal Calcs'!$B$78:$H$78, 0)))*$K67*$D67</f>
        <v>3.0969479353680442E-4</v>
      </c>
      <c r="N67" s="542">
        <f>(INDEX('Dermal Calcs'!$B$79:$H$85, MATCH($L67,'Dermal Calcs'!$A$79:$A$85, 0), MATCH(N$3, 'Dermal Calcs'!$B$78:$H$78, 0)))*$K67*$E67</f>
        <v>2.8980446927374308E-4</v>
      </c>
      <c r="O67" s="542">
        <f>(INDEX('Dermal Calcs'!$B$79:$H$85, MATCH($L67,'Dermal Calcs'!$A$79:$A$85, 0), MATCH(O$3, 'Dermal Calcs'!$B$78:$H$78, 0)))*$K67*$E67</f>
        <v>3.1690140845070427E-4</v>
      </c>
      <c r="P67" s="543">
        <f>(INDEX('Dermal Calcs'!$B$79:$H$85, MATCH($L67,'Dermal Calcs'!$A$79:$A$85, 0), MATCH(P$3, 'Dermal Calcs'!$B$78:$H$78, 0)))*$K67*$F67</f>
        <v>4.0094339622641508E-4</v>
      </c>
      <c r="Q67" s="543">
        <f>(INDEX('Dermal Calcs'!$B$79:$H$85, MATCH($L67,'Dermal Calcs'!$A$79:$A$85, 0), MATCH(Q$3, 'Dermal Calcs'!$B$78:$H$78, 0)))*$K67*$F67</f>
        <v>4.9731182795698927E-4</v>
      </c>
      <c r="R67" s="543">
        <f>(INDEX('Dermal Calcs'!$B$79:$H$85, MATCH($L67,'Dermal Calcs'!$A$79:$A$85, 0), MATCH(R$3, 'Dermal Calcs'!$B$78:$H$78, 0)))*$K67*$F67</f>
        <v>5.7539682539682537E-4</v>
      </c>
      <c r="S67" s="544">
        <f>(INDEX('Dermal Calcs'!$B$79:$H$85, MATCH($L67,'Dermal Calcs'!$A$79:$A$85, 0), MATCH(S$3, 'Dermal Calcs'!$B$78:$H$78, 0)))*$K67*$F67</f>
        <v>6.7287234042553198E-4</v>
      </c>
      <c r="T67" s="541">
        <f t="shared" si="211"/>
        <v>0.11303859964093362</v>
      </c>
      <c r="U67" s="542">
        <f t="shared" si="212"/>
        <v>0.10577863128491623</v>
      </c>
      <c r="V67" s="542">
        <f t="shared" si="213"/>
        <v>0.11566901408450705</v>
      </c>
      <c r="W67" s="545">
        <f t="shared" si="214"/>
        <v>0.14634433962264151</v>
      </c>
      <c r="X67" s="545">
        <f t="shared" si="215"/>
        <v>0.18151881720430108</v>
      </c>
      <c r="Y67" s="545">
        <f t="shared" si="216"/>
        <v>0.21001984126984127</v>
      </c>
      <c r="Z67" s="545">
        <f t="shared" si="217"/>
        <v>0.24559840425531917</v>
      </c>
      <c r="AA67" s="541">
        <f t="shared" si="226"/>
        <v>3.0969479353680442E-4</v>
      </c>
      <c r="AB67" s="542">
        <f t="shared" si="227"/>
        <v>2.8980446927374308E-4</v>
      </c>
      <c r="AC67" s="542">
        <f t="shared" si="228"/>
        <v>3.1690140845070427E-4</v>
      </c>
      <c r="AD67" s="545">
        <f t="shared" si="229"/>
        <v>4.0094339622641508E-4</v>
      </c>
      <c r="AE67" s="545">
        <f t="shared" si="230"/>
        <v>4.9731182795698927E-4</v>
      </c>
      <c r="AF67" s="545">
        <f t="shared" si="231"/>
        <v>5.7539682539682537E-4</v>
      </c>
      <c r="AG67" s="545">
        <f t="shared" si="232"/>
        <v>6.7287234042553198E-4</v>
      </c>
      <c r="AH67" s="546">
        <f t="shared" ref="AH67:AH69" si="240">(T67*1000)/365</f>
        <v>0.3096947935368044</v>
      </c>
      <c r="AI67" s="547">
        <f t="shared" ref="AI67:AI69" si="241">(U67*1000)/365</f>
        <v>0.28980446927374309</v>
      </c>
      <c r="AJ67" s="547">
        <f t="shared" ref="AJ67:AJ69" si="242">(V67*1000)/365</f>
        <v>0.31690140845070425</v>
      </c>
      <c r="AK67" s="547">
        <f t="shared" ref="AK67:AK69" si="243">(W67*1000)/365</f>
        <v>0.40094339622641512</v>
      </c>
      <c r="AL67" s="547">
        <f t="shared" ref="AL67:AL69" si="244">(X67*1000)/365</f>
        <v>0.49731182795698931</v>
      </c>
      <c r="AM67" s="547">
        <f t="shared" ref="AM67:AM69" si="245">(Y67*1000)/365</f>
        <v>0.57539682539682535</v>
      </c>
      <c r="AN67" s="548">
        <f t="shared" ref="AN67:AN69" si="246">(Z67*1000)/365</f>
        <v>0.67287234042553201</v>
      </c>
      <c r="AO67" s="547">
        <f t="shared" si="218"/>
        <v>0.3096947935368044</v>
      </c>
      <c r="AP67" s="547">
        <f t="shared" si="219"/>
        <v>0.28980446927374309</v>
      </c>
      <c r="AQ67" s="547">
        <f t="shared" si="220"/>
        <v>0.31690140845070425</v>
      </c>
      <c r="AR67" s="547">
        <f t="shared" si="221"/>
        <v>0.40094339622641506</v>
      </c>
      <c r="AS67" s="547">
        <f t="shared" si="222"/>
        <v>0.49731182795698925</v>
      </c>
      <c r="AT67" s="547">
        <f t="shared" si="223"/>
        <v>0.57539682539682535</v>
      </c>
      <c r="AU67" s="548">
        <f t="shared" si="224"/>
        <v>0.67287234042553201</v>
      </c>
      <c r="AV67" s="541">
        <f t="shared" si="234"/>
        <v>0.3096947935368044</v>
      </c>
      <c r="AW67" s="542">
        <f t="shared" si="235"/>
        <v>0.3033529388622237</v>
      </c>
      <c r="AX67" s="545">
        <f t="shared" si="236"/>
        <v>0.53663109750144045</v>
      </c>
      <c r="AY67" s="541">
        <f t="shared" si="237"/>
        <v>0.3096947935368044</v>
      </c>
      <c r="AZ67" s="542">
        <f t="shared" si="238"/>
        <v>0.30335293886222364</v>
      </c>
      <c r="BA67" s="545">
        <f t="shared" si="239"/>
        <v>0.53663109750144045</v>
      </c>
      <c r="BB67" s="549">
        <f t="shared" si="135"/>
        <v>3551.8840579710136</v>
      </c>
      <c r="BC67" s="549">
        <f t="shared" si="136"/>
        <v>3795.6626506024086</v>
      </c>
      <c r="BD67" s="549">
        <f t="shared" si="137"/>
        <v>3471.1111111111109</v>
      </c>
      <c r="BE67" s="557" t="s">
        <v>47</v>
      </c>
      <c r="BF67" s="557" t="s">
        <v>47</v>
      </c>
      <c r="BG67" s="557" t="s">
        <v>47</v>
      </c>
      <c r="BH67" s="558" t="s">
        <v>47</v>
      </c>
      <c r="BI67" s="551">
        <f t="shared" si="207"/>
        <v>3551.8840579710136</v>
      </c>
      <c r="BJ67" s="551">
        <f t="shared" si="208"/>
        <v>3795.6626506024086</v>
      </c>
      <c r="BK67" s="551">
        <f t="shared" si="210"/>
        <v>3471.1111111111109</v>
      </c>
      <c r="BL67" s="557" t="s">
        <v>47</v>
      </c>
      <c r="BM67" s="557" t="s">
        <v>47</v>
      </c>
      <c r="BN67" s="557" t="s">
        <v>47</v>
      </c>
      <c r="BO67" s="558" t="s">
        <v>47</v>
      </c>
    </row>
    <row r="68" spans="1:67">
      <c r="A68" s="882"/>
      <c r="B68" s="461" t="s">
        <v>1065</v>
      </c>
      <c r="C68" s="882"/>
      <c r="D68" s="527">
        <v>1</v>
      </c>
      <c r="E68" s="640">
        <v>1</v>
      </c>
      <c r="F68" s="640">
        <v>1</v>
      </c>
      <c r="G68" s="567">
        <f>'Compiled Products'!I8</f>
        <v>60</v>
      </c>
      <c r="H68" s="235">
        <f>H67</f>
        <v>52</v>
      </c>
      <c r="I68" s="244">
        <f>I67</f>
        <v>1</v>
      </c>
      <c r="J68" s="577">
        <f t="shared" si="225"/>
        <v>2.5000000000000001E-5</v>
      </c>
      <c r="K68" s="539">
        <f t="shared" si="233"/>
        <v>2.5000000000000001E-5</v>
      </c>
      <c r="L68" s="553" t="s">
        <v>1386</v>
      </c>
      <c r="M68" s="541">
        <f>(INDEX('Dermal Calcs'!$B$79:$H$85, MATCH($L68,'Dermal Calcs'!$A$79:$A$85, 0), MATCH(M$3, 'Dermal Calcs'!$B$78:$H$78, 0)))*$K68*$D68</f>
        <v>1.5484739676840221E-4</v>
      </c>
      <c r="N68" s="542">
        <f>(INDEX('Dermal Calcs'!$B$79:$H$85, MATCH($L68,'Dermal Calcs'!$A$79:$A$85, 0), MATCH(N$3, 'Dermal Calcs'!$B$78:$H$78, 0)))*$K68*$E68</f>
        <v>1.4490223463687154E-4</v>
      </c>
      <c r="O68" s="542">
        <f>(INDEX('Dermal Calcs'!$B$79:$H$85, MATCH($L68,'Dermal Calcs'!$A$79:$A$85, 0), MATCH(O$3, 'Dermal Calcs'!$B$78:$H$78, 0)))*$K68*$E68</f>
        <v>1.5845070422535213E-4</v>
      </c>
      <c r="P68" s="543">
        <f>(INDEX('Dermal Calcs'!$B$79:$H$85, MATCH($L68,'Dermal Calcs'!$A$79:$A$85, 0), MATCH(P$3, 'Dermal Calcs'!$B$78:$H$78, 0)))*$K68*$F68</f>
        <v>2.0047169811320754E-4</v>
      </c>
      <c r="Q68" s="543">
        <f>(INDEX('Dermal Calcs'!$B$79:$H$85, MATCH($L68,'Dermal Calcs'!$A$79:$A$85, 0), MATCH(Q$3, 'Dermal Calcs'!$B$78:$H$78, 0)))*$K68*$F68</f>
        <v>2.4865591397849464E-4</v>
      </c>
      <c r="R68" s="543">
        <f>(INDEX('Dermal Calcs'!$B$79:$H$85, MATCH($L68,'Dermal Calcs'!$A$79:$A$85, 0), MATCH(R$3, 'Dermal Calcs'!$B$78:$H$78, 0)))*$K68*$F68</f>
        <v>2.8769841269841268E-4</v>
      </c>
      <c r="S68" s="544">
        <f>(INDEX('Dermal Calcs'!$B$79:$H$85, MATCH($L68,'Dermal Calcs'!$A$79:$A$85, 0), MATCH(S$3, 'Dermal Calcs'!$B$78:$H$78, 0)))*$K68*$F68</f>
        <v>3.3643617021276599E-4</v>
      </c>
      <c r="T68" s="554">
        <f t="shared" si="211"/>
        <v>5.6519299820466808E-2</v>
      </c>
      <c r="U68" s="555">
        <f t="shared" si="212"/>
        <v>5.2889315642458114E-2</v>
      </c>
      <c r="V68" s="555">
        <f t="shared" si="213"/>
        <v>5.7834507042253527E-2</v>
      </c>
      <c r="W68" s="556">
        <f t="shared" si="214"/>
        <v>7.3172169811320756E-2</v>
      </c>
      <c r="X68" s="556">
        <f t="shared" si="215"/>
        <v>9.0759408602150538E-2</v>
      </c>
      <c r="Y68" s="556">
        <f t="shared" si="216"/>
        <v>0.10500992063492064</v>
      </c>
      <c r="Z68" s="556">
        <f t="shared" si="217"/>
        <v>0.12279920212765959</v>
      </c>
      <c r="AA68" s="554">
        <f t="shared" si="226"/>
        <v>1.5484739676840221E-4</v>
      </c>
      <c r="AB68" s="555">
        <f t="shared" si="227"/>
        <v>1.4490223463687154E-4</v>
      </c>
      <c r="AC68" s="555">
        <f t="shared" si="228"/>
        <v>1.5845070422535213E-4</v>
      </c>
      <c r="AD68" s="556">
        <f t="shared" si="229"/>
        <v>2.0047169811320754E-4</v>
      </c>
      <c r="AE68" s="556">
        <f t="shared" si="230"/>
        <v>2.4865591397849464E-4</v>
      </c>
      <c r="AF68" s="556">
        <f t="shared" si="231"/>
        <v>2.8769841269841268E-4</v>
      </c>
      <c r="AG68" s="556">
        <f t="shared" si="232"/>
        <v>3.3643617021276599E-4</v>
      </c>
      <c r="AH68" s="546">
        <f t="shared" si="240"/>
        <v>0.1548473967684022</v>
      </c>
      <c r="AI68" s="547">
        <f t="shared" si="241"/>
        <v>0.14490223463687155</v>
      </c>
      <c r="AJ68" s="547">
        <f t="shared" si="242"/>
        <v>0.15845070422535212</v>
      </c>
      <c r="AK68" s="547">
        <f t="shared" si="243"/>
        <v>0.20047169811320756</v>
      </c>
      <c r="AL68" s="547">
        <f t="shared" si="244"/>
        <v>0.24865591397849465</v>
      </c>
      <c r="AM68" s="547">
        <f t="shared" si="245"/>
        <v>0.28769841269841268</v>
      </c>
      <c r="AN68" s="548">
        <f t="shared" si="246"/>
        <v>0.33643617021276601</v>
      </c>
      <c r="AO68" s="547">
        <f t="shared" si="218"/>
        <v>0.1548473967684022</v>
      </c>
      <c r="AP68" s="547">
        <f t="shared" si="219"/>
        <v>0.14490223463687155</v>
      </c>
      <c r="AQ68" s="547">
        <f t="shared" si="220"/>
        <v>0.15845070422535212</v>
      </c>
      <c r="AR68" s="547">
        <f t="shared" si="221"/>
        <v>0.20047169811320753</v>
      </c>
      <c r="AS68" s="547">
        <f t="shared" si="222"/>
        <v>0.24865591397849462</v>
      </c>
      <c r="AT68" s="547">
        <f t="shared" si="223"/>
        <v>0.28769841269841268</v>
      </c>
      <c r="AU68" s="548">
        <f t="shared" si="224"/>
        <v>0.33643617021276601</v>
      </c>
      <c r="AV68" s="554">
        <f t="shared" si="234"/>
        <v>0.1548473967684022</v>
      </c>
      <c r="AW68" s="555">
        <f t="shared" si="235"/>
        <v>0.15167646943111185</v>
      </c>
      <c r="AX68" s="556">
        <f t="shared" si="236"/>
        <v>0.26831554875072022</v>
      </c>
      <c r="AY68" s="554">
        <f t="shared" si="237"/>
        <v>0.1548473967684022</v>
      </c>
      <c r="AZ68" s="555">
        <f t="shared" si="238"/>
        <v>0.15167646943111182</v>
      </c>
      <c r="BA68" s="556">
        <f t="shared" si="239"/>
        <v>0.26831554875072022</v>
      </c>
      <c r="BB68" s="549">
        <f t="shared" si="135"/>
        <v>7103.7681159420272</v>
      </c>
      <c r="BC68" s="549">
        <f t="shared" si="136"/>
        <v>7591.3253012048172</v>
      </c>
      <c r="BD68" s="549">
        <f t="shared" si="137"/>
        <v>6942.2222222222217</v>
      </c>
      <c r="BE68" s="557" t="s">
        <v>47</v>
      </c>
      <c r="BF68" s="557" t="s">
        <v>47</v>
      </c>
      <c r="BG68" s="557" t="s">
        <v>47</v>
      </c>
      <c r="BH68" s="558" t="s">
        <v>47</v>
      </c>
      <c r="BI68" s="551">
        <f t="shared" si="207"/>
        <v>7103.7681159420272</v>
      </c>
      <c r="BJ68" s="551">
        <f t="shared" si="208"/>
        <v>7591.3253012048172</v>
      </c>
      <c r="BK68" s="551">
        <f t="shared" si="210"/>
        <v>6942.2222222222217</v>
      </c>
      <c r="BL68" s="557" t="s">
        <v>47</v>
      </c>
      <c r="BM68" s="557" t="s">
        <v>47</v>
      </c>
      <c r="BN68" s="557" t="s">
        <v>47</v>
      </c>
      <c r="BO68" s="558" t="s">
        <v>47</v>
      </c>
    </row>
    <row r="69" spans="1:67">
      <c r="A69" s="883"/>
      <c r="B69" s="559" t="s">
        <v>65</v>
      </c>
      <c r="C69" s="883"/>
      <c r="D69" s="530">
        <v>1</v>
      </c>
      <c r="E69" s="531">
        <v>1</v>
      </c>
      <c r="F69" s="531">
        <v>1</v>
      </c>
      <c r="G69" s="567">
        <f>'Compiled Products'!I9</f>
        <v>30</v>
      </c>
      <c r="H69" s="235">
        <f>H67</f>
        <v>52</v>
      </c>
      <c r="I69" s="244">
        <f>I67</f>
        <v>1</v>
      </c>
      <c r="J69" s="577">
        <f t="shared" si="225"/>
        <v>2.5000000000000001E-5</v>
      </c>
      <c r="K69" s="539">
        <f t="shared" si="233"/>
        <v>1.2500000000000001E-5</v>
      </c>
      <c r="L69" s="560" t="s">
        <v>1386</v>
      </c>
      <c r="M69" s="541">
        <f>(INDEX('Dermal Calcs'!$B$79:$H$85, MATCH($L69,'Dermal Calcs'!$A$79:$A$85, 0), MATCH(M$3, 'Dermal Calcs'!$B$78:$H$78, 0)))*$K69*$D69</f>
        <v>7.7423698384201104E-5</v>
      </c>
      <c r="N69" s="542">
        <f>(INDEX('Dermal Calcs'!$B$79:$H$85, MATCH($L69,'Dermal Calcs'!$A$79:$A$85, 0), MATCH(N$3, 'Dermal Calcs'!$B$78:$H$78, 0)))*$K69*$E69</f>
        <v>7.245111731843577E-5</v>
      </c>
      <c r="O69" s="542">
        <f>(INDEX('Dermal Calcs'!$B$79:$H$85, MATCH($L69,'Dermal Calcs'!$A$79:$A$85, 0), MATCH(O$3, 'Dermal Calcs'!$B$78:$H$78, 0)))*$K69*$E69</f>
        <v>7.9225352112676067E-5</v>
      </c>
      <c r="P69" s="543">
        <f>(INDEX('Dermal Calcs'!$B$79:$H$85, MATCH($L69,'Dermal Calcs'!$A$79:$A$85, 0), MATCH(P$3, 'Dermal Calcs'!$B$78:$H$78, 0)))*$K69*$F69</f>
        <v>1.0023584905660377E-4</v>
      </c>
      <c r="Q69" s="543">
        <f>(INDEX('Dermal Calcs'!$B$79:$H$85, MATCH($L69,'Dermal Calcs'!$A$79:$A$85, 0), MATCH(Q$3, 'Dermal Calcs'!$B$78:$H$78, 0)))*$K69*$F69</f>
        <v>1.2432795698924732E-4</v>
      </c>
      <c r="R69" s="543">
        <f>(INDEX('Dermal Calcs'!$B$79:$H$85, MATCH($L69,'Dermal Calcs'!$A$79:$A$85, 0), MATCH(R$3, 'Dermal Calcs'!$B$78:$H$78, 0)))*$K69*$F69</f>
        <v>1.4384920634920634E-4</v>
      </c>
      <c r="S69" s="544">
        <f>(INDEX('Dermal Calcs'!$B$79:$H$85, MATCH($L69,'Dermal Calcs'!$A$79:$A$85, 0), MATCH(S$3, 'Dermal Calcs'!$B$78:$H$78, 0)))*$K69*$F69</f>
        <v>1.6821808510638299E-4</v>
      </c>
      <c r="T69" s="561">
        <f t="shared" si="211"/>
        <v>2.8259649910233404E-2</v>
      </c>
      <c r="U69" s="562">
        <f t="shared" si="212"/>
        <v>2.6444657821229057E-2</v>
      </c>
      <c r="V69" s="562">
        <f t="shared" si="213"/>
        <v>2.8917253521126764E-2</v>
      </c>
      <c r="W69" s="563">
        <f t="shared" si="214"/>
        <v>3.6586084905660378E-2</v>
      </c>
      <c r="X69" s="563">
        <f t="shared" si="215"/>
        <v>4.5379704301075269E-2</v>
      </c>
      <c r="Y69" s="563">
        <f t="shared" si="216"/>
        <v>5.2504960317460318E-2</v>
      </c>
      <c r="Z69" s="563">
        <f t="shared" si="217"/>
        <v>6.1399601063829794E-2</v>
      </c>
      <c r="AA69" s="561">
        <f t="shared" si="226"/>
        <v>7.7423698384201104E-5</v>
      </c>
      <c r="AB69" s="562">
        <f t="shared" si="227"/>
        <v>7.245111731843577E-5</v>
      </c>
      <c r="AC69" s="562">
        <f t="shared" si="228"/>
        <v>7.9225352112676067E-5</v>
      </c>
      <c r="AD69" s="563">
        <f t="shared" si="229"/>
        <v>1.0023584905660377E-4</v>
      </c>
      <c r="AE69" s="563">
        <f t="shared" si="230"/>
        <v>1.2432795698924732E-4</v>
      </c>
      <c r="AF69" s="563">
        <f t="shared" si="231"/>
        <v>1.4384920634920634E-4</v>
      </c>
      <c r="AG69" s="563">
        <f t="shared" si="232"/>
        <v>1.6821808510638299E-4</v>
      </c>
      <c r="AH69" s="546">
        <f t="shared" si="240"/>
        <v>7.7423698384201101E-2</v>
      </c>
      <c r="AI69" s="547">
        <f t="shared" si="241"/>
        <v>7.2451117318435773E-2</v>
      </c>
      <c r="AJ69" s="547">
        <f t="shared" si="242"/>
        <v>7.9225352112676062E-2</v>
      </c>
      <c r="AK69" s="547">
        <f t="shared" si="243"/>
        <v>0.10023584905660378</v>
      </c>
      <c r="AL69" s="547">
        <f t="shared" si="244"/>
        <v>0.12432795698924733</v>
      </c>
      <c r="AM69" s="547">
        <f t="shared" si="245"/>
        <v>0.14384920634920634</v>
      </c>
      <c r="AN69" s="548">
        <f t="shared" si="246"/>
        <v>0.168218085106383</v>
      </c>
      <c r="AO69" s="547">
        <f t="shared" si="218"/>
        <v>7.7423698384201101E-2</v>
      </c>
      <c r="AP69" s="547">
        <f t="shared" si="219"/>
        <v>7.2451117318435773E-2</v>
      </c>
      <c r="AQ69" s="547">
        <f t="shared" si="220"/>
        <v>7.9225352112676062E-2</v>
      </c>
      <c r="AR69" s="547">
        <f t="shared" si="221"/>
        <v>0.10023584905660377</v>
      </c>
      <c r="AS69" s="547">
        <f t="shared" si="222"/>
        <v>0.12432795698924731</v>
      </c>
      <c r="AT69" s="547">
        <f t="shared" si="223"/>
        <v>0.14384920634920634</v>
      </c>
      <c r="AU69" s="548">
        <f t="shared" si="224"/>
        <v>0.168218085106383</v>
      </c>
      <c r="AV69" s="561">
        <f t="shared" si="234"/>
        <v>7.7423698384201101E-2</v>
      </c>
      <c r="AW69" s="562">
        <f t="shared" si="235"/>
        <v>7.5838234715555924E-2</v>
      </c>
      <c r="AX69" s="563">
        <f t="shared" si="236"/>
        <v>0.13415777437536011</v>
      </c>
      <c r="AY69" s="561">
        <f t="shared" si="237"/>
        <v>7.7423698384201101E-2</v>
      </c>
      <c r="AZ69" s="562">
        <f t="shared" si="238"/>
        <v>7.5838234715555911E-2</v>
      </c>
      <c r="BA69" s="563">
        <f t="shared" si="239"/>
        <v>0.13415777437536011</v>
      </c>
      <c r="BB69" s="549">
        <f t="shared" si="135"/>
        <v>14207.536231884054</v>
      </c>
      <c r="BC69" s="549">
        <f t="shared" si="136"/>
        <v>15182.650602409634</v>
      </c>
      <c r="BD69" s="549">
        <f t="shared" si="137"/>
        <v>13884.444444444443</v>
      </c>
      <c r="BE69" s="557" t="s">
        <v>47</v>
      </c>
      <c r="BF69" s="557" t="s">
        <v>47</v>
      </c>
      <c r="BG69" s="557" t="s">
        <v>47</v>
      </c>
      <c r="BH69" s="558" t="s">
        <v>47</v>
      </c>
      <c r="BI69" s="551">
        <f t="shared" si="207"/>
        <v>14207.536231884054</v>
      </c>
      <c r="BJ69" s="551">
        <f t="shared" si="208"/>
        <v>15182.650602409634</v>
      </c>
      <c r="BK69" s="551">
        <f t="shared" si="210"/>
        <v>13884.444444444443</v>
      </c>
      <c r="BL69" s="557" t="s">
        <v>47</v>
      </c>
      <c r="BM69" s="557" t="s">
        <v>47</v>
      </c>
      <c r="BN69" s="557" t="s">
        <v>47</v>
      </c>
      <c r="BO69" s="558" t="s">
        <v>47</v>
      </c>
    </row>
    <row r="70" spans="1:67">
      <c r="A70" s="881" t="str">
        <f>'Compiled Products'!J1</f>
        <v>Inductance Loop Sealant</v>
      </c>
      <c r="B70" s="461" t="s">
        <v>69</v>
      </c>
      <c r="C70" s="881" t="s">
        <v>965</v>
      </c>
      <c r="D70" s="527">
        <v>1</v>
      </c>
      <c r="E70" s="640">
        <v>1</v>
      </c>
      <c r="F70" s="640">
        <v>0</v>
      </c>
      <c r="G70" s="567">
        <f>'Compiled Products'!J7</f>
        <v>480</v>
      </c>
      <c r="H70" s="244">
        <f>'Compiled Products'!J6</f>
        <v>365</v>
      </c>
      <c r="I70" s="244">
        <v>1</v>
      </c>
      <c r="J70" s="577">
        <f t="shared" si="225"/>
        <v>2.5000000000000001E-5</v>
      </c>
      <c r="K70" s="539">
        <f t="shared" si="233"/>
        <v>2.0000000000000001E-4</v>
      </c>
      <c r="L70" s="540" t="s">
        <v>1386</v>
      </c>
      <c r="M70" s="541">
        <f>(INDEX('Dermal Calcs'!$B$79:$H$85, MATCH($L70,'Dermal Calcs'!$A$79:$A$85, 0), MATCH(M$3, 'Dermal Calcs'!$B$78:$H$78, 0)))*$K70*$D70</f>
        <v>1.2387791741472177E-3</v>
      </c>
      <c r="N70" s="542">
        <f>(INDEX('Dermal Calcs'!$B$79:$H$85, MATCH($L70,'Dermal Calcs'!$A$79:$A$85, 0), MATCH(N$3, 'Dermal Calcs'!$B$78:$H$78, 0)))*$K70*$E70</f>
        <v>1.1592178770949723E-3</v>
      </c>
      <c r="O70" s="542">
        <f>(INDEX('Dermal Calcs'!$B$79:$H$85, MATCH($L70,'Dermal Calcs'!$A$79:$A$85, 0), MATCH(O$3, 'Dermal Calcs'!$B$78:$H$78, 0)))*$K70*$E70</f>
        <v>1.2676056338028171E-3</v>
      </c>
      <c r="P70" s="543">
        <f>(INDEX('Dermal Calcs'!$B$79:$H$85, MATCH($L70,'Dermal Calcs'!$A$79:$A$85, 0), MATCH(P$3, 'Dermal Calcs'!$B$78:$H$78, 0)))*$K70*$F70</f>
        <v>0</v>
      </c>
      <c r="Q70" s="543">
        <f>(INDEX('Dermal Calcs'!$B$79:$H$85, MATCH($L70,'Dermal Calcs'!$A$79:$A$85, 0), MATCH(Q$3, 'Dermal Calcs'!$B$78:$H$78, 0)))*$K70*$F70</f>
        <v>0</v>
      </c>
      <c r="R70" s="543">
        <f>(INDEX('Dermal Calcs'!$B$79:$H$85, MATCH($L70,'Dermal Calcs'!$A$79:$A$85, 0), MATCH(R$3, 'Dermal Calcs'!$B$78:$H$78, 0)))*$K70*$F70</f>
        <v>0</v>
      </c>
      <c r="S70" s="544">
        <f>(INDEX('Dermal Calcs'!$B$79:$H$85, MATCH($L70,'Dermal Calcs'!$A$79:$A$85, 0), MATCH(S$3, 'Dermal Calcs'!$B$78:$H$78, 0)))*$K70*$F70</f>
        <v>0</v>
      </c>
      <c r="T70" s="541" t="e">
        <f>M70*#REF!</f>
        <v>#REF!</v>
      </c>
      <c r="U70" s="542" t="e">
        <f>N70*#REF!</f>
        <v>#REF!</v>
      </c>
      <c r="V70" s="542" t="e">
        <f>O70*#REF!</f>
        <v>#REF!</v>
      </c>
      <c r="W70" s="545" t="e">
        <f>P70*#REF!</f>
        <v>#REF!</v>
      </c>
      <c r="X70" s="545" t="e">
        <f>Q70*#REF!</f>
        <v>#REF!</v>
      </c>
      <c r="Y70" s="545" t="e">
        <f>R70*#REF!</f>
        <v>#REF!</v>
      </c>
      <c r="Z70" s="545" t="e">
        <f>S70*#REF!</f>
        <v>#REF!</v>
      </c>
      <c r="AA70" s="541">
        <f t="shared" si="226"/>
        <v>1.2387791741472177E-3</v>
      </c>
      <c r="AB70" s="542">
        <f t="shared" si="227"/>
        <v>1.1592178770949723E-3</v>
      </c>
      <c r="AC70" s="542">
        <f t="shared" si="228"/>
        <v>1.2676056338028171E-3</v>
      </c>
      <c r="AD70" s="545">
        <f t="shared" si="229"/>
        <v>0</v>
      </c>
      <c r="AE70" s="545">
        <f t="shared" si="230"/>
        <v>0</v>
      </c>
      <c r="AF70" s="545">
        <f t="shared" si="231"/>
        <v>0</v>
      </c>
      <c r="AG70" s="545">
        <f t="shared" si="232"/>
        <v>0</v>
      </c>
      <c r="AH70" s="546" t="e">
        <f t="shared" ref="AH70:AH72" si="247">(T70*1000)/365</f>
        <v>#REF!</v>
      </c>
      <c r="AI70" s="547" t="e">
        <f t="shared" ref="AI70:AI72" si="248">(U70*1000)/365</f>
        <v>#REF!</v>
      </c>
      <c r="AJ70" s="547" t="e">
        <f t="shared" ref="AJ70:AJ72" si="249">(V70*1000)/365</f>
        <v>#REF!</v>
      </c>
      <c r="AK70" s="547" t="e">
        <f t="shared" ref="AK70:AK72" si="250">(W70*1000)/365</f>
        <v>#REF!</v>
      </c>
      <c r="AL70" s="547" t="e">
        <f t="shared" ref="AL70:AL72" si="251">(X70*1000)/365</f>
        <v>#REF!</v>
      </c>
      <c r="AM70" s="547" t="e">
        <f t="shared" ref="AM70:AM72" si="252">(Y70*1000)/365</f>
        <v>#REF!</v>
      </c>
      <c r="AN70" s="548" t="e">
        <f t="shared" ref="AN70:AN72" si="253">(Z70*1000)/365</f>
        <v>#REF!</v>
      </c>
      <c r="AO70" s="547">
        <f t="shared" ref="AO70:AO72" si="254">AA70*1000</f>
        <v>1.2387791741472176</v>
      </c>
      <c r="AP70" s="547">
        <f t="shared" ref="AP70:AP72" si="255">AB70*1000</f>
        <v>1.1592178770949724</v>
      </c>
      <c r="AQ70" s="547">
        <f t="shared" ref="AQ70:AQ72" si="256">AC70*1000</f>
        <v>1.267605633802817</v>
      </c>
      <c r="AR70" s="547">
        <f t="shared" ref="AR70:AR72" si="257">AD70*1000</f>
        <v>0</v>
      </c>
      <c r="AS70" s="547">
        <f t="shared" ref="AS70:AS72" si="258">AE70*1000</f>
        <v>0</v>
      </c>
      <c r="AT70" s="547">
        <f t="shared" ref="AT70:AT72" si="259">AF70*1000</f>
        <v>0</v>
      </c>
      <c r="AU70" s="548">
        <f t="shared" ref="AU70:AU72" si="260">AG70*1000</f>
        <v>0</v>
      </c>
      <c r="AV70" s="541" t="e">
        <f t="shared" ref="AV70:AV72" si="261">(T70*1000)/365</f>
        <v>#REF!</v>
      </c>
      <c r="AW70" s="542" t="e">
        <f t="shared" ref="AW70:AW72" si="262">(AVERAGE(U70:V70)*1000)/365</f>
        <v>#REF!</v>
      </c>
      <c r="AX70" s="545" t="e">
        <f t="shared" ref="AX70:AX72" si="263">(AVERAGE(W70:Z70)*1000)/365</f>
        <v>#REF!</v>
      </c>
      <c r="AY70" s="541">
        <f t="shared" ref="AY70:AY72" si="264">AA70*1000</f>
        <v>1.2387791741472176</v>
      </c>
      <c r="AZ70" s="542">
        <f t="shared" ref="AZ70:AZ72" si="265">AVERAGE(AB70:AC70)*1000</f>
        <v>1.2134117554488946</v>
      </c>
      <c r="BA70" s="545">
        <f t="shared" ref="BA70:BA72" si="266">AVERAGE(AD70:AG70)*1000</f>
        <v>0</v>
      </c>
      <c r="BB70" s="549" t="e">
        <f t="shared" si="135"/>
        <v>#REF!</v>
      </c>
      <c r="BC70" s="549" t="e">
        <f t="shared" si="136"/>
        <v>#REF!</v>
      </c>
      <c r="BD70" s="549" t="e">
        <f t="shared" si="137"/>
        <v>#REF!</v>
      </c>
      <c r="BE70" s="557" t="s">
        <v>47</v>
      </c>
      <c r="BF70" s="557" t="s">
        <v>47</v>
      </c>
      <c r="BG70" s="557" t="s">
        <v>47</v>
      </c>
      <c r="BH70" s="558" t="s">
        <v>47</v>
      </c>
      <c r="BI70" s="551">
        <f t="shared" si="207"/>
        <v>887.9710144927534</v>
      </c>
      <c r="BJ70" s="551">
        <f t="shared" si="208"/>
        <v>948.91566265060214</v>
      </c>
      <c r="BK70" s="551">
        <f t="shared" si="210"/>
        <v>867.77777777777771</v>
      </c>
      <c r="BL70" s="557" t="s">
        <v>47</v>
      </c>
      <c r="BM70" s="557" t="s">
        <v>47</v>
      </c>
      <c r="BN70" s="557" t="s">
        <v>47</v>
      </c>
      <c r="BO70" s="558" t="s">
        <v>47</v>
      </c>
    </row>
    <row r="71" spans="1:67">
      <c r="A71" s="882"/>
      <c r="B71" s="461" t="s">
        <v>1065</v>
      </c>
      <c r="C71" s="882"/>
      <c r="D71" s="527">
        <v>1</v>
      </c>
      <c r="E71" s="640">
        <v>1</v>
      </c>
      <c r="F71" s="640">
        <v>0</v>
      </c>
      <c r="G71" s="567">
        <f>'Compiled Products'!J8</f>
        <v>240</v>
      </c>
      <c r="H71" s="244">
        <f>H70</f>
        <v>365</v>
      </c>
      <c r="I71" s="235">
        <f>I70</f>
        <v>1</v>
      </c>
      <c r="J71" s="577">
        <f t="shared" si="225"/>
        <v>2.5000000000000001E-5</v>
      </c>
      <c r="K71" s="539">
        <f t="shared" si="233"/>
        <v>1E-4</v>
      </c>
      <c r="L71" s="553" t="s">
        <v>1395</v>
      </c>
      <c r="M71" s="541">
        <f>(INDEX('Dermal Calcs'!$B$79:$H$85, MATCH($L71,'Dermal Calcs'!$A$79:$A$85, 0), MATCH(M$3, 'Dermal Calcs'!$B$78:$H$78, 0)))*$K71*$D71</f>
        <v>3.0969479353680442E-4</v>
      </c>
      <c r="N71" s="542">
        <f>(INDEX('Dermal Calcs'!$B$79:$H$85, MATCH($L71,'Dermal Calcs'!$A$79:$A$85, 0), MATCH(N$3, 'Dermal Calcs'!$B$78:$H$78, 0)))*$K71*$E71</f>
        <v>2.8980446927374308E-4</v>
      </c>
      <c r="O71" s="542">
        <f>(INDEX('Dermal Calcs'!$B$79:$H$85, MATCH($L71,'Dermal Calcs'!$A$79:$A$85, 0), MATCH(O$3, 'Dermal Calcs'!$B$78:$H$78, 0)))*$K71*$E71</f>
        <v>3.1690140845070427E-4</v>
      </c>
      <c r="P71" s="543">
        <f>(INDEX('Dermal Calcs'!$B$79:$H$85, MATCH($L71,'Dermal Calcs'!$A$79:$A$85, 0), MATCH(P$3, 'Dermal Calcs'!$B$78:$H$78, 0)))*$K71*$F71</f>
        <v>0</v>
      </c>
      <c r="Q71" s="543">
        <f>(INDEX('Dermal Calcs'!$B$79:$H$85, MATCH($L71,'Dermal Calcs'!$A$79:$A$85, 0), MATCH(Q$3, 'Dermal Calcs'!$B$78:$H$78, 0)))*$K71*$F71</f>
        <v>0</v>
      </c>
      <c r="R71" s="543">
        <f>(INDEX('Dermal Calcs'!$B$79:$H$85, MATCH($L71,'Dermal Calcs'!$A$79:$A$85, 0), MATCH(R$3, 'Dermal Calcs'!$B$78:$H$78, 0)))*$K71*$F71</f>
        <v>0</v>
      </c>
      <c r="S71" s="544">
        <f>(INDEX('Dermal Calcs'!$B$79:$H$85, MATCH($L71,'Dermal Calcs'!$A$79:$A$85, 0), MATCH(S$3, 'Dermal Calcs'!$B$78:$H$78, 0)))*$K71*$F71</f>
        <v>0</v>
      </c>
      <c r="T71" s="554" t="e">
        <f>M71*#REF!</f>
        <v>#REF!</v>
      </c>
      <c r="U71" s="555" t="e">
        <f>N71*#REF!</f>
        <v>#REF!</v>
      </c>
      <c r="V71" s="555" t="e">
        <f>O71*#REF!</f>
        <v>#REF!</v>
      </c>
      <c r="W71" s="556" t="e">
        <f>P71*#REF!</f>
        <v>#REF!</v>
      </c>
      <c r="X71" s="556" t="e">
        <f>Q71*#REF!</f>
        <v>#REF!</v>
      </c>
      <c r="Y71" s="556" t="e">
        <f>R71*#REF!</f>
        <v>#REF!</v>
      </c>
      <c r="Z71" s="556" t="e">
        <f>S71*#REF!</f>
        <v>#REF!</v>
      </c>
      <c r="AA71" s="554">
        <f t="shared" si="226"/>
        <v>3.0969479353680442E-4</v>
      </c>
      <c r="AB71" s="555">
        <f t="shared" si="227"/>
        <v>2.8980446927374308E-4</v>
      </c>
      <c r="AC71" s="555">
        <f t="shared" si="228"/>
        <v>3.1690140845070427E-4</v>
      </c>
      <c r="AD71" s="556">
        <f t="shared" si="229"/>
        <v>0</v>
      </c>
      <c r="AE71" s="556">
        <f t="shared" si="230"/>
        <v>0</v>
      </c>
      <c r="AF71" s="556">
        <f t="shared" si="231"/>
        <v>0</v>
      </c>
      <c r="AG71" s="556">
        <f t="shared" si="232"/>
        <v>0</v>
      </c>
      <c r="AH71" s="546" t="e">
        <f t="shared" si="247"/>
        <v>#REF!</v>
      </c>
      <c r="AI71" s="547" t="e">
        <f t="shared" si="248"/>
        <v>#REF!</v>
      </c>
      <c r="AJ71" s="547" t="e">
        <f t="shared" si="249"/>
        <v>#REF!</v>
      </c>
      <c r="AK71" s="547" t="e">
        <f t="shared" si="250"/>
        <v>#REF!</v>
      </c>
      <c r="AL71" s="547" t="e">
        <f t="shared" si="251"/>
        <v>#REF!</v>
      </c>
      <c r="AM71" s="547" t="e">
        <f t="shared" si="252"/>
        <v>#REF!</v>
      </c>
      <c r="AN71" s="548" t="e">
        <f t="shared" si="253"/>
        <v>#REF!</v>
      </c>
      <c r="AO71" s="547">
        <f t="shared" si="254"/>
        <v>0.3096947935368044</v>
      </c>
      <c r="AP71" s="547">
        <f t="shared" si="255"/>
        <v>0.28980446927374309</v>
      </c>
      <c r="AQ71" s="547">
        <f t="shared" si="256"/>
        <v>0.31690140845070425</v>
      </c>
      <c r="AR71" s="547">
        <f t="shared" si="257"/>
        <v>0</v>
      </c>
      <c r="AS71" s="547">
        <f t="shared" si="258"/>
        <v>0</v>
      </c>
      <c r="AT71" s="547">
        <f t="shared" si="259"/>
        <v>0</v>
      </c>
      <c r="AU71" s="548">
        <f t="shared" si="260"/>
        <v>0</v>
      </c>
      <c r="AV71" s="554" t="e">
        <f t="shared" si="261"/>
        <v>#REF!</v>
      </c>
      <c r="AW71" s="555" t="e">
        <f t="shared" si="262"/>
        <v>#REF!</v>
      </c>
      <c r="AX71" s="556" t="e">
        <f t="shared" si="263"/>
        <v>#REF!</v>
      </c>
      <c r="AY71" s="554">
        <f t="shared" si="264"/>
        <v>0.3096947935368044</v>
      </c>
      <c r="AZ71" s="555">
        <f t="shared" si="265"/>
        <v>0.30335293886222364</v>
      </c>
      <c r="BA71" s="556">
        <f t="shared" si="266"/>
        <v>0</v>
      </c>
      <c r="BB71" s="549" t="e">
        <f t="shared" si="135"/>
        <v>#REF!</v>
      </c>
      <c r="BC71" s="549" t="e">
        <f t="shared" si="136"/>
        <v>#REF!</v>
      </c>
      <c r="BD71" s="549" t="e">
        <f t="shared" si="137"/>
        <v>#REF!</v>
      </c>
      <c r="BE71" s="557" t="s">
        <v>47</v>
      </c>
      <c r="BF71" s="557" t="s">
        <v>47</v>
      </c>
      <c r="BG71" s="557" t="s">
        <v>47</v>
      </c>
      <c r="BH71" s="558" t="s">
        <v>47</v>
      </c>
      <c r="BI71" s="551">
        <f t="shared" si="207"/>
        <v>3551.8840579710136</v>
      </c>
      <c r="BJ71" s="551">
        <f t="shared" si="208"/>
        <v>3795.6626506024086</v>
      </c>
      <c r="BK71" s="551">
        <f t="shared" si="210"/>
        <v>3471.1111111111109</v>
      </c>
      <c r="BL71" s="557" t="s">
        <v>47</v>
      </c>
      <c r="BM71" s="557" t="s">
        <v>47</v>
      </c>
      <c r="BN71" s="557" t="s">
        <v>47</v>
      </c>
      <c r="BO71" s="558" t="s">
        <v>47</v>
      </c>
    </row>
    <row r="72" spans="1:67">
      <c r="A72" s="883"/>
      <c r="B72" s="582" t="s">
        <v>65</v>
      </c>
      <c r="C72" s="883"/>
      <c r="D72" s="530">
        <v>1</v>
      </c>
      <c r="E72" s="531">
        <v>1</v>
      </c>
      <c r="F72" s="531">
        <v>0</v>
      </c>
      <c r="G72" s="567">
        <f>'Compiled Products'!J9</f>
        <v>120</v>
      </c>
      <c r="H72" s="244">
        <f>H70</f>
        <v>365</v>
      </c>
      <c r="I72" s="235">
        <f>I70</f>
        <v>1</v>
      </c>
      <c r="J72" s="577">
        <f t="shared" si="225"/>
        <v>2.5000000000000001E-5</v>
      </c>
      <c r="K72" s="539">
        <f t="shared" si="233"/>
        <v>5.0000000000000002E-5</v>
      </c>
      <c r="L72" s="560" t="s">
        <v>1390</v>
      </c>
      <c r="M72" s="541">
        <f>(INDEX('Dermal Calcs'!$B$79:$H$85, MATCH($L72,'Dermal Calcs'!$A$79:$A$85, 0), MATCH(M$3, 'Dermal Calcs'!$B$78:$H$78, 0)))*$K72*$D72</f>
        <v>6.1938958707360883E-5</v>
      </c>
      <c r="N72" s="542">
        <f>(INDEX('Dermal Calcs'!$B$79:$H$85, MATCH($L72,'Dermal Calcs'!$A$79:$A$85, 0), MATCH(N$3, 'Dermal Calcs'!$B$78:$H$78, 0)))*$K72*$E72</f>
        <v>5.7960893854748621E-5</v>
      </c>
      <c r="O72" s="542">
        <f>(INDEX('Dermal Calcs'!$B$79:$H$85, MATCH($L72,'Dermal Calcs'!$A$79:$A$85, 0), MATCH(O$3, 'Dermal Calcs'!$B$78:$H$78, 0)))*$K72*$E72</f>
        <v>6.3380281690140851E-5</v>
      </c>
      <c r="P72" s="543">
        <f>(INDEX('Dermal Calcs'!$B$79:$H$85, MATCH($L72,'Dermal Calcs'!$A$79:$A$85, 0), MATCH(P$3, 'Dermal Calcs'!$B$78:$H$78, 0)))*$K72*$F72</f>
        <v>0</v>
      </c>
      <c r="Q72" s="543">
        <f>(INDEX('Dermal Calcs'!$B$79:$H$85, MATCH($L72,'Dermal Calcs'!$A$79:$A$85, 0), MATCH(Q$3, 'Dermal Calcs'!$B$78:$H$78, 0)))*$K72*$F72</f>
        <v>0</v>
      </c>
      <c r="R72" s="543">
        <f>(INDEX('Dermal Calcs'!$B$79:$H$85, MATCH($L72,'Dermal Calcs'!$A$79:$A$85, 0), MATCH(R$3, 'Dermal Calcs'!$B$78:$H$78, 0)))*$K72*$F72</f>
        <v>0</v>
      </c>
      <c r="S72" s="544">
        <f>(INDEX('Dermal Calcs'!$B$79:$H$85, MATCH($L72,'Dermal Calcs'!$A$79:$A$85, 0), MATCH(S$3, 'Dermal Calcs'!$B$78:$H$78, 0)))*$K72*$F72</f>
        <v>0</v>
      </c>
      <c r="T72" s="561" t="e">
        <f>M72*#REF!</f>
        <v>#REF!</v>
      </c>
      <c r="U72" s="562" t="e">
        <f>N72*#REF!</f>
        <v>#REF!</v>
      </c>
      <c r="V72" s="562" t="e">
        <f>O72*#REF!</f>
        <v>#REF!</v>
      </c>
      <c r="W72" s="563" t="e">
        <f>P72*#REF!</f>
        <v>#REF!</v>
      </c>
      <c r="X72" s="563" t="e">
        <f>Q72*#REF!</f>
        <v>#REF!</v>
      </c>
      <c r="Y72" s="563" t="e">
        <f>R72*#REF!</f>
        <v>#REF!</v>
      </c>
      <c r="Z72" s="563" t="e">
        <f>S72*#REF!</f>
        <v>#REF!</v>
      </c>
      <c r="AA72" s="561">
        <f t="shared" si="226"/>
        <v>6.1938958707360883E-5</v>
      </c>
      <c r="AB72" s="562">
        <f t="shared" si="227"/>
        <v>5.7960893854748621E-5</v>
      </c>
      <c r="AC72" s="562">
        <f t="shared" si="228"/>
        <v>6.3380281690140851E-5</v>
      </c>
      <c r="AD72" s="563">
        <f t="shared" si="229"/>
        <v>0</v>
      </c>
      <c r="AE72" s="563">
        <f t="shared" si="230"/>
        <v>0</v>
      </c>
      <c r="AF72" s="563">
        <f t="shared" si="231"/>
        <v>0</v>
      </c>
      <c r="AG72" s="563">
        <f t="shared" si="232"/>
        <v>0</v>
      </c>
      <c r="AH72" s="546" t="e">
        <f t="shared" si="247"/>
        <v>#REF!</v>
      </c>
      <c r="AI72" s="547" t="e">
        <f t="shared" si="248"/>
        <v>#REF!</v>
      </c>
      <c r="AJ72" s="547" t="e">
        <f t="shared" si="249"/>
        <v>#REF!</v>
      </c>
      <c r="AK72" s="547" t="e">
        <f t="shared" si="250"/>
        <v>#REF!</v>
      </c>
      <c r="AL72" s="547" t="e">
        <f t="shared" si="251"/>
        <v>#REF!</v>
      </c>
      <c r="AM72" s="547" t="e">
        <f t="shared" si="252"/>
        <v>#REF!</v>
      </c>
      <c r="AN72" s="548" t="e">
        <f t="shared" si="253"/>
        <v>#REF!</v>
      </c>
      <c r="AO72" s="547">
        <f t="shared" si="254"/>
        <v>6.193895870736088E-2</v>
      </c>
      <c r="AP72" s="547">
        <f t="shared" si="255"/>
        <v>5.7960893854748619E-2</v>
      </c>
      <c r="AQ72" s="547">
        <f t="shared" si="256"/>
        <v>6.3380281690140858E-2</v>
      </c>
      <c r="AR72" s="547">
        <f t="shared" si="257"/>
        <v>0</v>
      </c>
      <c r="AS72" s="547">
        <f t="shared" si="258"/>
        <v>0</v>
      </c>
      <c r="AT72" s="547">
        <f t="shared" si="259"/>
        <v>0</v>
      </c>
      <c r="AU72" s="548">
        <f t="shared" si="260"/>
        <v>0</v>
      </c>
      <c r="AV72" s="561" t="e">
        <f t="shared" si="261"/>
        <v>#REF!</v>
      </c>
      <c r="AW72" s="562" t="e">
        <f t="shared" si="262"/>
        <v>#REF!</v>
      </c>
      <c r="AX72" s="563" t="e">
        <f t="shared" si="263"/>
        <v>#REF!</v>
      </c>
      <c r="AY72" s="561">
        <f t="shared" si="264"/>
        <v>6.193895870736088E-2</v>
      </c>
      <c r="AZ72" s="562">
        <f t="shared" si="265"/>
        <v>6.0670587772444738E-2</v>
      </c>
      <c r="BA72" s="563">
        <f t="shared" si="266"/>
        <v>0</v>
      </c>
      <c r="BB72" s="549" t="e">
        <f t="shared" si="135"/>
        <v>#REF!</v>
      </c>
      <c r="BC72" s="549" t="e">
        <f t="shared" si="136"/>
        <v>#REF!</v>
      </c>
      <c r="BD72" s="549" t="e">
        <f t="shared" si="137"/>
        <v>#REF!</v>
      </c>
      <c r="BE72" s="557" t="s">
        <v>47</v>
      </c>
      <c r="BF72" s="557" t="s">
        <v>47</v>
      </c>
      <c r="BG72" s="557" t="s">
        <v>47</v>
      </c>
      <c r="BH72" s="558" t="s">
        <v>47</v>
      </c>
      <c r="BI72" s="551">
        <f t="shared" si="207"/>
        <v>17759.420289855068</v>
      </c>
      <c r="BJ72" s="551">
        <f t="shared" si="208"/>
        <v>18978.313253012042</v>
      </c>
      <c r="BK72" s="551">
        <f t="shared" si="210"/>
        <v>17355.555555555551</v>
      </c>
      <c r="BL72" s="557" t="s">
        <v>47</v>
      </c>
      <c r="BM72" s="557" t="s">
        <v>47</v>
      </c>
      <c r="BN72" s="557" t="s">
        <v>47</v>
      </c>
      <c r="BO72" s="558" t="s">
        <v>47</v>
      </c>
    </row>
    <row r="74" spans="1:67" ht="18.5">
      <c r="A74" s="523" t="s">
        <v>1396</v>
      </c>
      <c r="B74" s="667"/>
      <c r="C74" s="617"/>
      <c r="D74" s="667"/>
      <c r="E74" s="667"/>
      <c r="F74" s="667"/>
      <c r="G74" s="667"/>
      <c r="H74" s="667"/>
    </row>
    <row r="75" spans="1:67">
      <c r="A75" s="667"/>
      <c r="B75" s="667"/>
      <c r="C75" s="617"/>
      <c r="D75" s="667"/>
      <c r="E75" s="667"/>
      <c r="F75" s="667"/>
      <c r="G75" s="667"/>
      <c r="H75" s="667"/>
    </row>
    <row r="76" spans="1:67">
      <c r="A76" s="884" t="s">
        <v>1397</v>
      </c>
      <c r="B76" s="884"/>
      <c r="C76" s="884"/>
      <c r="D76" s="884"/>
      <c r="E76" s="884"/>
      <c r="F76" s="884"/>
      <c r="G76" s="884"/>
      <c r="H76" s="884"/>
    </row>
    <row r="77" spans="1:67">
      <c r="A77" s="885" t="s">
        <v>1369</v>
      </c>
      <c r="B77" s="885" t="s">
        <v>1398</v>
      </c>
      <c r="C77" s="885"/>
      <c r="D77" s="885"/>
      <c r="E77" s="885"/>
      <c r="F77" s="885"/>
      <c r="G77" s="885"/>
      <c r="H77" s="885"/>
    </row>
    <row r="78" spans="1:67" ht="58">
      <c r="A78" s="885"/>
      <c r="B78" s="583" t="s">
        <v>1370</v>
      </c>
      <c r="C78" s="583" t="s">
        <v>1371</v>
      </c>
      <c r="D78" s="583" t="s">
        <v>1372</v>
      </c>
      <c r="E78" s="583" t="s">
        <v>1373</v>
      </c>
      <c r="F78" s="583" t="s">
        <v>1374</v>
      </c>
      <c r="G78" s="583" t="s">
        <v>1375</v>
      </c>
      <c r="H78" s="583" t="s">
        <v>1376</v>
      </c>
      <c r="P78" s="76">
        <f>0.6/1000</f>
        <v>5.9999999999999995E-4</v>
      </c>
    </row>
    <row r="79" spans="1:67">
      <c r="A79" s="635" t="s">
        <v>1399</v>
      </c>
      <c r="B79" s="650">
        <v>245.8872238302861</v>
      </c>
      <c r="C79" s="650">
        <v>256.98324022346372</v>
      </c>
      <c r="D79" s="650">
        <v>279.92957746478874</v>
      </c>
      <c r="E79" s="650">
        <v>339.62264150943395</v>
      </c>
      <c r="F79" s="650">
        <v>408.60215053763437</v>
      </c>
      <c r="G79" s="650">
        <v>452.38095238095241</v>
      </c>
      <c r="H79" s="650">
        <v>509.57446808510639</v>
      </c>
    </row>
    <row r="80" spans="1:67" ht="29">
      <c r="A80" s="635" t="s">
        <v>1393</v>
      </c>
      <c r="B80" s="650">
        <v>122.94361191514305</v>
      </c>
      <c r="C80" s="650">
        <v>128.49162011173186</v>
      </c>
      <c r="D80" s="650">
        <v>139.96478873239437</v>
      </c>
      <c r="E80" s="650">
        <v>169.81132075471697</v>
      </c>
      <c r="F80" s="650">
        <v>204.30107526881719</v>
      </c>
      <c r="G80" s="650">
        <v>226.1904761904762</v>
      </c>
      <c r="H80" s="650">
        <v>254.78723404255319</v>
      </c>
    </row>
    <row r="81" spans="1:12" ht="29">
      <c r="A81" s="635" t="s">
        <v>1388</v>
      </c>
      <c r="B81" s="650">
        <v>15.753352507969074</v>
      </c>
      <c r="C81" s="650">
        <v>14.909217877094973</v>
      </c>
      <c r="D81" s="650">
        <v>16.37323943661972</v>
      </c>
      <c r="E81" s="650">
        <v>21.069182389937108</v>
      </c>
      <c r="F81" s="650">
        <v>27.419354838709676</v>
      </c>
      <c r="G81" s="650">
        <v>35.019841269841265</v>
      </c>
      <c r="H81" s="650">
        <v>81.941489361702125</v>
      </c>
    </row>
    <row r="82" spans="1:12" ht="29">
      <c r="A82" s="635" t="s">
        <v>1394</v>
      </c>
      <c r="B82" s="650">
        <v>12.387791741472176</v>
      </c>
      <c r="C82" s="650">
        <v>11.592178770949722</v>
      </c>
      <c r="D82" s="650">
        <v>12.67605633802817</v>
      </c>
      <c r="E82" s="650">
        <v>16.037735849056602</v>
      </c>
      <c r="F82" s="650">
        <v>19.892473118279568</v>
      </c>
      <c r="G82" s="650">
        <v>23.015873015873012</v>
      </c>
      <c r="H82" s="650">
        <v>26.914893617021278</v>
      </c>
    </row>
    <row r="83" spans="1:12" ht="29">
      <c r="A83" s="635" t="s">
        <v>1386</v>
      </c>
      <c r="B83" s="650">
        <v>6.193895870736088</v>
      </c>
      <c r="C83" s="650">
        <v>5.7960893854748612</v>
      </c>
      <c r="D83" s="650">
        <v>6.3380281690140849</v>
      </c>
      <c r="E83" s="650">
        <v>8.0188679245283012</v>
      </c>
      <c r="F83" s="650">
        <v>9.9462365591397841</v>
      </c>
      <c r="G83" s="650">
        <v>11.507936507936506</v>
      </c>
      <c r="H83" s="650">
        <v>13.457446808510639</v>
      </c>
    </row>
    <row r="84" spans="1:12" ht="29">
      <c r="A84" s="635" t="s">
        <v>1395</v>
      </c>
      <c r="B84" s="650">
        <v>3.096947935368044</v>
      </c>
      <c r="C84" s="650">
        <v>2.8980446927374306</v>
      </c>
      <c r="D84" s="650">
        <v>3.1690140845070425</v>
      </c>
      <c r="E84" s="650">
        <v>4.0094339622641506</v>
      </c>
      <c r="F84" s="650">
        <v>4.9731182795698921</v>
      </c>
      <c r="G84" s="650">
        <v>5.7539682539682531</v>
      </c>
      <c r="H84" s="650">
        <v>6.7287234042553195</v>
      </c>
    </row>
    <row r="85" spans="1:12" ht="29">
      <c r="A85" s="635" t="s">
        <v>1390</v>
      </c>
      <c r="B85" s="650">
        <v>1.2387791741472176</v>
      </c>
      <c r="C85" s="650">
        <v>1.1592178770949724</v>
      </c>
      <c r="D85" s="650">
        <v>1.267605633802817</v>
      </c>
      <c r="E85" s="650">
        <v>1.6037735849056602</v>
      </c>
      <c r="F85" s="650">
        <v>1.989247311827957</v>
      </c>
      <c r="G85" s="650">
        <v>2.3015873015873014</v>
      </c>
      <c r="H85" s="650">
        <v>2.691489361702128</v>
      </c>
    </row>
    <row r="86" spans="1:12">
      <c r="A86" s="584"/>
      <c r="B86" s="406"/>
      <c r="C86" s="406"/>
      <c r="D86" s="406"/>
      <c r="E86" s="406"/>
      <c r="F86" s="406"/>
    </row>
    <row r="87" spans="1:12">
      <c r="A87" s="880" t="s">
        <v>1400</v>
      </c>
      <c r="B87" s="880"/>
      <c r="C87" s="880"/>
      <c r="D87" s="406"/>
      <c r="E87" s="880" t="s">
        <v>1401</v>
      </c>
      <c r="F87" s="880"/>
      <c r="G87" s="880"/>
    </row>
    <row r="88" spans="1:12">
      <c r="A88" s="669" t="s">
        <v>1402</v>
      </c>
      <c r="B88" s="585">
        <v>2.5000000000000001E-5</v>
      </c>
      <c r="C88" s="585" t="s">
        <v>62</v>
      </c>
      <c r="D88" s="406"/>
      <c r="E88" s="669" t="s">
        <v>1402</v>
      </c>
      <c r="F88" s="585">
        <v>4.8000000000000001E-5</v>
      </c>
      <c r="G88" s="585" t="s">
        <v>62</v>
      </c>
    </row>
    <row r="91" spans="1:12">
      <c r="F91" s="586" t="s">
        <v>1403</v>
      </c>
      <c r="G91" s="587"/>
      <c r="H91" s="587"/>
      <c r="I91" s="587"/>
      <c r="J91" s="587"/>
      <c r="K91" s="587"/>
      <c r="L91" s="588"/>
    </row>
    <row r="92" spans="1:12">
      <c r="A92" s="671" t="s">
        <v>1404</v>
      </c>
      <c r="F92" s="589" t="s">
        <v>1139</v>
      </c>
      <c r="G92" s="61" t="s">
        <v>1332</v>
      </c>
      <c r="H92" s="61" t="s">
        <v>1405</v>
      </c>
      <c r="I92" s="61" t="s">
        <v>1406</v>
      </c>
      <c r="J92" s="61" t="s">
        <v>1407</v>
      </c>
      <c r="K92" s="61" t="s">
        <v>1408</v>
      </c>
      <c r="L92" s="590" t="s">
        <v>1369</v>
      </c>
    </row>
    <row r="93" spans="1:12" ht="16.5">
      <c r="A93" s="591">
        <v>0.39</v>
      </c>
      <c r="B93" s="61" t="s">
        <v>1409</v>
      </c>
      <c r="C93" s="671" t="s">
        <v>1410</v>
      </c>
      <c r="F93" s="592" t="str">
        <f>A4</f>
        <v>Adult Toys</v>
      </c>
      <c r="G93" s="671" t="str">
        <f>B4</f>
        <v>High</v>
      </c>
      <c r="H93" s="61">
        <f t="shared" ref="H93:K98" si="267">G4</f>
        <v>60</v>
      </c>
      <c r="I93" s="61">
        <f t="shared" si="267"/>
        <v>365</v>
      </c>
      <c r="J93" s="61">
        <f t="shared" si="267"/>
        <v>1</v>
      </c>
      <c r="K93" s="70">
        <f t="shared" si="267"/>
        <v>4.8000000000000001E-5</v>
      </c>
      <c r="L93" s="593" t="str">
        <f t="shared" ref="L93:L98" si="268">L4</f>
        <v>Inside of two hands (palms, fingers)</v>
      </c>
    </row>
    <row r="94" spans="1:12">
      <c r="A94" s="76">
        <f>A93*0.000000004167</f>
        <v>1.6251300000000002E-9</v>
      </c>
      <c r="B94" s="671" t="s">
        <v>1411</v>
      </c>
      <c r="C94" s="671" t="s">
        <v>1410</v>
      </c>
      <c r="F94" s="592"/>
      <c r="G94" s="671" t="str">
        <f>B5</f>
        <v>Medium</v>
      </c>
      <c r="H94" s="61">
        <f t="shared" si="267"/>
        <v>30</v>
      </c>
      <c r="I94" s="61">
        <f t="shared" si="267"/>
        <v>365</v>
      </c>
      <c r="J94" s="61">
        <f t="shared" si="267"/>
        <v>1</v>
      </c>
      <c r="K94" s="70">
        <f t="shared" si="267"/>
        <v>4.8000000000000001E-5</v>
      </c>
      <c r="L94" s="593" t="str">
        <f t="shared" si="268"/>
        <v>Inside of two hands (palms, fingers)</v>
      </c>
    </row>
    <row r="95" spans="1:12" ht="16.5">
      <c r="A95" s="594">
        <v>1440</v>
      </c>
      <c r="B95" s="61" t="s">
        <v>1409</v>
      </c>
      <c r="C95" s="671" t="s">
        <v>1412</v>
      </c>
      <c r="F95" s="592"/>
      <c r="G95" s="671" t="str">
        <f>B6</f>
        <v>Low</v>
      </c>
      <c r="H95" s="61">
        <f t="shared" si="267"/>
        <v>15</v>
      </c>
      <c r="I95" s="61">
        <f t="shared" si="267"/>
        <v>365</v>
      </c>
      <c r="J95" s="61">
        <f t="shared" si="267"/>
        <v>1</v>
      </c>
      <c r="K95" s="70">
        <f t="shared" si="267"/>
        <v>4.8000000000000001E-5</v>
      </c>
      <c r="L95" s="593" t="str">
        <f t="shared" si="268"/>
        <v>Inside of two hands (palms, fingers)</v>
      </c>
    </row>
    <row r="96" spans="1:12">
      <c r="A96" s="76">
        <f>A95*0.000000004167</f>
        <v>6.0004799999999998E-6</v>
      </c>
      <c r="B96" s="671" t="s">
        <v>1411</v>
      </c>
      <c r="C96" s="671" t="s">
        <v>1412</v>
      </c>
      <c r="F96" s="592" t="str">
        <f>A7</f>
        <v>Air Beds</v>
      </c>
      <c r="G96" s="671" t="str">
        <f>B7</f>
        <v>High</v>
      </c>
      <c r="H96" s="61">
        <f t="shared" si="267"/>
        <v>857</v>
      </c>
      <c r="I96" s="61">
        <f t="shared" si="267"/>
        <v>36</v>
      </c>
      <c r="J96" s="61">
        <f t="shared" si="267"/>
        <v>1</v>
      </c>
      <c r="K96" s="70">
        <f t="shared" si="267"/>
        <v>1.6459650000000001E-5</v>
      </c>
      <c r="L96" s="593" t="str">
        <f t="shared" si="268"/>
        <v>25% of Face, Hands, and Arms</v>
      </c>
    </row>
    <row r="97" spans="1:12" ht="16.5">
      <c r="A97" s="594">
        <v>3950</v>
      </c>
      <c r="B97" s="61" t="s">
        <v>1409</v>
      </c>
      <c r="C97" s="671" t="s">
        <v>1413</v>
      </c>
      <c r="F97" s="592"/>
      <c r="G97" s="671" t="str">
        <f>B8</f>
        <v>Medium</v>
      </c>
      <c r="H97" s="61">
        <f t="shared" si="267"/>
        <v>480</v>
      </c>
      <c r="I97" s="61">
        <f t="shared" si="267"/>
        <v>36</v>
      </c>
      <c r="J97" s="61">
        <f t="shared" si="267"/>
        <v>1</v>
      </c>
      <c r="K97" s="70">
        <f t="shared" si="267"/>
        <v>6.0004799999999998E-6</v>
      </c>
      <c r="L97" s="593" t="str">
        <f t="shared" si="268"/>
        <v>25% of Face, Hands, and Arms</v>
      </c>
    </row>
    <row r="98" spans="1:12">
      <c r="A98" s="76">
        <f>A97*0.000000004167</f>
        <v>1.6459650000000001E-5</v>
      </c>
      <c r="B98" s="671" t="s">
        <v>1411</v>
      </c>
      <c r="C98" s="671" t="s">
        <v>1413</v>
      </c>
      <c r="F98" s="592"/>
      <c r="G98" s="671" t="str">
        <f>B9</f>
        <v>Low</v>
      </c>
      <c r="H98" s="61">
        <f t="shared" si="267"/>
        <v>120</v>
      </c>
      <c r="I98" s="61">
        <f t="shared" si="267"/>
        <v>36</v>
      </c>
      <c r="J98" s="61">
        <f t="shared" si="267"/>
        <v>1</v>
      </c>
      <c r="K98" s="70">
        <f t="shared" si="267"/>
        <v>1.6251300000000002E-9</v>
      </c>
      <c r="L98" s="593" t="str">
        <f t="shared" si="268"/>
        <v>25% of Face, Hands, and Arms</v>
      </c>
    </row>
    <row r="99" spans="1:12">
      <c r="F99" s="592" t="str">
        <f>A13</f>
        <v>Car Mats</v>
      </c>
      <c r="G99" s="671" t="str">
        <f t="shared" ref="G99:G125" si="269">B13</f>
        <v>High</v>
      </c>
      <c r="H99" s="61">
        <f t="shared" ref="H99:K112" si="270">G13</f>
        <v>60</v>
      </c>
      <c r="I99" s="61">
        <f t="shared" si="270"/>
        <v>52</v>
      </c>
      <c r="J99" s="61">
        <f t="shared" si="270"/>
        <v>1</v>
      </c>
      <c r="K99" s="70">
        <f t="shared" si="270"/>
        <v>4.8000000000000001E-5</v>
      </c>
      <c r="L99" s="593" t="str">
        <f t="shared" ref="L99:L124" si="271">L13</f>
        <v>10% of Hands (some fingers)</v>
      </c>
    </row>
    <row r="100" spans="1:12">
      <c r="F100" s="592"/>
      <c r="G100" s="671" t="str">
        <f t="shared" si="269"/>
        <v>Medium</v>
      </c>
      <c r="H100" s="61">
        <f t="shared" si="270"/>
        <v>30</v>
      </c>
      <c r="I100" s="61">
        <f t="shared" si="270"/>
        <v>52</v>
      </c>
      <c r="J100" s="61">
        <f t="shared" si="270"/>
        <v>1</v>
      </c>
      <c r="K100" s="70">
        <f t="shared" si="270"/>
        <v>4.8000000000000001E-5</v>
      </c>
      <c r="L100" s="593" t="str">
        <f t="shared" si="271"/>
        <v>10% of Hands (some fingers)</v>
      </c>
    </row>
    <row r="101" spans="1:12">
      <c r="F101" s="592"/>
      <c r="G101" s="671" t="str">
        <f t="shared" si="269"/>
        <v>Low</v>
      </c>
      <c r="H101" s="61">
        <f t="shared" si="270"/>
        <v>15</v>
      </c>
      <c r="I101" s="61">
        <f t="shared" si="270"/>
        <v>52</v>
      </c>
      <c r="J101" s="61">
        <f t="shared" si="270"/>
        <v>1</v>
      </c>
      <c r="K101" s="70">
        <f t="shared" si="270"/>
        <v>4.8000000000000001E-5</v>
      </c>
      <c r="L101" s="593" t="str">
        <f t="shared" si="271"/>
        <v>10% of Hands (some fingers)</v>
      </c>
    </row>
    <row r="102" spans="1:12">
      <c r="F102" s="592" t="str">
        <f>A16</f>
        <v>Children's Toys (Legacy)</v>
      </c>
      <c r="G102" s="671" t="str">
        <f t="shared" si="269"/>
        <v>High</v>
      </c>
      <c r="H102" s="61">
        <f t="shared" si="270"/>
        <v>137</v>
      </c>
      <c r="I102" s="61">
        <f t="shared" si="270"/>
        <v>365</v>
      </c>
      <c r="J102" s="61">
        <f t="shared" si="270"/>
        <v>1</v>
      </c>
      <c r="K102" s="70">
        <f t="shared" si="270"/>
        <v>4.8000000000000001E-5</v>
      </c>
      <c r="L102" s="593" t="str">
        <f t="shared" si="271"/>
        <v>Inside of two hands (palms, fingers)</v>
      </c>
    </row>
    <row r="103" spans="1:12">
      <c r="F103" s="592"/>
      <c r="G103" s="671" t="str">
        <f t="shared" si="269"/>
        <v>Medium</v>
      </c>
      <c r="H103" s="61">
        <f t="shared" si="270"/>
        <v>88</v>
      </c>
      <c r="I103" s="61">
        <f t="shared" si="270"/>
        <v>365</v>
      </c>
      <c r="J103" s="61">
        <f t="shared" si="270"/>
        <v>1</v>
      </c>
      <c r="K103" s="70">
        <f t="shared" si="270"/>
        <v>4.8000000000000001E-5</v>
      </c>
      <c r="L103" s="593" t="str">
        <f t="shared" si="271"/>
        <v>Inside of two hands (palms, fingers)</v>
      </c>
    </row>
    <row r="104" spans="1:12">
      <c r="F104" s="592"/>
      <c r="G104" s="671" t="str">
        <f t="shared" si="269"/>
        <v>Low</v>
      </c>
      <c r="H104" s="61">
        <f t="shared" si="270"/>
        <v>24</v>
      </c>
      <c r="I104" s="61">
        <f t="shared" si="270"/>
        <v>365</v>
      </c>
      <c r="J104" s="61">
        <f t="shared" si="270"/>
        <v>1</v>
      </c>
      <c r="K104" s="70">
        <f t="shared" si="270"/>
        <v>4.8000000000000001E-5</v>
      </c>
      <c r="L104" s="593" t="str">
        <f t="shared" si="271"/>
        <v>Inside of two hands (palms, fingers)</v>
      </c>
    </row>
    <row r="105" spans="1:12">
      <c r="F105" s="592" t="str">
        <f>A19</f>
        <v>Children's Toys (New)</v>
      </c>
      <c r="G105" s="671" t="str">
        <f t="shared" si="269"/>
        <v>High</v>
      </c>
      <c r="H105" s="61">
        <f t="shared" si="270"/>
        <v>137</v>
      </c>
      <c r="I105" s="61">
        <f t="shared" si="270"/>
        <v>365</v>
      </c>
      <c r="J105" s="61">
        <f t="shared" si="270"/>
        <v>1</v>
      </c>
      <c r="K105" s="70">
        <f t="shared" si="270"/>
        <v>4.8000000000000001E-5</v>
      </c>
      <c r="L105" s="593" t="str">
        <f t="shared" si="271"/>
        <v>Inside of two hands (palms, fingers)</v>
      </c>
    </row>
    <row r="106" spans="1:12">
      <c r="F106" s="592"/>
      <c r="G106" s="671" t="str">
        <f t="shared" si="269"/>
        <v>Medium</v>
      </c>
      <c r="H106" s="61">
        <f t="shared" si="270"/>
        <v>88</v>
      </c>
      <c r="I106" s="61">
        <f t="shared" si="270"/>
        <v>365</v>
      </c>
      <c r="J106" s="61">
        <f t="shared" si="270"/>
        <v>1</v>
      </c>
      <c r="K106" s="70">
        <f t="shared" si="270"/>
        <v>4.8000000000000001E-5</v>
      </c>
      <c r="L106" s="593" t="str">
        <f t="shared" si="271"/>
        <v>Inside of two hands (palms, fingers)</v>
      </c>
    </row>
    <row r="107" spans="1:12">
      <c r="F107" s="592"/>
      <c r="G107" s="671" t="str">
        <f t="shared" si="269"/>
        <v>Low</v>
      </c>
      <c r="H107" s="61">
        <f t="shared" si="270"/>
        <v>24</v>
      </c>
      <c r="I107" s="61">
        <f t="shared" si="270"/>
        <v>365</v>
      </c>
      <c r="J107" s="61">
        <f t="shared" si="270"/>
        <v>1</v>
      </c>
      <c r="K107" s="70">
        <f t="shared" si="270"/>
        <v>4.8000000000000001E-5</v>
      </c>
      <c r="L107" s="593" t="str">
        <f t="shared" si="271"/>
        <v>Inside of two hands (palms, fingers)</v>
      </c>
    </row>
    <row r="108" spans="1:12">
      <c r="F108" s="592" t="str">
        <f>A22</f>
        <v>Clothing</v>
      </c>
      <c r="G108" s="671" t="str">
        <f t="shared" si="269"/>
        <v>High</v>
      </c>
      <c r="H108" s="61">
        <f t="shared" si="270"/>
        <v>480</v>
      </c>
      <c r="I108" s="61">
        <f t="shared" si="270"/>
        <v>52</v>
      </c>
      <c r="J108" s="61">
        <f t="shared" si="270"/>
        <v>1</v>
      </c>
      <c r="K108" s="70">
        <f t="shared" si="270"/>
        <v>4.8000000000000001E-5</v>
      </c>
      <c r="L108" s="593" t="str">
        <f t="shared" si="271"/>
        <v>50% of Entire Body Surface Area</v>
      </c>
    </row>
    <row r="109" spans="1:12">
      <c r="F109" s="592"/>
      <c r="G109" s="671" t="str">
        <f t="shared" si="269"/>
        <v>Medium</v>
      </c>
      <c r="H109" s="61">
        <f t="shared" si="270"/>
        <v>240</v>
      </c>
      <c r="I109" s="61">
        <f t="shared" si="270"/>
        <v>52</v>
      </c>
      <c r="J109" s="61">
        <f t="shared" si="270"/>
        <v>1</v>
      </c>
      <c r="K109" s="70">
        <f t="shared" si="270"/>
        <v>4.8000000000000001E-5</v>
      </c>
      <c r="L109" s="593" t="str">
        <f t="shared" si="271"/>
        <v>25% of Face, Hands, and Arms</v>
      </c>
    </row>
    <row r="110" spans="1:12">
      <c r="F110" s="592"/>
      <c r="G110" s="671" t="str">
        <f t="shared" si="269"/>
        <v>Low</v>
      </c>
      <c r="H110" s="61">
        <f t="shared" si="270"/>
        <v>120</v>
      </c>
      <c r="I110" s="61">
        <f t="shared" si="270"/>
        <v>52</v>
      </c>
      <c r="J110" s="61">
        <f t="shared" si="270"/>
        <v>1</v>
      </c>
      <c r="K110" s="70">
        <f t="shared" si="270"/>
        <v>4.8000000000000001E-5</v>
      </c>
      <c r="L110" s="593" t="str">
        <f t="shared" si="271"/>
        <v>Both Hands (entire surface area)</v>
      </c>
    </row>
    <row r="111" spans="1:12">
      <c r="F111" s="592" t="str">
        <f>A25</f>
        <v>Erasers</v>
      </c>
      <c r="G111" s="671" t="str">
        <f t="shared" si="269"/>
        <v>High</v>
      </c>
      <c r="H111" s="61">
        <f t="shared" si="270"/>
        <v>60</v>
      </c>
      <c r="I111" s="61">
        <f t="shared" si="270"/>
        <v>365</v>
      </c>
      <c r="J111" s="61">
        <f t="shared" si="270"/>
        <v>1</v>
      </c>
      <c r="K111" s="70">
        <f t="shared" si="270"/>
        <v>4.8000000000000001E-5</v>
      </c>
      <c r="L111" s="593" t="str">
        <f t="shared" si="271"/>
        <v>10% of Hands (some fingers)</v>
      </c>
    </row>
    <row r="112" spans="1:12">
      <c r="F112" s="592"/>
      <c r="G112" s="671" t="str">
        <f t="shared" si="269"/>
        <v>Medium</v>
      </c>
      <c r="H112" s="61">
        <f t="shared" si="270"/>
        <v>30</v>
      </c>
      <c r="I112" s="61">
        <f t="shared" si="270"/>
        <v>365</v>
      </c>
      <c r="J112" s="61">
        <f t="shared" si="270"/>
        <v>1</v>
      </c>
      <c r="K112" s="70">
        <f t="shared" si="270"/>
        <v>4.8000000000000001E-5</v>
      </c>
      <c r="L112" s="593" t="str">
        <f t="shared" si="271"/>
        <v>10% of Hands (some fingers)</v>
      </c>
    </row>
    <row r="113" spans="6:12">
      <c r="F113" s="592"/>
      <c r="G113" s="671" t="str">
        <f t="shared" si="269"/>
        <v>Low</v>
      </c>
      <c r="H113" s="61">
        <f t="shared" ref="H113:K132" si="272">G27</f>
        <v>15</v>
      </c>
      <c r="I113" s="61">
        <f t="shared" si="272"/>
        <v>365</v>
      </c>
      <c r="J113" s="61">
        <f t="shared" si="272"/>
        <v>1</v>
      </c>
      <c r="K113" s="70">
        <f t="shared" si="272"/>
        <v>4.8000000000000001E-5</v>
      </c>
      <c r="L113" s="593" t="str">
        <f t="shared" si="271"/>
        <v>10% of Hands (some fingers)</v>
      </c>
    </row>
    <row r="114" spans="6:12">
      <c r="F114" s="592" t="str">
        <f>A28</f>
        <v>Furniture Components (Textile)</v>
      </c>
      <c r="G114" s="671" t="str">
        <f t="shared" si="269"/>
        <v>High</v>
      </c>
      <c r="H114" s="61">
        <f t="shared" si="272"/>
        <v>480</v>
      </c>
      <c r="I114" s="61">
        <f t="shared" si="272"/>
        <v>365</v>
      </c>
      <c r="J114" s="61">
        <f t="shared" si="272"/>
        <v>1</v>
      </c>
      <c r="K114" s="70">
        <f t="shared" si="272"/>
        <v>4.8000000000000001E-5</v>
      </c>
      <c r="L114" s="593" t="str">
        <f t="shared" si="271"/>
        <v>50% of Entire Body Surface Area</v>
      </c>
    </row>
    <row r="115" spans="6:12">
      <c r="F115" s="592"/>
      <c r="G115" s="671" t="str">
        <f t="shared" si="269"/>
        <v>Medium</v>
      </c>
      <c r="H115" s="61">
        <f t="shared" si="272"/>
        <v>240</v>
      </c>
      <c r="I115" s="61">
        <f t="shared" si="272"/>
        <v>365</v>
      </c>
      <c r="J115" s="61">
        <f t="shared" si="272"/>
        <v>1</v>
      </c>
      <c r="K115" s="70">
        <f t="shared" si="272"/>
        <v>4.8000000000000001E-5</v>
      </c>
      <c r="L115" s="593" t="str">
        <f t="shared" si="271"/>
        <v>25% of Face, Hands, and Arms</v>
      </c>
    </row>
    <row r="116" spans="6:12">
      <c r="F116" s="592"/>
      <c r="G116" s="671" t="str">
        <f t="shared" si="269"/>
        <v>Low</v>
      </c>
      <c r="H116" s="61">
        <f t="shared" si="272"/>
        <v>120</v>
      </c>
      <c r="I116" s="61">
        <f t="shared" si="272"/>
        <v>365</v>
      </c>
      <c r="J116" s="61">
        <f t="shared" si="272"/>
        <v>1</v>
      </c>
      <c r="K116" s="70">
        <f t="shared" si="272"/>
        <v>4.8000000000000001E-5</v>
      </c>
      <c r="L116" s="593" t="str">
        <f t="shared" si="271"/>
        <v>Inside of two hands (palms, fingers)</v>
      </c>
    </row>
    <row r="117" spans="6:12">
      <c r="F117" s="592" t="str">
        <f>A31</f>
        <v>Insulated Cords</v>
      </c>
      <c r="G117" s="671" t="str">
        <f t="shared" si="269"/>
        <v>High</v>
      </c>
      <c r="H117" s="61">
        <f t="shared" si="272"/>
        <v>60</v>
      </c>
      <c r="I117" s="61">
        <f t="shared" si="272"/>
        <v>365</v>
      </c>
      <c r="J117" s="61">
        <f t="shared" si="272"/>
        <v>1</v>
      </c>
      <c r="K117" s="70">
        <f t="shared" si="272"/>
        <v>4.8000000000000001E-5</v>
      </c>
      <c r="L117" s="593" t="str">
        <f t="shared" si="271"/>
        <v>10% of Hands (some fingers)</v>
      </c>
    </row>
    <row r="118" spans="6:12">
      <c r="F118" s="592"/>
      <c r="G118" s="671" t="str">
        <f t="shared" si="269"/>
        <v>Medium</v>
      </c>
      <c r="H118" s="61">
        <f t="shared" si="272"/>
        <v>30</v>
      </c>
      <c r="I118" s="61">
        <f t="shared" si="272"/>
        <v>365</v>
      </c>
      <c r="J118" s="61">
        <f t="shared" si="272"/>
        <v>1</v>
      </c>
      <c r="K118" s="70">
        <f t="shared" si="272"/>
        <v>4.8000000000000001E-5</v>
      </c>
      <c r="L118" s="593" t="str">
        <f t="shared" si="271"/>
        <v>10% of Hands (some fingers)</v>
      </c>
    </row>
    <row r="119" spans="6:12">
      <c r="F119" s="592"/>
      <c r="G119" s="671" t="str">
        <f t="shared" si="269"/>
        <v>Low</v>
      </c>
      <c r="H119" s="61">
        <f t="shared" si="272"/>
        <v>15</v>
      </c>
      <c r="I119" s="61">
        <f t="shared" si="272"/>
        <v>365</v>
      </c>
      <c r="J119" s="61">
        <f t="shared" si="272"/>
        <v>1</v>
      </c>
      <c r="K119" s="70">
        <f t="shared" si="272"/>
        <v>4.8000000000000001E-5</v>
      </c>
      <c r="L119" s="593" t="str">
        <f t="shared" si="271"/>
        <v>10% of Hands (some fingers)</v>
      </c>
    </row>
    <row r="120" spans="6:12">
      <c r="F120" s="592" t="str">
        <f>A34</f>
        <v>Mobile Phone Covers</v>
      </c>
      <c r="G120" s="671" t="str">
        <f t="shared" si="269"/>
        <v>High</v>
      </c>
      <c r="H120" s="61">
        <f t="shared" si="272"/>
        <v>360</v>
      </c>
      <c r="I120" s="61">
        <f t="shared" si="272"/>
        <v>365</v>
      </c>
      <c r="J120" s="61">
        <f t="shared" si="272"/>
        <v>1</v>
      </c>
      <c r="K120" s="70">
        <f t="shared" si="272"/>
        <v>4.8000000000000001E-5</v>
      </c>
      <c r="L120" s="593" t="str">
        <f t="shared" si="271"/>
        <v>Inside of one hand (palms, fingers)</v>
      </c>
    </row>
    <row r="121" spans="6:12">
      <c r="F121" s="592"/>
      <c r="G121" s="671" t="str">
        <f t="shared" si="269"/>
        <v>Medium</v>
      </c>
      <c r="H121" s="61">
        <f t="shared" si="272"/>
        <v>180</v>
      </c>
      <c r="I121" s="61">
        <f t="shared" si="272"/>
        <v>365</v>
      </c>
      <c r="J121" s="61">
        <f t="shared" si="272"/>
        <v>1</v>
      </c>
      <c r="K121" s="70">
        <f t="shared" si="272"/>
        <v>4.8000000000000001E-5</v>
      </c>
      <c r="L121" s="593" t="str">
        <f t="shared" si="271"/>
        <v>Inside of one hand (palms, fingers)</v>
      </c>
    </row>
    <row r="122" spans="6:12">
      <c r="F122" s="592"/>
      <c r="G122" s="671" t="str">
        <f t="shared" si="269"/>
        <v>Low</v>
      </c>
      <c r="H122" s="61">
        <f t="shared" si="272"/>
        <v>90</v>
      </c>
      <c r="I122" s="61">
        <f t="shared" si="272"/>
        <v>365</v>
      </c>
      <c r="J122" s="61">
        <f t="shared" si="272"/>
        <v>1</v>
      </c>
      <c r="K122" s="70">
        <f t="shared" si="272"/>
        <v>4.8000000000000001E-5</v>
      </c>
      <c r="L122" s="593" t="str">
        <f t="shared" si="271"/>
        <v>Inside of one hand (palms, fingers)</v>
      </c>
    </row>
    <row r="123" spans="6:12">
      <c r="F123" s="592" t="str">
        <f>A37</f>
        <v>Shower Curtains</v>
      </c>
      <c r="G123" s="671" t="str">
        <f t="shared" si="269"/>
        <v>High</v>
      </c>
      <c r="H123" s="61">
        <f t="shared" si="272"/>
        <v>60</v>
      </c>
      <c r="I123" s="61">
        <f t="shared" si="272"/>
        <v>365</v>
      </c>
      <c r="J123" s="61">
        <f t="shared" si="272"/>
        <v>1</v>
      </c>
      <c r="K123" s="70">
        <f t="shared" si="272"/>
        <v>4.8000000000000001E-5</v>
      </c>
      <c r="L123" s="593" t="str">
        <f t="shared" si="271"/>
        <v>Inside of one hand (palms, fingers)</v>
      </c>
    </row>
    <row r="124" spans="6:12">
      <c r="F124" s="592"/>
      <c r="G124" s="671" t="str">
        <f t="shared" si="269"/>
        <v>Medium</v>
      </c>
      <c r="H124" s="61">
        <f t="shared" si="272"/>
        <v>30</v>
      </c>
      <c r="I124" s="61">
        <f t="shared" si="272"/>
        <v>365</v>
      </c>
      <c r="J124" s="61">
        <f t="shared" si="272"/>
        <v>1</v>
      </c>
      <c r="K124" s="70">
        <f t="shared" si="272"/>
        <v>4.8000000000000001E-5</v>
      </c>
      <c r="L124" s="593" t="str">
        <f t="shared" si="271"/>
        <v>Inside of one hand (palms, fingers)</v>
      </c>
    </row>
    <row r="125" spans="6:12">
      <c r="F125" s="592"/>
      <c r="G125" s="671" t="str">
        <f t="shared" si="269"/>
        <v>Low</v>
      </c>
      <c r="H125" s="61">
        <f t="shared" si="272"/>
        <v>15</v>
      </c>
      <c r="I125" s="61">
        <f t="shared" si="272"/>
        <v>365</v>
      </c>
      <c r="J125" s="61">
        <f t="shared" si="272"/>
        <v>1</v>
      </c>
      <c r="K125" s="70">
        <f t="shared" si="272"/>
        <v>4.8000000000000001E-5</v>
      </c>
      <c r="L125" s="593" t="str">
        <f t="shared" ref="L125:L156" si="273">L39</f>
        <v>Inside of one hand (palms, fingers)</v>
      </c>
    </row>
    <row r="126" spans="6:12">
      <c r="F126" s="592" t="str">
        <f>A40</f>
        <v>Small Articles with Potential for semi-routine contact</v>
      </c>
      <c r="G126" s="671" t="str">
        <f t="shared" ref="G126:G157" si="274">B40</f>
        <v>High</v>
      </c>
      <c r="H126" s="61">
        <f t="shared" si="272"/>
        <v>120</v>
      </c>
      <c r="I126" s="61">
        <f t="shared" si="272"/>
        <v>365</v>
      </c>
      <c r="J126" s="61">
        <f t="shared" si="272"/>
        <v>1</v>
      </c>
      <c r="K126" s="70">
        <f t="shared" si="272"/>
        <v>4.8000000000000001E-5</v>
      </c>
      <c r="L126" s="593" t="str">
        <f t="shared" si="273"/>
        <v>Inside of one hand (palms, fingers)</v>
      </c>
    </row>
    <row r="127" spans="6:12">
      <c r="F127" s="592"/>
      <c r="G127" s="671" t="str">
        <f t="shared" si="274"/>
        <v>Medium</v>
      </c>
      <c r="H127" s="61">
        <f t="shared" si="272"/>
        <v>60</v>
      </c>
      <c r="I127" s="61">
        <f t="shared" si="272"/>
        <v>365</v>
      </c>
      <c r="J127" s="61">
        <f t="shared" si="272"/>
        <v>1</v>
      </c>
      <c r="K127" s="70">
        <f t="shared" si="272"/>
        <v>4.8000000000000001E-5</v>
      </c>
      <c r="L127" s="593" t="str">
        <f t="shared" si="273"/>
        <v>Inside of one hand (palms, fingers)</v>
      </c>
    </row>
    <row r="128" spans="6:12">
      <c r="F128" s="592"/>
      <c r="G128" s="671" t="str">
        <f t="shared" si="274"/>
        <v>Low</v>
      </c>
      <c r="H128" s="61">
        <f t="shared" si="272"/>
        <v>30</v>
      </c>
      <c r="I128" s="61">
        <f t="shared" si="272"/>
        <v>365</v>
      </c>
      <c r="J128" s="61">
        <f t="shared" si="272"/>
        <v>1</v>
      </c>
      <c r="K128" s="70">
        <f t="shared" si="272"/>
        <v>4.8000000000000001E-5</v>
      </c>
      <c r="L128" s="593" t="str">
        <f t="shared" si="273"/>
        <v>Inside of one hand (palms, fingers)</v>
      </c>
    </row>
    <row r="129" spans="6:12">
      <c r="F129" s="592" t="str">
        <f>A43</f>
        <v>Vinyl Flooring</v>
      </c>
      <c r="G129" s="671" t="str">
        <f t="shared" si="274"/>
        <v>High</v>
      </c>
      <c r="H129" s="61">
        <f t="shared" si="272"/>
        <v>120</v>
      </c>
      <c r="I129" s="61">
        <f t="shared" si="272"/>
        <v>365</v>
      </c>
      <c r="J129" s="61">
        <f t="shared" si="272"/>
        <v>1</v>
      </c>
      <c r="K129" s="70">
        <f t="shared" si="272"/>
        <v>4.8000000000000001E-5</v>
      </c>
      <c r="L129" s="593" t="str">
        <f t="shared" si="273"/>
        <v>Both Hands (entire surface area)</v>
      </c>
    </row>
    <row r="130" spans="6:12">
      <c r="F130" s="592"/>
      <c r="G130" s="671" t="str">
        <f t="shared" si="274"/>
        <v>Medium</v>
      </c>
      <c r="H130" s="61">
        <f t="shared" si="272"/>
        <v>60</v>
      </c>
      <c r="I130" s="61">
        <f t="shared" si="272"/>
        <v>365</v>
      </c>
      <c r="J130" s="61">
        <f t="shared" si="272"/>
        <v>1</v>
      </c>
      <c r="K130" s="70">
        <f t="shared" si="272"/>
        <v>4.8000000000000001E-5</v>
      </c>
      <c r="L130" s="593" t="str">
        <f t="shared" si="273"/>
        <v>Inside of two hands (palms, fingers)</v>
      </c>
    </row>
    <row r="131" spans="6:12">
      <c r="F131" s="592"/>
      <c r="G131" s="671" t="str">
        <f t="shared" si="274"/>
        <v>Low</v>
      </c>
      <c r="H131" s="61">
        <f t="shared" si="272"/>
        <v>30</v>
      </c>
      <c r="I131" s="61">
        <f t="shared" si="272"/>
        <v>365</v>
      </c>
      <c r="J131" s="61">
        <f t="shared" si="272"/>
        <v>1</v>
      </c>
      <c r="K131" s="70">
        <f t="shared" si="272"/>
        <v>4.8000000000000001E-5</v>
      </c>
      <c r="L131" s="593" t="str">
        <f t="shared" si="273"/>
        <v>10% of Hands (some fingers)</v>
      </c>
    </row>
    <row r="132" spans="6:12">
      <c r="F132" s="592" t="str">
        <f>A46</f>
        <v>Wallpaper (In Place)</v>
      </c>
      <c r="G132" s="671" t="str">
        <f t="shared" si="274"/>
        <v>High</v>
      </c>
      <c r="H132" s="61">
        <f t="shared" si="272"/>
        <v>60</v>
      </c>
      <c r="I132" s="61">
        <f t="shared" si="272"/>
        <v>365</v>
      </c>
      <c r="J132" s="61">
        <f t="shared" si="272"/>
        <v>1</v>
      </c>
      <c r="K132" s="70">
        <f t="shared" si="272"/>
        <v>4.8000000000000001E-5</v>
      </c>
      <c r="L132" s="593" t="str">
        <f t="shared" si="273"/>
        <v>Inside of one hand (palms, fingers)</v>
      </c>
    </row>
    <row r="133" spans="6:12">
      <c r="F133" s="592"/>
      <c r="G133" s="671" t="str">
        <f t="shared" si="274"/>
        <v>Medium</v>
      </c>
      <c r="H133" s="61">
        <f t="shared" ref="H133:K152" si="275">G47</f>
        <v>30</v>
      </c>
      <c r="I133" s="61">
        <f t="shared" si="275"/>
        <v>365</v>
      </c>
      <c r="J133" s="61">
        <f t="shared" si="275"/>
        <v>1</v>
      </c>
      <c r="K133" s="70">
        <f t="shared" si="275"/>
        <v>4.8000000000000001E-5</v>
      </c>
      <c r="L133" s="593" t="str">
        <f t="shared" si="273"/>
        <v>Inside of one hand (palms, fingers)</v>
      </c>
    </row>
    <row r="134" spans="6:12">
      <c r="F134" s="592"/>
      <c r="G134" s="671" t="str">
        <f t="shared" si="274"/>
        <v>Low</v>
      </c>
      <c r="H134" s="61">
        <f t="shared" si="275"/>
        <v>15</v>
      </c>
      <c r="I134" s="61">
        <f t="shared" si="275"/>
        <v>365</v>
      </c>
      <c r="J134" s="61">
        <f t="shared" si="275"/>
        <v>1</v>
      </c>
      <c r="K134" s="70">
        <f t="shared" si="275"/>
        <v>4.8000000000000001E-5</v>
      </c>
      <c r="L134" s="593" t="str">
        <f t="shared" si="273"/>
        <v>Inside of one hand (palms, fingers)</v>
      </c>
    </row>
    <row r="135" spans="6:12">
      <c r="F135" s="592" t="str">
        <f>A49</f>
        <v>Wallpaper (Installation)</v>
      </c>
      <c r="G135" s="671" t="str">
        <f t="shared" si="274"/>
        <v>High</v>
      </c>
      <c r="H135" s="61">
        <f t="shared" si="275"/>
        <v>480</v>
      </c>
      <c r="I135" s="61">
        <f t="shared" si="275"/>
        <v>1</v>
      </c>
      <c r="J135" s="61">
        <f t="shared" si="275"/>
        <v>1</v>
      </c>
      <c r="K135" s="70">
        <f t="shared" si="275"/>
        <v>4.8000000000000001E-5</v>
      </c>
      <c r="L135" s="593" t="str">
        <f t="shared" si="273"/>
        <v>Inside of two hands (palms, fingers)</v>
      </c>
    </row>
    <row r="136" spans="6:12">
      <c r="F136" s="592"/>
      <c r="G136" s="671" t="str">
        <f t="shared" si="274"/>
        <v>Medium</v>
      </c>
      <c r="H136" s="61">
        <f t="shared" si="275"/>
        <v>240</v>
      </c>
      <c r="I136" s="61">
        <f t="shared" si="275"/>
        <v>1</v>
      </c>
      <c r="J136" s="61">
        <f t="shared" si="275"/>
        <v>1</v>
      </c>
      <c r="K136" s="70">
        <f t="shared" si="275"/>
        <v>4.8000000000000001E-5</v>
      </c>
      <c r="L136" s="593" t="str">
        <f t="shared" si="273"/>
        <v>Inside of two hands (palms, fingers)</v>
      </c>
    </row>
    <row r="137" spans="6:12">
      <c r="F137" s="592"/>
      <c r="G137" s="671" t="str">
        <f t="shared" si="274"/>
        <v>Low</v>
      </c>
      <c r="H137" s="61">
        <f t="shared" si="275"/>
        <v>120</v>
      </c>
      <c r="I137" s="61">
        <f t="shared" si="275"/>
        <v>1</v>
      </c>
      <c r="J137" s="61">
        <f t="shared" si="275"/>
        <v>1</v>
      </c>
      <c r="K137" s="70">
        <f t="shared" si="275"/>
        <v>4.8000000000000001E-5</v>
      </c>
      <c r="L137" s="593" t="str">
        <f t="shared" si="273"/>
        <v>Inside of two hands (palms, fingers)</v>
      </c>
    </row>
    <row r="138" spans="6:12">
      <c r="F138" s="592" t="str">
        <f>A52</f>
        <v>Auto Care Products</v>
      </c>
      <c r="G138" s="671" t="str">
        <f t="shared" si="274"/>
        <v>High</v>
      </c>
      <c r="H138" s="61">
        <f t="shared" si="275"/>
        <v>120</v>
      </c>
      <c r="I138" s="61">
        <f t="shared" si="275"/>
        <v>52</v>
      </c>
      <c r="J138" s="61">
        <f t="shared" si="275"/>
        <v>1</v>
      </c>
      <c r="K138" s="70">
        <f t="shared" si="275"/>
        <v>2.5000000000000001E-5</v>
      </c>
      <c r="L138" s="593" t="str">
        <f t="shared" si="273"/>
        <v>10% of Hands (some fingers)</v>
      </c>
    </row>
    <row r="139" spans="6:12">
      <c r="F139" s="592"/>
      <c r="G139" s="671" t="str">
        <f t="shared" si="274"/>
        <v>Medium</v>
      </c>
      <c r="H139" s="61">
        <f t="shared" si="275"/>
        <v>60</v>
      </c>
      <c r="I139" s="61">
        <f t="shared" si="275"/>
        <v>52</v>
      </c>
      <c r="J139" s="61">
        <f t="shared" si="275"/>
        <v>1</v>
      </c>
      <c r="K139" s="70">
        <f t="shared" si="275"/>
        <v>2.5000000000000001E-5</v>
      </c>
      <c r="L139" s="593" t="str">
        <f t="shared" si="273"/>
        <v>10% of Hands (some fingers)</v>
      </c>
    </row>
    <row r="140" spans="6:12">
      <c r="F140" s="592"/>
      <c r="G140" s="671" t="str">
        <f t="shared" si="274"/>
        <v>Low</v>
      </c>
      <c r="H140" s="61">
        <f t="shared" si="275"/>
        <v>30</v>
      </c>
      <c r="I140" s="61">
        <f t="shared" si="275"/>
        <v>52</v>
      </c>
      <c r="J140" s="61">
        <f t="shared" si="275"/>
        <v>1</v>
      </c>
      <c r="K140" s="70">
        <f t="shared" si="275"/>
        <v>2.5000000000000001E-5</v>
      </c>
      <c r="L140" s="593" t="str">
        <f t="shared" si="273"/>
        <v>10% of Hands (some fingers)</v>
      </c>
    </row>
    <row r="141" spans="6:12">
      <c r="F141" s="592" t="str">
        <f>A55</f>
        <v>Auto Coatings</v>
      </c>
      <c r="G141" s="671" t="str">
        <f t="shared" si="274"/>
        <v>High</v>
      </c>
      <c r="H141" s="61">
        <f t="shared" si="275"/>
        <v>120</v>
      </c>
      <c r="I141" s="61">
        <f t="shared" si="275"/>
        <v>52</v>
      </c>
      <c r="J141" s="61">
        <f t="shared" si="275"/>
        <v>1</v>
      </c>
      <c r="K141" s="70">
        <f t="shared" si="275"/>
        <v>2.5000000000000001E-5</v>
      </c>
      <c r="L141" s="593" t="str">
        <f t="shared" si="273"/>
        <v>10% of Hands (some fingers)</v>
      </c>
    </row>
    <row r="142" spans="6:12">
      <c r="F142" s="592"/>
      <c r="G142" s="671" t="str">
        <f t="shared" si="274"/>
        <v>Medium</v>
      </c>
      <c r="H142" s="61">
        <f t="shared" si="275"/>
        <v>60</v>
      </c>
      <c r="I142" s="61">
        <f t="shared" si="275"/>
        <v>52</v>
      </c>
      <c r="J142" s="61">
        <f t="shared" si="275"/>
        <v>1</v>
      </c>
      <c r="K142" s="70">
        <f t="shared" si="275"/>
        <v>2.5000000000000001E-5</v>
      </c>
      <c r="L142" s="593" t="str">
        <f t="shared" si="273"/>
        <v>10% of Hands (some fingers)</v>
      </c>
    </row>
    <row r="143" spans="6:12">
      <c r="F143" s="592"/>
      <c r="G143" s="671" t="str">
        <f t="shared" si="274"/>
        <v>Low</v>
      </c>
      <c r="H143" s="61">
        <f t="shared" si="275"/>
        <v>30</v>
      </c>
      <c r="I143" s="61">
        <f t="shared" si="275"/>
        <v>52</v>
      </c>
      <c r="J143" s="61">
        <f t="shared" si="275"/>
        <v>1</v>
      </c>
      <c r="K143" s="70">
        <f t="shared" si="275"/>
        <v>2.5000000000000001E-5</v>
      </c>
      <c r="L143" s="593" t="str">
        <f t="shared" si="273"/>
        <v>10% of Hands (some fingers)</v>
      </c>
    </row>
    <row r="144" spans="6:12">
      <c r="F144" s="592" t="str">
        <f>A58</f>
        <v>Auto Repair Putty</v>
      </c>
      <c r="G144" s="671" t="str">
        <f t="shared" si="274"/>
        <v>High</v>
      </c>
      <c r="H144" s="61">
        <f t="shared" si="275"/>
        <v>120</v>
      </c>
      <c r="I144" s="61">
        <f t="shared" si="275"/>
        <v>2</v>
      </c>
      <c r="J144" s="61">
        <f t="shared" si="275"/>
        <v>1</v>
      </c>
      <c r="K144" s="70">
        <f t="shared" si="275"/>
        <v>2.5000000000000001E-5</v>
      </c>
      <c r="L144" s="593" t="str">
        <f t="shared" si="273"/>
        <v>10% of Hands (some fingers)</v>
      </c>
    </row>
    <row r="145" spans="6:12">
      <c r="F145" s="592"/>
      <c r="G145" s="671" t="str">
        <f t="shared" si="274"/>
        <v>Medium</v>
      </c>
      <c r="H145" s="61">
        <f t="shared" si="275"/>
        <v>60</v>
      </c>
      <c r="I145" s="61">
        <f t="shared" si="275"/>
        <v>2</v>
      </c>
      <c r="J145" s="61">
        <f t="shared" si="275"/>
        <v>1</v>
      </c>
      <c r="K145" s="70">
        <f t="shared" si="275"/>
        <v>2.5000000000000001E-5</v>
      </c>
      <c r="L145" s="593" t="str">
        <f t="shared" si="273"/>
        <v>10% of Hands (some fingers)</v>
      </c>
    </row>
    <row r="146" spans="6:12">
      <c r="F146" s="592"/>
      <c r="G146" s="671" t="str">
        <f t="shared" si="274"/>
        <v>Low</v>
      </c>
      <c r="H146" s="61">
        <f t="shared" si="275"/>
        <v>30</v>
      </c>
      <c r="I146" s="61">
        <f t="shared" si="275"/>
        <v>2</v>
      </c>
      <c r="J146" s="61">
        <f t="shared" si="275"/>
        <v>1</v>
      </c>
      <c r="K146" s="70">
        <f t="shared" si="275"/>
        <v>2.5000000000000001E-5</v>
      </c>
      <c r="L146" s="593" t="str">
        <f t="shared" si="273"/>
        <v>10% of Hands (some fingers)</v>
      </c>
    </row>
    <row r="147" spans="6:12">
      <c r="F147" s="592" t="str">
        <f>A61</f>
        <v>Concrete Sealant</v>
      </c>
      <c r="G147" s="671" t="str">
        <f t="shared" si="274"/>
        <v>High</v>
      </c>
      <c r="H147" s="61">
        <f t="shared" si="275"/>
        <v>480</v>
      </c>
      <c r="I147" s="61">
        <f t="shared" si="275"/>
        <v>365</v>
      </c>
      <c r="J147" s="61">
        <f t="shared" si="275"/>
        <v>1</v>
      </c>
      <c r="K147" s="70">
        <f t="shared" si="275"/>
        <v>2.5000000000000001E-5</v>
      </c>
      <c r="L147" s="593" t="str">
        <f t="shared" si="273"/>
        <v>Inside of two hands (palms, fingers)</v>
      </c>
    </row>
    <row r="148" spans="6:12">
      <c r="F148" s="592"/>
      <c r="G148" s="671" t="str">
        <f t="shared" si="274"/>
        <v>Medium</v>
      </c>
      <c r="H148" s="61">
        <f t="shared" si="275"/>
        <v>240</v>
      </c>
      <c r="I148" s="61">
        <f t="shared" si="275"/>
        <v>365</v>
      </c>
      <c r="J148" s="61">
        <f t="shared" si="275"/>
        <v>1</v>
      </c>
      <c r="K148" s="70">
        <f t="shared" si="275"/>
        <v>2.5000000000000001E-5</v>
      </c>
      <c r="L148" s="593" t="str">
        <f t="shared" si="273"/>
        <v>Inside of one hand (palms, fingers)</v>
      </c>
    </row>
    <row r="149" spans="6:12">
      <c r="F149" s="592"/>
      <c r="G149" s="671" t="str">
        <f t="shared" si="274"/>
        <v>Low</v>
      </c>
      <c r="H149" s="61">
        <f t="shared" si="275"/>
        <v>120</v>
      </c>
      <c r="I149" s="61">
        <f t="shared" si="275"/>
        <v>365</v>
      </c>
      <c r="J149" s="61">
        <f t="shared" si="275"/>
        <v>1</v>
      </c>
      <c r="K149" s="70">
        <f t="shared" si="275"/>
        <v>2.5000000000000001E-5</v>
      </c>
      <c r="L149" s="593" t="str">
        <f t="shared" si="273"/>
        <v>10% of Hands (some fingers)</v>
      </c>
    </row>
    <row r="150" spans="6:12">
      <c r="F150" s="592" t="str">
        <f>A64</f>
        <v>Flooring Adhesive</v>
      </c>
      <c r="G150" s="671" t="str">
        <f t="shared" si="274"/>
        <v>High</v>
      </c>
      <c r="H150" s="61">
        <f t="shared" si="275"/>
        <v>480</v>
      </c>
      <c r="I150" s="61">
        <f t="shared" si="275"/>
        <v>2</v>
      </c>
      <c r="J150" s="61">
        <f t="shared" si="275"/>
        <v>1</v>
      </c>
      <c r="K150" s="70">
        <f t="shared" si="275"/>
        <v>2.5000000000000001E-5</v>
      </c>
      <c r="L150" s="593" t="str">
        <f t="shared" si="273"/>
        <v>10% of Hands (some fingers)</v>
      </c>
    </row>
    <row r="151" spans="6:12">
      <c r="F151" s="592"/>
      <c r="G151" s="671" t="str">
        <f t="shared" si="274"/>
        <v>Medium</v>
      </c>
      <c r="H151" s="61">
        <f t="shared" si="275"/>
        <v>240</v>
      </c>
      <c r="I151" s="61">
        <f t="shared" si="275"/>
        <v>2</v>
      </c>
      <c r="J151" s="61">
        <f t="shared" si="275"/>
        <v>1</v>
      </c>
      <c r="K151" s="70">
        <f t="shared" si="275"/>
        <v>2.5000000000000001E-5</v>
      </c>
      <c r="L151" s="593" t="str">
        <f t="shared" si="273"/>
        <v>10% of Hands (some fingers)</v>
      </c>
    </row>
    <row r="152" spans="6:12">
      <c r="F152" s="592"/>
      <c r="G152" s="671" t="str">
        <f t="shared" si="274"/>
        <v>Low</v>
      </c>
      <c r="H152" s="61">
        <f t="shared" si="275"/>
        <v>120</v>
      </c>
      <c r="I152" s="61">
        <f t="shared" si="275"/>
        <v>2</v>
      </c>
      <c r="J152" s="61">
        <f t="shared" si="275"/>
        <v>1</v>
      </c>
      <c r="K152" s="70">
        <f t="shared" si="275"/>
        <v>2.5000000000000001E-5</v>
      </c>
      <c r="L152" s="593" t="str">
        <f t="shared" si="273"/>
        <v>10% of Hands (some fingers)</v>
      </c>
    </row>
    <row r="153" spans="6:12">
      <c r="F153" s="592" t="str">
        <f>A67</f>
        <v>Fragrance Oil</v>
      </c>
      <c r="G153" s="671" t="str">
        <f t="shared" si="274"/>
        <v>High</v>
      </c>
      <c r="H153" s="61">
        <f t="shared" ref="H153:K158" si="276">G67</f>
        <v>120</v>
      </c>
      <c r="I153" s="61">
        <f t="shared" si="276"/>
        <v>52</v>
      </c>
      <c r="J153" s="61">
        <f t="shared" si="276"/>
        <v>1</v>
      </c>
      <c r="K153" s="70">
        <f t="shared" si="276"/>
        <v>2.5000000000000001E-5</v>
      </c>
      <c r="L153" s="593" t="str">
        <f t="shared" si="273"/>
        <v>Inside of two hands (palms, fingers)</v>
      </c>
    </row>
    <row r="154" spans="6:12">
      <c r="F154" s="592"/>
      <c r="G154" s="671" t="str">
        <f t="shared" si="274"/>
        <v>Medium</v>
      </c>
      <c r="H154" s="61">
        <f t="shared" si="276"/>
        <v>60</v>
      </c>
      <c r="I154" s="61">
        <f t="shared" si="276"/>
        <v>52</v>
      </c>
      <c r="J154" s="61">
        <f t="shared" si="276"/>
        <v>1</v>
      </c>
      <c r="K154" s="70">
        <f t="shared" si="276"/>
        <v>2.5000000000000001E-5</v>
      </c>
      <c r="L154" s="593" t="str">
        <f t="shared" si="273"/>
        <v>Inside of two hands (palms, fingers)</v>
      </c>
    </row>
    <row r="155" spans="6:12">
      <c r="F155" s="592"/>
      <c r="G155" s="671" t="str">
        <f t="shared" si="274"/>
        <v>Low</v>
      </c>
      <c r="H155" s="61">
        <f t="shared" si="276"/>
        <v>30</v>
      </c>
      <c r="I155" s="61">
        <f t="shared" si="276"/>
        <v>52</v>
      </c>
      <c r="J155" s="61">
        <f t="shared" si="276"/>
        <v>1</v>
      </c>
      <c r="K155" s="70">
        <f t="shared" si="276"/>
        <v>2.5000000000000001E-5</v>
      </c>
      <c r="L155" s="593" t="str">
        <f t="shared" si="273"/>
        <v>Inside of two hands (palms, fingers)</v>
      </c>
    </row>
    <row r="156" spans="6:12">
      <c r="F156" s="592" t="str">
        <f>A70</f>
        <v>Inductance Loop Sealant</v>
      </c>
      <c r="G156" s="671" t="str">
        <f t="shared" si="274"/>
        <v>High</v>
      </c>
      <c r="H156" s="61">
        <f t="shared" si="276"/>
        <v>480</v>
      </c>
      <c r="I156" s="61">
        <f t="shared" si="276"/>
        <v>365</v>
      </c>
      <c r="J156" s="61">
        <f t="shared" si="276"/>
        <v>1</v>
      </c>
      <c r="K156" s="70">
        <f t="shared" si="276"/>
        <v>2.5000000000000001E-5</v>
      </c>
      <c r="L156" s="593" t="str">
        <f t="shared" si="273"/>
        <v>Inside of two hands (palms, fingers)</v>
      </c>
    </row>
    <row r="157" spans="6:12">
      <c r="F157" s="592"/>
      <c r="G157" s="671" t="str">
        <f t="shared" si="274"/>
        <v>Medium</v>
      </c>
      <c r="H157" s="61">
        <f t="shared" si="276"/>
        <v>240</v>
      </c>
      <c r="I157" s="61">
        <f t="shared" si="276"/>
        <v>365</v>
      </c>
      <c r="J157" s="61">
        <f t="shared" si="276"/>
        <v>1</v>
      </c>
      <c r="K157" s="70">
        <f t="shared" si="276"/>
        <v>2.5000000000000001E-5</v>
      </c>
      <c r="L157" s="593" t="str">
        <f t="shared" ref="L157:L158" si="277">L71</f>
        <v>Inside of one hand (palms, fingers)</v>
      </c>
    </row>
    <row r="158" spans="6:12">
      <c r="F158" s="595"/>
      <c r="G158" s="596" t="str">
        <f t="shared" ref="G158" si="278">B72</f>
        <v>Low</v>
      </c>
      <c r="H158" s="597">
        <f t="shared" si="276"/>
        <v>120</v>
      </c>
      <c r="I158" s="597">
        <f t="shared" si="276"/>
        <v>365</v>
      </c>
      <c r="J158" s="597">
        <f t="shared" si="276"/>
        <v>1</v>
      </c>
      <c r="K158" s="598">
        <f t="shared" si="276"/>
        <v>2.5000000000000001E-5</v>
      </c>
      <c r="L158" s="599" t="str">
        <f t="shared" si="277"/>
        <v>10% of Hands (some fingers)</v>
      </c>
    </row>
  </sheetData>
  <sheetProtection sheet="1" objects="1" scenarios="1" formatCells="0" formatColumns="0" formatRows="0" sort="0" autoFilter="0"/>
  <mergeCells count="66">
    <mergeCell ref="BB2:BH2"/>
    <mergeCell ref="BI2:BO2"/>
    <mergeCell ref="BB1:BO1"/>
    <mergeCell ref="AO2:AU2"/>
    <mergeCell ref="A25:A27"/>
    <mergeCell ref="C25:C27"/>
    <mergeCell ref="C22:C24"/>
    <mergeCell ref="C4:C6"/>
    <mergeCell ref="C7:C9"/>
    <mergeCell ref="C13:C15"/>
    <mergeCell ref="C16:C18"/>
    <mergeCell ref="C19:C21"/>
    <mergeCell ref="AY2:BA2"/>
    <mergeCell ref="C2:C3"/>
    <mergeCell ref="D2:F2"/>
    <mergeCell ref="T2:Z2"/>
    <mergeCell ref="AV2:AX2"/>
    <mergeCell ref="AH2:AN2"/>
    <mergeCell ref="A31:A33"/>
    <mergeCell ref="A4:A6"/>
    <mergeCell ref="A7:A9"/>
    <mergeCell ref="A13:A15"/>
    <mergeCell ref="A16:A18"/>
    <mergeCell ref="A19:A21"/>
    <mergeCell ref="A22:A24"/>
    <mergeCell ref="G2:L2"/>
    <mergeCell ref="M2:S2"/>
    <mergeCell ref="B2:B3"/>
    <mergeCell ref="AA2:AG2"/>
    <mergeCell ref="A49:A51"/>
    <mergeCell ref="C49:C51"/>
    <mergeCell ref="C55:C57"/>
    <mergeCell ref="C52:C54"/>
    <mergeCell ref="A55:A57"/>
    <mergeCell ref="A52:A54"/>
    <mergeCell ref="A34:A36"/>
    <mergeCell ref="A37:A39"/>
    <mergeCell ref="A28:A30"/>
    <mergeCell ref="A2:A3"/>
    <mergeCell ref="C46:C48"/>
    <mergeCell ref="A46:A48"/>
    <mergeCell ref="C28:C30"/>
    <mergeCell ref="C31:C33"/>
    <mergeCell ref="C34:C36"/>
    <mergeCell ref="C37:C39"/>
    <mergeCell ref="C40:C42"/>
    <mergeCell ref="A40:A42"/>
    <mergeCell ref="A43:A45"/>
    <mergeCell ref="C43:C45"/>
    <mergeCell ref="A10:A12"/>
    <mergeCell ref="C10:C12"/>
    <mergeCell ref="E87:G87"/>
    <mergeCell ref="A70:A72"/>
    <mergeCell ref="C70:C72"/>
    <mergeCell ref="C58:C60"/>
    <mergeCell ref="C61:C63"/>
    <mergeCell ref="A64:A66"/>
    <mergeCell ref="A58:A60"/>
    <mergeCell ref="A87:C87"/>
    <mergeCell ref="A76:H76"/>
    <mergeCell ref="A77:A78"/>
    <mergeCell ref="B77:H77"/>
    <mergeCell ref="C64:C66"/>
    <mergeCell ref="A67:A69"/>
    <mergeCell ref="C67:C69"/>
    <mergeCell ref="A61:A63"/>
  </mergeCells>
  <conditionalFormatting sqref="M4:BA72">
    <cfRule type="cellIs" dxfId="1" priority="12" operator="equal">
      <formula>0</formula>
    </cfRule>
  </conditionalFormatting>
  <conditionalFormatting sqref="BB4:BO72">
    <cfRule type="cellIs" dxfId="0" priority="1" operator="lessThan">
      <formula>30</formula>
    </cfRule>
  </conditionalFormatting>
  <dataValidations count="2">
    <dataValidation type="list" allowBlank="1" showInputMessage="1" showErrorMessage="1" sqref="L46:L72 L4:L42" xr:uid="{2F9F0C2D-25DB-4062-9353-96BAF2093BD7}">
      <formula1>$A$79:$A$85</formula1>
    </dataValidation>
    <dataValidation type="list" allowBlank="1" showInputMessage="1" showErrorMessage="1" sqref="L43:L45" xr:uid="{E205A30A-20CD-4240-A29E-CD048DDA066C}">
      <formula1>$A$64:$A$70</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B4613-C537-4272-994E-6E9C1836EE9E}">
  <sheetPr codeName="Sheet12">
    <tabColor theme="7" tint="-0.249977111117893"/>
  </sheetPr>
  <dimension ref="A1:X138"/>
  <sheetViews>
    <sheetView workbookViewId="0"/>
  </sheetViews>
  <sheetFormatPr defaultRowHeight="14.5"/>
  <cols>
    <col min="1" max="9" width="8.7265625" style="671"/>
    <col min="10" max="10" width="3.1796875" style="671" customWidth="1"/>
    <col min="11" max="17" width="12.54296875" style="671" customWidth="1"/>
    <col min="18" max="18" width="13" style="671" customWidth="1"/>
    <col min="19" max="19" width="25.81640625" style="671" customWidth="1"/>
    <col min="20" max="25" width="12.54296875" style="671" customWidth="1"/>
    <col min="26" max="16384" width="8.7265625" style="671"/>
  </cols>
  <sheetData>
    <row r="1" spans="1:16" s="601" customFormat="1" ht="18.5">
      <c r="A1" s="600" t="s">
        <v>1416</v>
      </c>
    </row>
    <row r="2" spans="1:16" s="671" customFormat="1" ht="15" thickBot="1">
      <c r="A2" s="671" t="s">
        <v>1417</v>
      </c>
    </row>
    <row r="3" spans="1:16" s="671" customFormat="1" ht="15" thickBot="1">
      <c r="A3" s="44"/>
      <c r="B3" s="45"/>
      <c r="C3" s="45"/>
      <c r="D3" s="45"/>
      <c r="E3" s="45"/>
      <c r="F3" s="45"/>
      <c r="G3" s="45"/>
      <c r="H3" s="45"/>
      <c r="I3" s="46"/>
    </row>
    <row r="4" spans="1:16" s="671" customFormat="1">
      <c r="A4" s="49"/>
      <c r="I4" s="48"/>
      <c r="J4" s="602"/>
      <c r="K4" s="603" t="s">
        <v>1418</v>
      </c>
      <c r="L4" s="603"/>
      <c r="M4" s="603"/>
      <c r="N4" s="603"/>
      <c r="O4" s="45"/>
      <c r="P4" s="46"/>
    </row>
    <row r="5" spans="1:16" s="671" customFormat="1" ht="28" customHeight="1">
      <c r="A5" s="49"/>
      <c r="I5" s="48"/>
      <c r="J5" s="49"/>
      <c r="L5" s="61" t="s">
        <v>1419</v>
      </c>
      <c r="M5" s="61" t="s">
        <v>1420</v>
      </c>
      <c r="N5" s="61" t="s">
        <v>1421</v>
      </c>
      <c r="O5" s="61" t="s">
        <v>1422</v>
      </c>
      <c r="P5" s="62" t="s">
        <v>1423</v>
      </c>
    </row>
    <row r="6" spans="1:16" s="671" customFormat="1" ht="31">
      <c r="A6" s="49"/>
      <c r="I6" s="48"/>
      <c r="J6" s="49"/>
      <c r="K6" s="55" t="s">
        <v>1424</v>
      </c>
      <c r="L6" s="61">
        <f>3.7*10^-2</f>
        <v>3.7000000000000005E-2</v>
      </c>
      <c r="M6" s="61">
        <f>4.2*10^-2</f>
        <v>4.2000000000000003E-2</v>
      </c>
      <c r="N6" s="61">
        <f>4.9*10^-2</f>
        <v>4.9000000000000002E-2</v>
      </c>
      <c r="O6" s="61">
        <f>4.9*10^-2</f>
        <v>4.9000000000000002E-2</v>
      </c>
      <c r="P6" s="62">
        <f>AVERAGE(5,4.9,5.2,5.3,4.7)*10^-2</f>
        <v>5.0200000000000009E-2</v>
      </c>
    </row>
    <row r="7" spans="1:16" s="671" customFormat="1" ht="31">
      <c r="A7" s="49"/>
      <c r="I7" s="48"/>
      <c r="J7" s="49"/>
      <c r="K7" s="55" t="s">
        <v>1425</v>
      </c>
      <c r="L7" s="61">
        <f>L6*60</f>
        <v>2.2200000000000002</v>
      </c>
      <c r="M7" s="61">
        <f>M6*60</f>
        <v>2.52</v>
      </c>
      <c r="N7" s="61">
        <f>N6*60</f>
        <v>2.94</v>
      </c>
      <c r="O7" s="61">
        <f>O6*60</f>
        <v>2.94</v>
      </c>
      <c r="P7" s="62">
        <f>P6*60</f>
        <v>3.0120000000000005</v>
      </c>
    </row>
    <row r="8" spans="1:16" s="671" customFormat="1">
      <c r="A8" s="49"/>
      <c r="I8" s="48"/>
      <c r="J8" s="49"/>
      <c r="K8" s="61"/>
      <c r="P8" s="48"/>
    </row>
    <row r="9" spans="1:16" s="671" customFormat="1">
      <c r="A9" s="49"/>
      <c r="I9" s="48"/>
      <c r="J9" s="49"/>
      <c r="K9" s="61"/>
      <c r="P9" s="48"/>
    </row>
    <row r="10" spans="1:16" s="671" customFormat="1" ht="15" thickBot="1">
      <c r="A10" s="49"/>
      <c r="I10" s="48"/>
      <c r="J10" s="604"/>
      <c r="K10" s="170"/>
      <c r="L10" s="90"/>
      <c r="M10" s="90"/>
      <c r="N10" s="90"/>
      <c r="O10" s="90"/>
      <c r="P10" s="91"/>
    </row>
    <row r="11" spans="1:16" s="671" customFormat="1">
      <c r="A11" s="49"/>
      <c r="I11" s="48"/>
    </row>
    <row r="12" spans="1:16" s="671" customFormat="1">
      <c r="A12" s="49"/>
      <c r="I12" s="48"/>
    </row>
    <row r="13" spans="1:16" s="671" customFormat="1">
      <c r="A13" s="49"/>
      <c r="I13" s="48"/>
    </row>
    <row r="14" spans="1:16" s="671" customFormat="1">
      <c r="A14" s="49"/>
      <c r="I14" s="48"/>
    </row>
    <row r="15" spans="1:16" s="671" customFormat="1">
      <c r="A15" s="49"/>
      <c r="I15" s="48"/>
    </row>
    <row r="16" spans="1:16" s="671" customFormat="1">
      <c r="A16" s="49"/>
      <c r="I16" s="48"/>
    </row>
    <row r="17" spans="1:24" s="671" customFormat="1">
      <c r="A17" s="49"/>
      <c r="I17" s="48"/>
    </row>
    <row r="18" spans="1:24" s="671" customFormat="1">
      <c r="A18" s="49"/>
      <c r="I18" s="48"/>
    </row>
    <row r="19" spans="1:24" s="671" customFormat="1">
      <c r="A19" s="49"/>
      <c r="I19" s="48"/>
    </row>
    <row r="20" spans="1:24" s="671" customFormat="1">
      <c r="A20" s="49"/>
      <c r="I20" s="48"/>
    </row>
    <row r="21" spans="1:24" s="671" customFormat="1">
      <c r="A21" s="49"/>
      <c r="I21" s="48"/>
    </row>
    <row r="22" spans="1:24" s="671" customFormat="1">
      <c r="A22" s="49"/>
      <c r="I22" s="48"/>
    </row>
    <row r="23" spans="1:24" s="671" customFormat="1" ht="15" thickBot="1">
      <c r="A23" s="604"/>
      <c r="B23" s="90"/>
      <c r="C23" s="90"/>
      <c r="D23" s="90"/>
      <c r="E23" s="90"/>
      <c r="F23" s="90"/>
      <c r="G23" s="90"/>
      <c r="H23" s="90"/>
      <c r="I23" s="91"/>
    </row>
    <row r="24" spans="1:24" s="601" customFormat="1" ht="18.5">
      <c r="A24" s="600" t="s">
        <v>1426</v>
      </c>
    </row>
    <row r="25" spans="1:24" s="671" customFormat="1">
      <c r="A25" s="671" t="s">
        <v>1427</v>
      </c>
    </row>
    <row r="26" spans="1:24" s="671" customFormat="1" ht="15" thickBot="1"/>
    <row r="27" spans="1:24" s="671" customFormat="1">
      <c r="S27" s="44"/>
      <c r="T27" s="144" t="s">
        <v>1419</v>
      </c>
      <c r="U27" s="144" t="s">
        <v>1420</v>
      </c>
      <c r="V27" s="144" t="s">
        <v>1421</v>
      </c>
      <c r="W27" s="144" t="s">
        <v>1422</v>
      </c>
      <c r="X27" s="126" t="s">
        <v>1423</v>
      </c>
    </row>
    <row r="28" spans="1:24" s="671" customFormat="1">
      <c r="S28" s="49" t="s">
        <v>1428</v>
      </c>
      <c r="T28" s="61">
        <v>1</v>
      </c>
      <c r="U28" s="61">
        <v>1</v>
      </c>
      <c r="V28" s="61">
        <v>3</v>
      </c>
      <c r="W28" s="61">
        <v>2</v>
      </c>
      <c r="X28" s="62">
        <v>2</v>
      </c>
    </row>
    <row r="29" spans="1:24" s="671" customFormat="1" ht="16.5">
      <c r="S29" s="49" t="s">
        <v>1429</v>
      </c>
      <c r="T29" s="61">
        <v>78</v>
      </c>
      <c r="U29" s="61">
        <v>78</v>
      </c>
      <c r="V29" s="61">
        <v>138</v>
      </c>
      <c r="W29" s="61">
        <v>138</v>
      </c>
      <c r="X29" s="62">
        <v>78</v>
      </c>
    </row>
    <row r="30" spans="1:24" s="671" customFormat="1" ht="17" thickBot="1">
      <c r="S30" s="604" t="s">
        <v>1430</v>
      </c>
      <c r="T30" s="170">
        <v>1</v>
      </c>
      <c r="U30" s="170">
        <v>1</v>
      </c>
      <c r="V30" s="170">
        <v>1</v>
      </c>
      <c r="W30" s="170">
        <v>1</v>
      </c>
      <c r="X30" s="141">
        <v>1</v>
      </c>
    </row>
    <row r="31" spans="1:24" s="671" customFormat="1">
      <c r="T31" s="61"/>
      <c r="U31" s="61"/>
      <c r="V31" s="61"/>
      <c r="W31" s="61"/>
      <c r="X31" s="61"/>
    </row>
    <row r="41" spans="1:21" s="600" customFormat="1" ht="18.5">
      <c r="A41" s="600" t="s">
        <v>1431</v>
      </c>
    </row>
    <row r="42" spans="1:21" s="671" customFormat="1">
      <c r="A42" s="671" t="s">
        <v>1427</v>
      </c>
    </row>
    <row r="45" spans="1:21" s="671" customFormat="1" ht="15" thickBot="1">
      <c r="T45" s="618"/>
    </row>
    <row r="46" spans="1:21" s="671" customFormat="1" ht="29">
      <c r="S46" s="605" t="s">
        <v>1432</v>
      </c>
      <c r="T46" s="177" t="s">
        <v>1431</v>
      </c>
      <c r="U46" s="61"/>
    </row>
    <row r="47" spans="1:21" s="671" customFormat="1">
      <c r="S47" s="606" t="s">
        <v>1341</v>
      </c>
      <c r="T47" s="62">
        <v>0.5</v>
      </c>
      <c r="U47" s="61"/>
    </row>
    <row r="48" spans="1:21" s="671" customFormat="1">
      <c r="S48" s="606" t="s">
        <v>983</v>
      </c>
      <c r="T48" s="62">
        <v>0.1</v>
      </c>
      <c r="U48" s="61"/>
    </row>
    <row r="49" spans="1:21" s="671" customFormat="1" ht="15" thickBot="1">
      <c r="S49" s="607" t="s">
        <v>1176</v>
      </c>
      <c r="T49" s="141">
        <v>0.7</v>
      </c>
      <c r="U49" s="61"/>
    </row>
    <row r="50" spans="1:21" s="671" customFormat="1">
      <c r="S50" s="61"/>
      <c r="T50" s="61"/>
      <c r="U50" s="61"/>
    </row>
    <row r="51" spans="1:21" s="671" customFormat="1">
      <c r="S51" s="61"/>
      <c r="T51" s="61"/>
      <c r="U51" s="61"/>
    </row>
    <row r="52" spans="1:21" s="671" customFormat="1">
      <c r="S52" s="61"/>
      <c r="T52" s="61"/>
      <c r="U52" s="61"/>
    </row>
    <row r="53" spans="1:21" s="671" customFormat="1">
      <c r="S53" s="61"/>
      <c r="T53" s="61"/>
      <c r="U53" s="61"/>
    </row>
    <row r="54" spans="1:21" s="671" customFormat="1">
      <c r="S54" s="61"/>
      <c r="T54" s="61"/>
      <c r="U54" s="61"/>
    </row>
    <row r="55" spans="1:21" s="671" customFormat="1">
      <c r="S55" s="61"/>
      <c r="T55" s="61"/>
      <c r="U55" s="61"/>
    </row>
    <row r="57" spans="1:21" s="601" customFormat="1" ht="18.5">
      <c r="A57" s="909" t="s">
        <v>1433</v>
      </c>
      <c r="B57" s="910"/>
      <c r="C57" s="910"/>
      <c r="D57" s="910"/>
      <c r="E57" s="910"/>
      <c r="F57" s="910"/>
      <c r="G57" s="910"/>
    </row>
    <row r="58" spans="1:21" s="671" customFormat="1">
      <c r="A58" s="911" t="s">
        <v>1434</v>
      </c>
      <c r="B58" s="911"/>
      <c r="C58" s="911"/>
      <c r="D58" s="911"/>
      <c r="E58" s="911"/>
      <c r="F58" s="911"/>
      <c r="G58" s="911"/>
    </row>
    <row r="59" spans="1:21" s="671" customFormat="1">
      <c r="A59" s="61" t="s">
        <v>1435</v>
      </c>
      <c r="B59" s="617" t="s">
        <v>1436</v>
      </c>
      <c r="C59" s="617" t="s">
        <v>1437</v>
      </c>
      <c r="D59" s="617" t="s">
        <v>1438</v>
      </c>
      <c r="E59" s="617" t="s">
        <v>1439</v>
      </c>
      <c r="F59" s="617" t="s">
        <v>1440</v>
      </c>
      <c r="G59" s="617" t="s">
        <v>1362</v>
      </c>
    </row>
    <row r="60" spans="1:21" s="671" customFormat="1">
      <c r="A60" s="406">
        <v>7.8</v>
      </c>
      <c r="B60" s="406">
        <v>12.6</v>
      </c>
      <c r="C60" s="406">
        <v>18.600000000000001</v>
      </c>
      <c r="D60" s="406">
        <v>31.8</v>
      </c>
      <c r="E60" s="406">
        <v>56.8</v>
      </c>
      <c r="F60" s="406">
        <v>71.599999999999994</v>
      </c>
      <c r="G60" s="406">
        <v>80</v>
      </c>
    </row>
    <row r="62" spans="1:21" s="601" customFormat="1" ht="18.5">
      <c r="A62" s="909" t="s">
        <v>1441</v>
      </c>
      <c r="B62" s="910"/>
      <c r="C62" s="910"/>
      <c r="D62" s="910"/>
      <c r="E62" s="910"/>
      <c r="F62" s="910"/>
      <c r="G62" s="910"/>
    </row>
    <row r="64" spans="1:21" s="671" customFormat="1" ht="15" thickBot="1"/>
    <row r="65" spans="15:20" s="671" customFormat="1">
      <c r="O65" s="44"/>
      <c r="P65" s="144" t="s">
        <v>1419</v>
      </c>
      <c r="Q65" s="144" t="s">
        <v>1420</v>
      </c>
      <c r="R65" s="144" t="s">
        <v>1421</v>
      </c>
      <c r="S65" s="144" t="s">
        <v>1422</v>
      </c>
      <c r="T65" s="126" t="s">
        <v>1423</v>
      </c>
    </row>
    <row r="66" spans="15:20" s="671" customFormat="1">
      <c r="O66" s="606" t="s">
        <v>1442</v>
      </c>
      <c r="P66" s="61">
        <v>80</v>
      </c>
      <c r="Q66" s="61">
        <v>60</v>
      </c>
      <c r="R66" s="61">
        <v>60</v>
      </c>
      <c r="S66" s="61">
        <v>30</v>
      </c>
      <c r="T66" s="62">
        <v>30</v>
      </c>
    </row>
    <row r="67" spans="15:20" s="671" customFormat="1" ht="15" thickBot="1">
      <c r="O67" s="607" t="s">
        <v>1443</v>
      </c>
      <c r="P67" s="170">
        <f>P66/1000</f>
        <v>0.08</v>
      </c>
      <c r="Q67" s="170">
        <f t="shared" ref="Q67:T67" si="0">Q66/1000</f>
        <v>0.06</v>
      </c>
      <c r="R67" s="170">
        <f t="shared" si="0"/>
        <v>0.06</v>
      </c>
      <c r="S67" s="170">
        <f t="shared" si="0"/>
        <v>0.03</v>
      </c>
      <c r="T67" s="141">
        <f t="shared" si="0"/>
        <v>0.03</v>
      </c>
    </row>
    <row r="84" spans="1:19" s="601" customFormat="1" ht="18.5">
      <c r="A84" s="909" t="s">
        <v>1444</v>
      </c>
      <c r="B84" s="910"/>
      <c r="C84" s="910"/>
      <c r="D84" s="910"/>
      <c r="E84" s="910"/>
      <c r="F84" s="910"/>
      <c r="G84" s="910"/>
    </row>
    <row r="85" spans="1:19" s="671" customFormat="1" ht="18.5">
      <c r="A85" s="671" t="s">
        <v>1445</v>
      </c>
      <c r="B85" s="608"/>
      <c r="C85" s="608"/>
      <c r="D85" s="608"/>
      <c r="E85" s="608"/>
      <c r="F85" s="608"/>
      <c r="G85" s="608"/>
      <c r="M85" s="677" t="s">
        <v>1446</v>
      </c>
      <c r="N85" s="677"/>
      <c r="O85" s="677"/>
      <c r="P85" s="677"/>
      <c r="Q85" s="677"/>
      <c r="R85" s="677"/>
      <c r="S85" s="677"/>
    </row>
    <row r="86" spans="1:19" s="671" customFormat="1">
      <c r="A86" s="671" t="s">
        <v>1447</v>
      </c>
      <c r="M86" s="677"/>
      <c r="N86" s="677"/>
      <c r="O86" s="677"/>
      <c r="P86" s="677"/>
      <c r="Q86" s="677"/>
      <c r="R86" s="677"/>
      <c r="S86" s="677"/>
    </row>
    <row r="87" spans="1:19" s="671" customFormat="1">
      <c r="M87" s="912"/>
      <c r="N87" s="912"/>
      <c r="O87" s="912"/>
      <c r="P87" s="912"/>
      <c r="Q87" s="912"/>
      <c r="R87" s="912"/>
      <c r="S87" s="912"/>
    </row>
    <row r="88" spans="1:19" s="671" customFormat="1">
      <c r="M88" s="912"/>
      <c r="N88" s="912"/>
      <c r="O88" s="912"/>
      <c r="P88" s="912"/>
      <c r="Q88" s="912"/>
      <c r="R88" s="912"/>
      <c r="S88" s="912"/>
    </row>
    <row r="90" spans="1:19" s="671" customFormat="1">
      <c r="M90" s="671" t="s">
        <v>1448</v>
      </c>
    </row>
    <row r="91" spans="1:19" s="671" customFormat="1">
      <c r="N91" s="609" t="s">
        <v>1449</v>
      </c>
      <c r="O91" s="609"/>
      <c r="P91" s="609"/>
      <c r="Q91" s="609"/>
      <c r="R91" s="609"/>
    </row>
    <row r="92" spans="1:19" s="671" customFormat="1">
      <c r="M92" s="61"/>
      <c r="O92" s="61" t="s">
        <v>1450</v>
      </c>
      <c r="P92" s="61" t="s">
        <v>1451</v>
      </c>
      <c r="Q92" s="61" t="s">
        <v>1452</v>
      </c>
      <c r="R92" s="61" t="s">
        <v>1453</v>
      </c>
      <c r="S92" s="61"/>
    </row>
    <row r="93" spans="1:19" s="671" customFormat="1">
      <c r="N93" s="671" t="s">
        <v>1454</v>
      </c>
      <c r="O93" s="61">
        <v>0.11</v>
      </c>
      <c r="P93" s="61">
        <v>8.3000000000000001E-3</v>
      </c>
      <c r="Q93" s="61">
        <v>5.5E-2</v>
      </c>
      <c r="R93" s="61">
        <v>2.1999999999999999E-2</v>
      </c>
      <c r="S93" s="61"/>
    </row>
    <row r="94" spans="1:19" s="671" customFormat="1">
      <c r="M94" s="61" t="s">
        <v>1455</v>
      </c>
      <c r="N94" s="671" t="s">
        <v>1456</v>
      </c>
      <c r="O94" s="61">
        <v>3.5000000000000003E-2</v>
      </c>
      <c r="P94" s="61">
        <v>4.3E-3</v>
      </c>
      <c r="Q94" s="61">
        <v>1.4E-2</v>
      </c>
      <c r="R94" s="61">
        <v>1.6E-2</v>
      </c>
      <c r="S94" s="61"/>
    </row>
    <row r="95" spans="1:19" s="671" customFormat="1">
      <c r="N95" s="671" t="s">
        <v>1457</v>
      </c>
      <c r="O95" s="61">
        <v>1.0999999999999999E-2</v>
      </c>
      <c r="P95" s="61">
        <v>2.2000000000000001E-3</v>
      </c>
      <c r="Q95" s="61">
        <v>3.3999999999999998E-3</v>
      </c>
      <c r="R95" s="61">
        <v>1.0999999999999999E-2</v>
      </c>
      <c r="S95" s="61"/>
    </row>
    <row r="96" spans="1:19" s="671" customFormat="1">
      <c r="M96" s="61"/>
      <c r="O96" s="61"/>
      <c r="P96" s="61"/>
      <c r="Q96" s="61"/>
      <c r="R96" s="61"/>
      <c r="S96" s="61"/>
    </row>
    <row r="97" spans="1:24" s="671" customFormat="1">
      <c r="M97" s="61"/>
      <c r="N97" s="671" t="s">
        <v>1454</v>
      </c>
      <c r="O97" s="61">
        <v>2.8000000000000001E-2</v>
      </c>
      <c r="P97" s="61">
        <v>6.0000000000000001E-3</v>
      </c>
      <c r="Q97" s="61">
        <v>1.2999999999999999E-2</v>
      </c>
      <c r="R97" s="61">
        <v>1.2E-2</v>
      </c>
      <c r="S97" s="61"/>
    </row>
    <row r="98" spans="1:24" s="671" customFormat="1">
      <c r="M98" s="61" t="s">
        <v>1458</v>
      </c>
      <c r="N98" s="671" t="s">
        <v>1456</v>
      </c>
      <c r="O98" s="61">
        <v>1.9E-2</v>
      </c>
      <c r="P98" s="61">
        <v>2.8999999999999998E-3</v>
      </c>
      <c r="Q98" s="61">
        <v>8.0999999999999996E-3</v>
      </c>
      <c r="R98" s="61">
        <v>1.2E-2</v>
      </c>
      <c r="S98" s="61"/>
    </row>
    <row r="99" spans="1:24" s="671" customFormat="1">
      <c r="N99" s="671" t="s">
        <v>1457</v>
      </c>
      <c r="O99" s="61">
        <v>1.2999999999999999E-2</v>
      </c>
      <c r="P99" s="61">
        <v>1.4E-3</v>
      </c>
      <c r="Q99" s="61">
        <v>5.1999999999999998E-3</v>
      </c>
      <c r="R99" s="61">
        <v>7.7999999999999996E-3</v>
      </c>
    </row>
    <row r="100" spans="1:24" s="671" customFormat="1" ht="15" thickBot="1">
      <c r="O100" s="61"/>
      <c r="P100" s="61"/>
      <c r="Q100" s="61"/>
      <c r="R100" s="61"/>
      <c r="T100" s="907" t="s">
        <v>1459</v>
      </c>
      <c r="U100" s="907"/>
      <c r="V100" s="907"/>
      <c r="W100" s="907"/>
      <c r="X100" s="907"/>
    </row>
    <row r="101" spans="1:24" s="671" customFormat="1">
      <c r="T101" s="144" t="s">
        <v>1419</v>
      </c>
      <c r="U101" s="144" t="s">
        <v>1420</v>
      </c>
      <c r="V101" s="144" t="s">
        <v>1421</v>
      </c>
      <c r="W101" s="144" t="s">
        <v>1422</v>
      </c>
      <c r="X101" s="126" t="s">
        <v>1423</v>
      </c>
    </row>
    <row r="102" spans="1:24" s="671" customFormat="1">
      <c r="M102" s="61" t="s">
        <v>1460</v>
      </c>
      <c r="N102" s="61"/>
      <c r="O102" s="61" t="s">
        <v>1450</v>
      </c>
      <c r="P102" s="61" t="s">
        <v>1451</v>
      </c>
      <c r="Q102" s="61" t="s">
        <v>1452</v>
      </c>
      <c r="R102" s="61" t="s">
        <v>1453</v>
      </c>
      <c r="S102" s="33" t="s">
        <v>642</v>
      </c>
      <c r="T102" s="671">
        <f>($O103*K$133+$P103*K$132+$Q103*K$134+K$131*$R103)/K$136</f>
        <v>4.4435553837158852E-2</v>
      </c>
      <c r="U102" s="671">
        <f t="shared" ref="U102:X104" si="1">($O103*L$133+$P103*L$132+$Q103*L$134+L$131*$R103)/L$136</f>
        <v>4.5150288570238596E-2</v>
      </c>
      <c r="V102" s="671">
        <f t="shared" si="1"/>
        <v>4.4963877681036317E-2</v>
      </c>
      <c r="W102" s="671">
        <f t="shared" si="1"/>
        <v>4.4692711024651208E-2</v>
      </c>
      <c r="X102" s="671">
        <f t="shared" si="1"/>
        <v>4.6421851094187824E-2</v>
      </c>
    </row>
    <row r="103" spans="1:24" s="671" customFormat="1">
      <c r="M103" s="61"/>
      <c r="N103" s="61" t="s">
        <v>642</v>
      </c>
      <c r="O103" s="61">
        <f>MAX(O93,O97)</f>
        <v>0.11</v>
      </c>
      <c r="P103" s="61">
        <f t="shared" ref="P103:R103" si="2">MAX(P93,P97)</f>
        <v>8.3000000000000001E-3</v>
      </c>
      <c r="Q103" s="61">
        <f t="shared" si="2"/>
        <v>5.5E-2</v>
      </c>
      <c r="R103" s="61">
        <f t="shared" si="2"/>
        <v>2.1999999999999999E-2</v>
      </c>
      <c r="S103" s="33" t="s">
        <v>643</v>
      </c>
      <c r="T103" s="671">
        <f t="shared" ref="T103:T104" si="3">($O104*K$133+$P104*K$132+$Q104*K$134+K$131*$R104)/K$136</f>
        <v>1.1386922162916579E-2</v>
      </c>
      <c r="U103" s="671">
        <f t="shared" si="1"/>
        <v>1.1254810495626825E-2</v>
      </c>
      <c r="V103" s="671">
        <f t="shared" si="1"/>
        <v>1.1020208112125719E-2</v>
      </c>
      <c r="W103" s="671">
        <f t="shared" si="1"/>
        <v>1.0946320556855835E-2</v>
      </c>
      <c r="X103" s="671">
        <f t="shared" si="1"/>
        <v>1.136357979061732E-2</v>
      </c>
    </row>
    <row r="104" spans="1:24" s="671" customFormat="1">
      <c r="M104" s="61"/>
      <c r="N104" s="61" t="s">
        <v>643</v>
      </c>
      <c r="O104" s="61">
        <f>AVERAGE(O94,O98)</f>
        <v>2.7000000000000003E-2</v>
      </c>
      <c r="P104" s="61">
        <f t="shared" ref="P104:R104" si="4">AVERAGE(P94,P98)</f>
        <v>3.5999999999999999E-3</v>
      </c>
      <c r="Q104" s="61">
        <f t="shared" si="4"/>
        <v>1.1050000000000001E-2</v>
      </c>
      <c r="R104" s="61">
        <f t="shared" si="4"/>
        <v>1.4E-2</v>
      </c>
      <c r="S104" s="33" t="s">
        <v>641</v>
      </c>
      <c r="T104" s="671">
        <f t="shared" si="3"/>
        <v>4.407532864336771E-3</v>
      </c>
      <c r="U104" s="671">
        <f t="shared" si="1"/>
        <v>4.2628071636817994E-3</v>
      </c>
      <c r="V104" s="671">
        <f t="shared" si="1"/>
        <v>4.1084136759396905E-3</v>
      </c>
      <c r="W104" s="671">
        <f t="shared" si="1"/>
        <v>4.0753883096750661E-3</v>
      </c>
      <c r="X104" s="671">
        <f t="shared" si="1"/>
        <v>4.2500799367382377E-3</v>
      </c>
    </row>
    <row r="105" spans="1:24" s="671" customFormat="1">
      <c r="M105" s="61"/>
      <c r="N105" s="61" t="s">
        <v>641</v>
      </c>
      <c r="O105" s="61">
        <f>MIN(O95,O99)</f>
        <v>1.0999999999999999E-2</v>
      </c>
      <c r="P105" s="61">
        <f t="shared" ref="P105:R105" si="5">MIN(P95,P99)</f>
        <v>1.4E-3</v>
      </c>
      <c r="Q105" s="61">
        <f t="shared" si="5"/>
        <v>3.3999999999999998E-3</v>
      </c>
      <c r="R105" s="61">
        <f t="shared" si="5"/>
        <v>7.7999999999999996E-3</v>
      </c>
    </row>
    <row r="107" spans="1:24" s="601" customFormat="1" ht="18.5">
      <c r="A107" s="913" t="s">
        <v>1461</v>
      </c>
      <c r="B107" s="914"/>
      <c r="C107" s="914"/>
      <c r="D107" s="914"/>
      <c r="E107" s="914"/>
      <c r="F107" s="914"/>
      <c r="G107" s="914"/>
      <c r="H107" s="912"/>
      <c r="I107" s="912"/>
    </row>
    <row r="108" spans="1:24" s="671" customFormat="1" hidden="1">
      <c r="A108" s="884" t="s">
        <v>1397</v>
      </c>
      <c r="B108" s="884"/>
      <c r="C108" s="884"/>
      <c r="D108" s="884"/>
      <c r="E108" s="884"/>
      <c r="F108" s="884"/>
      <c r="G108" s="884"/>
      <c r="H108" s="884"/>
    </row>
    <row r="109" spans="1:24" s="671" customFormat="1" hidden="1">
      <c r="A109" s="885" t="s">
        <v>1369</v>
      </c>
      <c r="B109" s="885" t="s">
        <v>1398</v>
      </c>
      <c r="C109" s="885"/>
      <c r="D109" s="885"/>
      <c r="E109" s="885"/>
      <c r="F109" s="885"/>
      <c r="G109" s="885"/>
      <c r="H109" s="885"/>
    </row>
    <row r="110" spans="1:24" s="671" customFormat="1" ht="58" hidden="1">
      <c r="A110" s="885"/>
      <c r="B110" s="583" t="s">
        <v>1376</v>
      </c>
      <c r="C110" s="583" t="s">
        <v>1375</v>
      </c>
      <c r="D110" s="583" t="s">
        <v>1374</v>
      </c>
      <c r="E110" s="583" t="s">
        <v>1373</v>
      </c>
      <c r="F110" s="583" t="s">
        <v>1372</v>
      </c>
      <c r="G110" s="583" t="s">
        <v>1371</v>
      </c>
      <c r="H110" s="583" t="s">
        <v>1370</v>
      </c>
    </row>
    <row r="111" spans="1:24" s="671" customFormat="1" ht="29" hidden="1">
      <c r="A111" s="635" t="s">
        <v>1399</v>
      </c>
      <c r="B111" s="650">
        <v>509.57446808510639</v>
      </c>
      <c r="C111" s="650">
        <v>452.38095238095241</v>
      </c>
      <c r="D111" s="650">
        <v>408.60215053763437</v>
      </c>
      <c r="E111" s="650">
        <v>339.62264150943395</v>
      </c>
      <c r="F111" s="650">
        <v>279.92957746478874</v>
      </c>
      <c r="G111" s="650">
        <v>256.98324022346372</v>
      </c>
      <c r="H111" s="650">
        <v>245.8872238302861</v>
      </c>
    </row>
    <row r="112" spans="1:24" s="671" customFormat="1" ht="72.5" hidden="1">
      <c r="A112" s="635" t="s">
        <v>1393</v>
      </c>
      <c r="B112" s="650">
        <v>254.78723404255319</v>
      </c>
      <c r="C112" s="650">
        <v>226.1904761904762</v>
      </c>
      <c r="D112" s="650">
        <v>204.30107526881719</v>
      </c>
      <c r="E112" s="650">
        <v>169.81132075471697</v>
      </c>
      <c r="F112" s="650">
        <v>139.96478873239437</v>
      </c>
      <c r="G112" s="650">
        <v>128.49162011173186</v>
      </c>
      <c r="H112" s="650">
        <v>122.94361191514305</v>
      </c>
    </row>
    <row r="113" spans="1:15" s="671" customFormat="1" ht="72.5" hidden="1">
      <c r="A113" s="635" t="s">
        <v>1388</v>
      </c>
      <c r="B113" s="650">
        <v>81.941489361702125</v>
      </c>
      <c r="C113" s="650">
        <v>35.019841269841265</v>
      </c>
      <c r="D113" s="650">
        <v>27.419354838709676</v>
      </c>
      <c r="E113" s="650">
        <v>21.069182389937108</v>
      </c>
      <c r="F113" s="650">
        <v>16.37323943661972</v>
      </c>
      <c r="G113" s="650">
        <v>14.909217877094973</v>
      </c>
      <c r="H113" s="650">
        <v>15.753352507969074</v>
      </c>
    </row>
    <row r="114" spans="1:15" s="671" customFormat="1" ht="72.5" hidden="1">
      <c r="A114" s="635" t="s">
        <v>1394</v>
      </c>
      <c r="B114" s="650">
        <v>26.914893617021278</v>
      </c>
      <c r="C114" s="650">
        <v>23.015873015873012</v>
      </c>
      <c r="D114" s="650">
        <v>19.892473118279568</v>
      </c>
      <c r="E114" s="650">
        <v>16.037735849056602</v>
      </c>
      <c r="F114" s="650">
        <v>12.67605633802817</v>
      </c>
      <c r="G114" s="650">
        <v>11.592178770949722</v>
      </c>
      <c r="H114" s="650">
        <v>12.387791741472176</v>
      </c>
    </row>
    <row r="115" spans="1:15" s="671" customFormat="1" ht="72.5" hidden="1">
      <c r="A115" s="635" t="s">
        <v>1386</v>
      </c>
      <c r="B115" s="650">
        <v>13.457446808510639</v>
      </c>
      <c r="C115" s="650">
        <v>11.507936507936506</v>
      </c>
      <c r="D115" s="650">
        <v>9.9462365591397841</v>
      </c>
      <c r="E115" s="650">
        <v>8.0188679245283012</v>
      </c>
      <c r="F115" s="650">
        <v>6.3380281690140849</v>
      </c>
      <c r="G115" s="650">
        <v>5.7960893854748612</v>
      </c>
      <c r="H115" s="650">
        <v>6.193895870736088</v>
      </c>
    </row>
    <row r="116" spans="1:15" s="671" customFormat="1" ht="72.5" hidden="1">
      <c r="A116" s="635" t="s">
        <v>1395</v>
      </c>
      <c r="B116" s="650">
        <v>6.7287234042553195</v>
      </c>
      <c r="C116" s="650">
        <v>5.7539682539682531</v>
      </c>
      <c r="D116" s="650">
        <v>4.9731182795698921</v>
      </c>
      <c r="E116" s="650">
        <v>4.0094339622641506</v>
      </c>
      <c r="F116" s="650">
        <v>3.1690140845070425</v>
      </c>
      <c r="G116" s="650">
        <v>2.8980446927374306</v>
      </c>
      <c r="H116" s="650">
        <v>3.096947935368044</v>
      </c>
    </row>
    <row r="117" spans="1:15" s="671" customFormat="1" ht="58" hidden="1">
      <c r="A117" s="635" t="s">
        <v>1390</v>
      </c>
      <c r="B117" s="650">
        <v>2.691489361702128</v>
      </c>
      <c r="C117" s="650">
        <v>2.3015873015873014</v>
      </c>
      <c r="D117" s="650">
        <v>1.989247311827957</v>
      </c>
      <c r="E117" s="650">
        <v>1.6037735849056602</v>
      </c>
      <c r="F117" s="650">
        <v>1.267605633802817</v>
      </c>
      <c r="G117" s="650">
        <v>1.1592178770949724</v>
      </c>
      <c r="H117" s="650">
        <v>1.2387791741472176</v>
      </c>
    </row>
    <row r="119" spans="1:15" s="671" customFormat="1">
      <c r="A119" s="671" t="s">
        <v>1462</v>
      </c>
    </row>
    <row r="122" spans="1:15" s="671" customFormat="1" ht="15" thickBot="1">
      <c r="K122" s="908" t="s">
        <v>1463</v>
      </c>
      <c r="L122" s="908"/>
      <c r="M122" s="908"/>
      <c r="N122" s="908"/>
      <c r="O122" s="908"/>
    </row>
    <row r="123" spans="1:15" s="671" customFormat="1">
      <c r="K123" s="144" t="s">
        <v>1419</v>
      </c>
      <c r="L123" s="144" t="s">
        <v>1420</v>
      </c>
      <c r="M123" s="144" t="s">
        <v>1421</v>
      </c>
      <c r="N123" s="144" t="s">
        <v>1422</v>
      </c>
      <c r="O123" s="126" t="s">
        <v>1423</v>
      </c>
    </row>
    <row r="124" spans="1:15" s="671" customFormat="1">
      <c r="I124" s="671" t="s">
        <v>1464</v>
      </c>
      <c r="K124" s="671">
        <f>0.076*0.33</f>
        <v>2.5080000000000002E-2</v>
      </c>
      <c r="L124" s="671">
        <f>0.09*0.33</f>
        <v>2.9700000000000001E-2</v>
      </c>
      <c r="M124" s="671">
        <f>0.095*0.33</f>
        <v>3.1350000000000003E-2</v>
      </c>
      <c r="N124" s="671">
        <f>0.096*0.33</f>
        <v>3.168E-2</v>
      </c>
      <c r="O124" s="671">
        <f>AVERAGE(0.154, 0.121)*0.33</f>
        <v>4.5375000000000006E-2</v>
      </c>
    </row>
    <row r="125" spans="1:15" s="671" customFormat="1">
      <c r="I125" s="671" t="s">
        <v>1451</v>
      </c>
      <c r="K125" s="671">
        <v>0.13300000000000001</v>
      </c>
      <c r="L125" s="671">
        <v>0.20699999999999999</v>
      </c>
      <c r="M125" s="671">
        <v>0.29499999999999998</v>
      </c>
      <c r="N125" s="671">
        <v>0.34</v>
      </c>
      <c r="O125" s="671">
        <f>AVERAGE(0.399, 0.266)</f>
        <v>0.33250000000000002</v>
      </c>
    </row>
    <row r="126" spans="1:15" s="671" customFormat="1">
      <c r="I126" s="671" t="s">
        <v>1450</v>
      </c>
      <c r="K126" s="671">
        <v>4.5999999999999999E-2</v>
      </c>
      <c r="L126" s="671">
        <v>7.0000000000000007E-2</v>
      </c>
      <c r="M126" s="671">
        <v>9.2999999999999999E-2</v>
      </c>
      <c r="N126" s="671">
        <v>0.105</v>
      </c>
      <c r="O126" s="671">
        <f>AVERAGE(0.131,0.106)</f>
        <v>0.11849999999999999</v>
      </c>
    </row>
    <row r="127" spans="1:15" s="671" customFormat="1">
      <c r="I127" s="671" t="s">
        <v>1452</v>
      </c>
      <c r="K127" s="671">
        <v>0.24399999999999999</v>
      </c>
      <c r="L127" s="671">
        <v>0.42599999999999999</v>
      </c>
      <c r="M127" s="671">
        <v>0.626</v>
      </c>
      <c r="N127" s="671">
        <v>0.68700000000000006</v>
      </c>
      <c r="O127" s="671">
        <f>AVERAGE(0.847, 0.764)</f>
        <v>0.80549999999999999</v>
      </c>
    </row>
    <row r="129" spans="9:15" s="671" customFormat="1" ht="15" thickBot="1">
      <c r="K129" s="908" t="s">
        <v>1465</v>
      </c>
      <c r="L129" s="908"/>
      <c r="M129" s="908"/>
      <c r="N129" s="908"/>
      <c r="O129" s="908"/>
    </row>
    <row r="130" spans="9:15" s="671" customFormat="1">
      <c r="K130" s="144" t="s">
        <v>1419</v>
      </c>
      <c r="L130" s="144" t="s">
        <v>1420</v>
      </c>
      <c r="M130" s="144" t="s">
        <v>1421</v>
      </c>
      <c r="N130" s="144" t="s">
        <v>1422</v>
      </c>
      <c r="O130" s="126" t="s">
        <v>1423</v>
      </c>
    </row>
    <row r="131" spans="9:15" s="671" customFormat="1">
      <c r="I131" s="671" t="s">
        <v>1464</v>
      </c>
      <c r="K131" s="671">
        <f>K124</f>
        <v>2.5080000000000002E-2</v>
      </c>
      <c r="L131" s="671">
        <f t="shared" ref="L131:O131" si="6">L124</f>
        <v>2.9700000000000001E-2</v>
      </c>
      <c r="M131" s="671">
        <f t="shared" si="6"/>
        <v>3.1350000000000003E-2</v>
      </c>
      <c r="N131" s="671">
        <f t="shared" si="6"/>
        <v>3.168E-2</v>
      </c>
      <c r="O131" s="671">
        <f t="shared" si="6"/>
        <v>4.5375000000000006E-2</v>
      </c>
    </row>
    <row r="132" spans="9:15" s="671" customFormat="1">
      <c r="I132" s="671" t="s">
        <v>1451</v>
      </c>
      <c r="K132" s="671">
        <f>K125*0.725</f>
        <v>9.6424999999999997E-2</v>
      </c>
      <c r="L132" s="671">
        <f t="shared" ref="L132:O132" si="7">L125*0.725</f>
        <v>0.15007499999999999</v>
      </c>
      <c r="M132" s="671">
        <f t="shared" si="7"/>
        <v>0.21387499999999998</v>
      </c>
      <c r="N132" s="671">
        <f t="shared" si="7"/>
        <v>0.2465</v>
      </c>
      <c r="O132" s="671">
        <f t="shared" si="7"/>
        <v>0.24106250000000001</v>
      </c>
    </row>
    <row r="133" spans="9:15" s="671" customFormat="1">
      <c r="I133" s="671" t="s">
        <v>1450</v>
      </c>
      <c r="K133" s="671">
        <f>K126</f>
        <v>4.5999999999999999E-2</v>
      </c>
      <c r="L133" s="671">
        <f t="shared" ref="L133:O133" si="8">L126</f>
        <v>7.0000000000000007E-2</v>
      </c>
      <c r="M133" s="671">
        <f t="shared" si="8"/>
        <v>9.2999999999999999E-2</v>
      </c>
      <c r="N133" s="671">
        <f t="shared" si="8"/>
        <v>0.105</v>
      </c>
      <c r="O133" s="671">
        <f t="shared" si="8"/>
        <v>0.11849999999999999</v>
      </c>
    </row>
    <row r="134" spans="9:15" s="671" customFormat="1">
      <c r="I134" s="671" t="s">
        <v>1452</v>
      </c>
      <c r="K134" s="671">
        <f>0.4*K127</f>
        <v>9.7600000000000006E-2</v>
      </c>
      <c r="L134" s="671">
        <f t="shared" ref="L134:O134" si="9">0.4*L127</f>
        <v>0.1704</v>
      </c>
      <c r="M134" s="671">
        <f t="shared" si="9"/>
        <v>0.25040000000000001</v>
      </c>
      <c r="N134" s="671">
        <f t="shared" si="9"/>
        <v>0.27480000000000004</v>
      </c>
      <c r="O134" s="671">
        <f t="shared" si="9"/>
        <v>0.32220000000000004</v>
      </c>
    </row>
    <row r="136" spans="9:15" s="671" customFormat="1">
      <c r="I136" s="671" t="s">
        <v>1466</v>
      </c>
      <c r="K136" s="671">
        <f>SUM(K131:K134)</f>
        <v>0.26510500000000004</v>
      </c>
      <c r="L136" s="671">
        <f t="shared" ref="L136:O136" si="10">SUM(L131:L134)</f>
        <v>0.42017499999999997</v>
      </c>
      <c r="M136" s="671">
        <f t="shared" si="10"/>
        <v>0.58862499999999995</v>
      </c>
      <c r="N136" s="671">
        <f t="shared" si="10"/>
        <v>0.65798000000000001</v>
      </c>
      <c r="O136" s="671">
        <f t="shared" si="10"/>
        <v>0.72713749999999999</v>
      </c>
    </row>
    <row r="138" spans="9:15" s="671" customFormat="1" ht="16.5">
      <c r="I138" s="671" t="s">
        <v>1467</v>
      </c>
      <c r="K138" s="671">
        <f>K136*10000</f>
        <v>2651.05</v>
      </c>
      <c r="L138" s="671">
        <f t="shared" ref="L138:O138" si="11">L136*10000</f>
        <v>4201.75</v>
      </c>
      <c r="M138" s="671">
        <f t="shared" si="11"/>
        <v>5886.2499999999991</v>
      </c>
      <c r="N138" s="671">
        <f t="shared" si="11"/>
        <v>6579.8</v>
      </c>
      <c r="O138" s="671">
        <f t="shared" si="11"/>
        <v>7271.375</v>
      </c>
    </row>
  </sheetData>
  <sheetProtection sheet="1" objects="1" scenarios="1" formatCells="0" formatColumns="0" formatRows="0" sort="0" autoFilter="0"/>
  <mergeCells count="12">
    <mergeCell ref="T100:X100"/>
    <mergeCell ref="K129:O129"/>
    <mergeCell ref="A57:G57"/>
    <mergeCell ref="A58:G58"/>
    <mergeCell ref="A62:G62"/>
    <mergeCell ref="A84:G84"/>
    <mergeCell ref="M85:S88"/>
    <mergeCell ref="A107:I107"/>
    <mergeCell ref="A108:H108"/>
    <mergeCell ref="A109:A110"/>
    <mergeCell ref="B109:H109"/>
    <mergeCell ref="K122:O122"/>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588B6-A759-40AA-9CAD-463E9590A85D}">
  <sheetPr codeName="Sheet13">
    <tabColor theme="7" tint="-0.249977111117893"/>
  </sheetPr>
  <dimension ref="A1:M10"/>
  <sheetViews>
    <sheetView workbookViewId="0">
      <selection activeCell="N1" sqref="N1"/>
    </sheetView>
  </sheetViews>
  <sheetFormatPr defaultRowHeight="14.5"/>
  <cols>
    <col min="1" max="1" width="23.7265625" style="671" customWidth="1"/>
    <col min="2" max="2" width="14.1796875" style="671" customWidth="1"/>
    <col min="3" max="4" width="13.453125" style="671" customWidth="1"/>
    <col min="5" max="5" width="12.26953125" style="671" customWidth="1"/>
    <col min="6" max="6" width="12.453125" style="671" customWidth="1"/>
    <col min="7" max="16384" width="8.7265625" style="671"/>
  </cols>
  <sheetData>
    <row r="1" spans="1:13">
      <c r="A1" s="677" t="s">
        <v>1468</v>
      </c>
      <c r="B1" s="677"/>
      <c r="C1" s="677"/>
      <c r="D1" s="677"/>
      <c r="E1" s="677"/>
      <c r="F1" s="677"/>
      <c r="G1" s="677"/>
      <c r="H1" s="677"/>
      <c r="I1" s="677"/>
      <c r="J1" s="677"/>
      <c r="K1" s="677"/>
      <c r="L1" s="677"/>
      <c r="M1" s="677"/>
    </row>
    <row r="2" spans="1:13">
      <c r="A2" s="677"/>
      <c r="B2" s="677"/>
      <c r="C2" s="677"/>
      <c r="D2" s="677"/>
      <c r="E2" s="677"/>
      <c r="F2" s="677"/>
      <c r="G2" s="677"/>
      <c r="H2" s="677"/>
      <c r="I2" s="677"/>
      <c r="J2" s="677"/>
      <c r="K2" s="677"/>
      <c r="L2" s="677"/>
      <c r="M2" s="677"/>
    </row>
    <row r="3" spans="1:13">
      <c r="A3" s="677"/>
      <c r="B3" s="677"/>
      <c r="C3" s="677"/>
      <c r="D3" s="677"/>
      <c r="E3" s="677"/>
      <c r="F3" s="677"/>
      <c r="G3" s="677"/>
      <c r="H3" s="677"/>
      <c r="I3" s="677"/>
      <c r="J3" s="677"/>
      <c r="K3" s="677"/>
      <c r="L3" s="677"/>
      <c r="M3" s="677"/>
    </row>
    <row r="4" spans="1:13">
      <c r="A4" s="671" t="s">
        <v>1469</v>
      </c>
    </row>
    <row r="5" spans="1:13" ht="72.5">
      <c r="A5" s="618" t="s">
        <v>1470</v>
      </c>
      <c r="B5" s="55" t="s">
        <v>1471</v>
      </c>
      <c r="C5" s="55" t="s">
        <v>1472</v>
      </c>
      <c r="D5" s="55" t="s">
        <v>1473</v>
      </c>
      <c r="E5" s="55" t="s">
        <v>1474</v>
      </c>
      <c r="F5" s="55" t="s">
        <v>1475</v>
      </c>
    </row>
    <row r="6" spans="1:13">
      <c r="A6" s="671" t="s">
        <v>1476</v>
      </c>
      <c r="B6" s="671">
        <v>100</v>
      </c>
      <c r="C6" s="671">
        <v>7.5</v>
      </c>
      <c r="D6" s="671">
        <v>15</v>
      </c>
      <c r="E6" s="671">
        <v>11</v>
      </c>
      <c r="F6" s="671">
        <v>77</v>
      </c>
    </row>
    <row r="7" spans="1:13">
      <c r="A7" s="671" t="s">
        <v>1477</v>
      </c>
      <c r="B7" s="671">
        <v>100</v>
      </c>
      <c r="C7" s="671">
        <v>0.43</v>
      </c>
      <c r="D7" s="671">
        <v>0.4</v>
      </c>
      <c r="E7" s="671">
        <v>0.32</v>
      </c>
      <c r="F7" s="671">
        <v>1.4</v>
      </c>
    </row>
    <row r="8" spans="1:13">
      <c r="A8" s="671" t="s">
        <v>1478</v>
      </c>
      <c r="B8" s="671">
        <v>100</v>
      </c>
      <c r="C8" s="671">
        <v>-11</v>
      </c>
      <c r="D8" s="671">
        <v>-3.2</v>
      </c>
      <c r="E8" s="671">
        <v>3</v>
      </c>
      <c r="F8" s="671">
        <v>38</v>
      </c>
    </row>
    <row r="9" spans="1:13">
      <c r="A9" s="671" t="s">
        <v>1479</v>
      </c>
      <c r="B9" s="671">
        <v>100</v>
      </c>
      <c r="C9" s="671">
        <v>6.4</v>
      </c>
      <c r="D9" s="671">
        <v>4.8</v>
      </c>
      <c r="E9" s="671">
        <v>11</v>
      </c>
      <c r="F9" s="671">
        <v>75</v>
      </c>
    </row>
    <row r="10" spans="1:13">
      <c r="A10" s="671" t="s">
        <v>1480</v>
      </c>
      <c r="B10" s="671">
        <v>42</v>
      </c>
      <c r="C10" s="671">
        <v>0.46</v>
      </c>
      <c r="D10" s="671">
        <v>-0.57999999999999996</v>
      </c>
      <c r="E10" s="671">
        <v>-0.41</v>
      </c>
      <c r="F10" s="671">
        <v>7.9</v>
      </c>
    </row>
  </sheetData>
  <sheetProtection sheet="1" objects="1" scenarios="1" formatCells="0" formatColumns="0" formatRows="0" sort="0" autoFilter="0"/>
  <mergeCells count="1">
    <mergeCell ref="A1:M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5BF4-AD97-454C-9D42-F3674F373129}">
  <sheetPr codeName="Sheet14">
    <tabColor theme="7" tint="-0.249977111117893"/>
  </sheetPr>
  <dimension ref="A1:Y59"/>
  <sheetViews>
    <sheetView workbookViewId="0"/>
  </sheetViews>
  <sheetFormatPr defaultRowHeight="14.5"/>
  <cols>
    <col min="1" max="16384" width="8.7265625" style="671"/>
  </cols>
  <sheetData>
    <row r="1" spans="1:4">
      <c r="B1" s="671" t="s">
        <v>1481</v>
      </c>
    </row>
    <row r="2" spans="1:4">
      <c r="B2" s="61" t="s">
        <v>1482</v>
      </c>
      <c r="C2" s="61" t="s">
        <v>1483</v>
      </c>
      <c r="D2" s="61" t="s">
        <v>1484</v>
      </c>
    </row>
    <row r="3" spans="1:4">
      <c r="A3" s="671" t="s">
        <v>1485</v>
      </c>
      <c r="B3" s="61">
        <v>4.9000000000000004</v>
      </c>
      <c r="C3" s="61">
        <v>28</v>
      </c>
      <c r="D3" s="61">
        <v>100</v>
      </c>
    </row>
    <row r="4" spans="1:4">
      <c r="A4" s="671" t="s">
        <v>1486</v>
      </c>
    </row>
    <row r="5" spans="1:4">
      <c r="A5" s="671" t="s">
        <v>1487</v>
      </c>
    </row>
    <row r="6" spans="1:4">
      <c r="A6" s="671" t="s">
        <v>1488</v>
      </c>
    </row>
    <row r="7" spans="1:4">
      <c r="A7" s="671" t="s">
        <v>1489</v>
      </c>
    </row>
    <row r="8" spans="1:4">
      <c r="A8" s="671" t="s">
        <v>1490</v>
      </c>
    </row>
    <row r="59" spans="25:25">
      <c r="Y59" s="671" t="s">
        <v>1491</v>
      </c>
    </row>
  </sheetData>
  <sheetProtection sheet="1" objects="1" scenarios="1" formatCells="0" formatColumns="0" formatRows="0" sort="0" autoFilter="0"/>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67B55-8AB5-468E-93F1-EFE3808F19FC}">
  <sheetPr codeName="Sheet15">
    <tabColor theme="7" tint="-0.249977111117893"/>
  </sheetPr>
  <dimension ref="A21:Q36"/>
  <sheetViews>
    <sheetView workbookViewId="0">
      <selection activeCell="G1" sqref="G1"/>
    </sheetView>
  </sheetViews>
  <sheetFormatPr defaultRowHeight="14.5"/>
  <cols>
    <col min="1" max="1" width="10.26953125" style="671" customWidth="1"/>
    <col min="2" max="12" width="15.54296875" style="671" customWidth="1"/>
    <col min="13" max="13" width="14.1796875" style="671" customWidth="1"/>
    <col min="14" max="17" width="12.54296875" style="671" customWidth="1"/>
    <col min="18" max="18" width="8.7265625" style="671"/>
    <col min="19" max="19" width="16.7265625" style="671" customWidth="1"/>
    <col min="20" max="16384" width="8.7265625" style="671"/>
  </cols>
  <sheetData>
    <row r="21" spans="1:17" s="671" customFormat="1" ht="15" thickBot="1">
      <c r="A21" s="352" t="s">
        <v>1492</v>
      </c>
    </row>
    <row r="22" spans="1:17" s="671" customFormat="1">
      <c r="A22" s="44"/>
      <c r="B22" s="45"/>
      <c r="C22" s="915" t="s">
        <v>1493</v>
      </c>
      <c r="D22" s="916"/>
      <c r="E22" s="916"/>
      <c r="F22" s="916"/>
      <c r="G22" s="917"/>
      <c r="H22" s="915" t="s">
        <v>1494</v>
      </c>
      <c r="I22" s="916"/>
      <c r="J22" s="916"/>
      <c r="K22" s="916"/>
      <c r="L22" s="917"/>
      <c r="M22" s="915" t="s">
        <v>1495</v>
      </c>
      <c r="N22" s="916"/>
      <c r="O22" s="916"/>
      <c r="P22" s="916"/>
      <c r="Q22" s="918"/>
    </row>
    <row r="23" spans="1:17" s="671" customFormat="1">
      <c r="A23" s="49"/>
      <c r="C23" s="610" t="s">
        <v>1419</v>
      </c>
      <c r="D23" s="61" t="s">
        <v>1420</v>
      </c>
      <c r="E23" s="61" t="s">
        <v>1421</v>
      </c>
      <c r="F23" s="61" t="s">
        <v>1422</v>
      </c>
      <c r="G23" s="611" t="s">
        <v>1423</v>
      </c>
      <c r="H23" s="610" t="s">
        <v>1419</v>
      </c>
      <c r="I23" s="61" t="s">
        <v>1420</v>
      </c>
      <c r="J23" s="61" t="s">
        <v>1421</v>
      </c>
      <c r="K23" s="61" t="s">
        <v>1422</v>
      </c>
      <c r="L23" s="611" t="s">
        <v>1423</v>
      </c>
      <c r="M23" s="610" t="s">
        <v>1419</v>
      </c>
      <c r="N23" s="61" t="s">
        <v>1420</v>
      </c>
      <c r="O23" s="61" t="s">
        <v>1421</v>
      </c>
      <c r="P23" s="61" t="s">
        <v>1422</v>
      </c>
      <c r="Q23" s="62" t="s">
        <v>1423</v>
      </c>
    </row>
    <row r="24" spans="1:17" s="671" customFormat="1">
      <c r="A24" s="54" t="s">
        <v>1176</v>
      </c>
      <c r="B24" s="671" t="s">
        <v>69</v>
      </c>
      <c r="C24" s="612">
        <f>(('Tire Crumb Air'!$F$6*10^-6)*'Tire Crumb Inputs'!L7*'Tire Crumb Inputs'!T28*'Tire Crumb Inputs'!$T$49)/'Tire Crumb Inputs'!C60</f>
        <v>6.433225806451612E-6</v>
      </c>
      <c r="D24" s="612">
        <f>(('Tire Crumb Air'!$F$6*10^-6)*'Tire Crumb Inputs'!M7*'Tire Crumb Inputs'!U28*'Tire Crumb Inputs'!$T$49)/'Tire Crumb Inputs'!D60</f>
        <v>4.271320754716981E-6</v>
      </c>
      <c r="E24" s="612">
        <f>(('Tire Crumb Air'!$F$6*10^-6)*'Tire Crumb Inputs'!N7*'Tire Crumb Inputs'!V28*'Tire Crumb Inputs'!$T$49)/'Tire Crumb Inputs'!E60</f>
        <v>8.3696830985915509E-6</v>
      </c>
      <c r="F24" s="612">
        <f>(('Tire Crumb Air'!$F$6*10^-6)*'Tire Crumb Inputs'!O7*'Tire Crumb Inputs'!W28*'Tire Crumb Inputs'!$T$49)/'Tire Crumb Inputs'!F60</f>
        <v>4.4264245810055868E-6</v>
      </c>
      <c r="G24" s="612">
        <f>(('Tire Crumb Air'!$F$6*10^-6)*'Tire Crumb Inputs'!P7*'Tire Crumb Inputs'!X28*'Tire Crumb Inputs'!$T$49)/'Tire Crumb Inputs'!G60</f>
        <v>4.0586700000000011E-6</v>
      </c>
      <c r="H24" s="613">
        <f>C24*'Tire Crumb Inputs'!T$30/1</f>
        <v>6.433225806451612E-6</v>
      </c>
      <c r="I24" s="613">
        <f>D24*'Tire Crumb Inputs'!U$30/1</f>
        <v>4.271320754716981E-6</v>
      </c>
      <c r="J24" s="613">
        <f>E24*'Tire Crumb Inputs'!V$30/1</f>
        <v>8.3696830985915509E-6</v>
      </c>
      <c r="K24" s="613">
        <f>F24*'Tire Crumb Inputs'!W$30/1</f>
        <v>4.4264245810055868E-6</v>
      </c>
      <c r="L24" s="613">
        <f>G24*'Tire Crumb Inputs'!X$30/1</f>
        <v>4.0586700000000011E-6</v>
      </c>
      <c r="M24" s="613">
        <f>C24*'Tire Crumb Inputs'!T$29/365</f>
        <v>1.3747715422006183E-6</v>
      </c>
      <c r="N24" s="613">
        <f>D24*'Tire Crumb Inputs'!U$29/365</f>
        <v>9.1277539415869731E-7</v>
      </c>
      <c r="O24" s="613">
        <f>E24*'Tire Crumb Inputs'!V$29/365</f>
        <v>3.1644281304263946E-6</v>
      </c>
      <c r="P24" s="613">
        <f>F24*'Tire Crumb Inputs'!W$29/365</f>
        <v>1.6735523073390985E-6</v>
      </c>
      <c r="Q24" s="613">
        <f>G24*'Tire Crumb Inputs'!X$29/365</f>
        <v>8.6733221917808246E-7</v>
      </c>
    </row>
    <row r="25" spans="1:17" s="671" customFormat="1">
      <c r="A25" s="49"/>
      <c r="B25" s="671" t="s">
        <v>67</v>
      </c>
      <c r="C25" s="613">
        <f>((AVERAGE('Tire Crumb Air'!$D$6:$E$6)*10^-6)*'Tire Crumb Inputs'!L7*'Tire Crumb Inputs'!T28*'Tire Crumb Inputs'!$T$49)/'Tire Crumb Inputs'!C60</f>
        <v>1.0861290322580644E-6</v>
      </c>
      <c r="D25" s="613">
        <f>((AVERAGE('Tire Crumb Air'!$D$6:$E$6)*10^-6)*'Tire Crumb Inputs'!M7*'Tire Crumb Inputs'!U28*'Tire Crumb Inputs'!$T$49)/'Tire Crumb Inputs'!D60</f>
        <v>7.2113207547169799E-7</v>
      </c>
      <c r="E25" s="613">
        <f>((AVERAGE('Tire Crumb Air'!$D$6:$E$6)*10^-6)*'Tire Crumb Inputs'!N7*'Tire Crumb Inputs'!V28*'Tire Crumb Inputs'!$T$49)/'Tire Crumb Inputs'!E60</f>
        <v>1.4130633802816899E-6</v>
      </c>
      <c r="F25" s="613">
        <f>((AVERAGE('Tire Crumb Air'!$D$6:$E$6)*10^-6)*'Tire Crumb Inputs'!O7*'Tire Crumb Inputs'!W28*'Tire Crumb Inputs'!$T$49)/'Tire Crumb Inputs'!F60</f>
        <v>7.4731843575418986E-7</v>
      </c>
      <c r="G25" s="613">
        <f>((AVERAGE('Tire Crumb Air'!$D$6:$E$6)*10^-6)*'Tire Crumb Inputs'!P7*'Tire Crumb Inputs'!X28*'Tire Crumb Inputs'!$T$49)/'Tire Crumb Inputs'!G60</f>
        <v>6.8523E-7</v>
      </c>
      <c r="H25" s="613">
        <f>C25*'Tire Crumb Inputs'!T$30/1</f>
        <v>1.0861290322580644E-6</v>
      </c>
      <c r="I25" s="613">
        <f>D25*'Tire Crumb Inputs'!U$30/1</f>
        <v>7.2113207547169799E-7</v>
      </c>
      <c r="J25" s="613">
        <f>E25*'Tire Crumb Inputs'!V$30/1</f>
        <v>1.4130633802816899E-6</v>
      </c>
      <c r="K25" s="613">
        <f>F25*'Tire Crumb Inputs'!W$30/1</f>
        <v>7.4731843575418986E-7</v>
      </c>
      <c r="L25" s="613">
        <f>G25*'Tire Crumb Inputs'!X$30/1</f>
        <v>6.8523E-7</v>
      </c>
      <c r="M25" s="613">
        <f>C25*'Tire Crumb Inputs'!T$29/365</f>
        <v>2.3210428634555895E-7</v>
      </c>
      <c r="N25" s="613">
        <f>D25*'Tire Crumb Inputs'!U$29/365</f>
        <v>1.5410493667614367E-7</v>
      </c>
      <c r="O25" s="613">
        <f>E25*'Tire Crumb Inputs'!V$29/365</f>
        <v>5.3425409994211838E-7</v>
      </c>
      <c r="P25" s="613">
        <f>F25*'Tire Crumb Inputs'!W$29/365</f>
        <v>2.8254779214815944E-7</v>
      </c>
      <c r="Q25" s="613">
        <f>G25*'Tire Crumb Inputs'!X$29/365</f>
        <v>1.4643271232876714E-7</v>
      </c>
    </row>
    <row r="26" spans="1:17" s="671" customFormat="1" ht="15" thickBot="1">
      <c r="A26" s="604"/>
      <c r="B26" s="90" t="s">
        <v>65</v>
      </c>
      <c r="C26" s="614">
        <f>(('Tire Crumb Air'!$E$6*10^-6)*'Tire Crumb Inputs'!L7*'Tire Crumb Inputs'!T28*'Tire Crumb Inputs'!$T$49)/'Tire Crumb Inputs'!C60</f>
        <v>9.1903225806451599E-7</v>
      </c>
      <c r="D26" s="614">
        <f>(('Tire Crumb Air'!$E$6*10^-6)*'Tire Crumb Inputs'!M7*'Tire Crumb Inputs'!U28*'Tire Crumb Inputs'!$T$49)/'Tire Crumb Inputs'!D60</f>
        <v>6.1018867924528297E-7</v>
      </c>
      <c r="E26" s="614">
        <f>(('Tire Crumb Air'!$E$6*10^-6)*'Tire Crumb Inputs'!N7*'Tire Crumb Inputs'!V28*'Tire Crumb Inputs'!$T$49)/'Tire Crumb Inputs'!E60</f>
        <v>1.1956690140845069E-6</v>
      </c>
      <c r="F26" s="614">
        <f>(('Tire Crumb Air'!$E$6*10^-6)*'Tire Crumb Inputs'!O7*'Tire Crumb Inputs'!W28*'Tire Crumb Inputs'!$T$49)/'Tire Crumb Inputs'!F60</f>
        <v>6.3234636871508377E-7</v>
      </c>
      <c r="G26" s="614">
        <f>(('Tire Crumb Air'!$E$6*10^-6)*'Tire Crumb Inputs'!P7*'Tire Crumb Inputs'!X28*'Tire Crumb Inputs'!$T$49)/'Tire Crumb Inputs'!G60</f>
        <v>5.7981000000000011E-7</v>
      </c>
      <c r="H26" s="613">
        <f>C26*'Tire Crumb Inputs'!T$30/1</f>
        <v>9.1903225806451599E-7</v>
      </c>
      <c r="I26" s="613">
        <f>D26*'Tire Crumb Inputs'!U$30/1</f>
        <v>6.1018867924528297E-7</v>
      </c>
      <c r="J26" s="613">
        <f>E26*'Tire Crumb Inputs'!V$30/1</f>
        <v>1.1956690140845069E-6</v>
      </c>
      <c r="K26" s="613">
        <f>F26*'Tire Crumb Inputs'!W$30/1</f>
        <v>6.3234636871508377E-7</v>
      </c>
      <c r="L26" s="613">
        <f>G26*'Tire Crumb Inputs'!X$30/1</f>
        <v>5.7981000000000011E-7</v>
      </c>
      <c r="M26" s="613">
        <f>C26*'Tire Crumb Inputs'!T$29/365</f>
        <v>1.9639593460008833E-7</v>
      </c>
      <c r="N26" s="613">
        <f>D26*'Tire Crumb Inputs'!U$29/365</f>
        <v>1.303964848798139E-7</v>
      </c>
      <c r="O26" s="613">
        <f>E26*'Tire Crumb Inputs'!V$29/365</f>
        <v>4.5206116148948474E-7</v>
      </c>
      <c r="P26" s="613">
        <f>F26*'Tire Crumb Inputs'!W$29/365</f>
        <v>2.3907890104844264E-7</v>
      </c>
      <c r="Q26" s="613">
        <f>G26*'Tire Crumb Inputs'!X$29/365</f>
        <v>1.2390460273972606E-7</v>
      </c>
    </row>
    <row r="27" spans="1:17" s="671" customFormat="1">
      <c r="A27" s="49"/>
      <c r="C27" s="915" t="s">
        <v>1493</v>
      </c>
      <c r="D27" s="916"/>
      <c r="E27" s="916"/>
      <c r="F27" s="916"/>
      <c r="G27" s="917"/>
      <c r="H27" s="915" t="s">
        <v>1494</v>
      </c>
      <c r="I27" s="916"/>
      <c r="J27" s="916"/>
      <c r="K27" s="916"/>
      <c r="L27" s="917"/>
      <c r="M27" s="915" t="s">
        <v>1495</v>
      </c>
      <c r="N27" s="916"/>
      <c r="O27" s="916"/>
      <c r="P27" s="916"/>
      <c r="Q27" s="918"/>
    </row>
    <row r="28" spans="1:17" s="671" customFormat="1">
      <c r="A28" s="49"/>
      <c r="C28" s="610" t="s">
        <v>1419</v>
      </c>
      <c r="D28" s="61" t="s">
        <v>1420</v>
      </c>
      <c r="E28" s="61" t="s">
        <v>1421</v>
      </c>
      <c r="F28" s="61" t="s">
        <v>1422</v>
      </c>
      <c r="G28" s="611" t="s">
        <v>1423</v>
      </c>
      <c r="H28" s="610" t="s">
        <v>1419</v>
      </c>
      <c r="I28" s="61" t="s">
        <v>1420</v>
      </c>
      <c r="J28" s="61" t="s">
        <v>1421</v>
      </c>
      <c r="K28" s="61" t="s">
        <v>1422</v>
      </c>
      <c r="L28" s="611" t="s">
        <v>1423</v>
      </c>
      <c r="M28" s="610" t="s">
        <v>1419</v>
      </c>
      <c r="N28" s="61" t="s">
        <v>1420</v>
      </c>
      <c r="O28" s="61" t="s">
        <v>1421</v>
      </c>
      <c r="P28" s="61" t="s">
        <v>1422</v>
      </c>
      <c r="Q28" s="62" t="s">
        <v>1423</v>
      </c>
    </row>
    <row r="29" spans="1:17" s="671" customFormat="1">
      <c r="A29" s="54" t="s">
        <v>1341</v>
      </c>
      <c r="B29" s="671" t="s">
        <v>69</v>
      </c>
      <c r="C29" s="615">
        <f>(('Tire Crumb Particles'!$D$3*10^-3)*'Tire Crumb Inputs'!P67*'Tire Crumb Inputs'!$T$47)/'Tire Crumb Inputs'!C60</f>
        <v>2.1505376344086021E-4</v>
      </c>
      <c r="D29" s="615">
        <f>(('Tire Crumb Particles'!$D$3*10^-3)*'Tire Crumb Inputs'!Q67*'Tire Crumb Inputs'!$T$47)/'Tire Crumb Inputs'!D60</f>
        <v>9.4339622641509429E-5</v>
      </c>
      <c r="E29" s="615">
        <f>(('Tire Crumb Particles'!$D$3*10^-3)*'Tire Crumb Inputs'!R67*'Tire Crumb Inputs'!$T$47)/'Tire Crumb Inputs'!E60</f>
        <v>5.2816901408450707E-5</v>
      </c>
      <c r="F29" s="615">
        <f>(('Tire Crumb Particles'!$D$3*10^-3)*'Tire Crumb Inputs'!S67*'Tire Crumb Inputs'!$T$47)/'Tire Crumb Inputs'!F60</f>
        <v>2.0949720670391065E-5</v>
      </c>
      <c r="G29" s="615">
        <f>(('Tire Crumb Particles'!$D$3*10^-3)*'Tire Crumb Inputs'!T67*'Tire Crumb Inputs'!$T$47)/'Tire Crumb Inputs'!G60</f>
        <v>1.8750000000000002E-5</v>
      </c>
      <c r="H29" s="613">
        <f>C29*'Tire Crumb Inputs'!T$30/1</f>
        <v>2.1505376344086021E-4</v>
      </c>
      <c r="I29" s="613">
        <f>D29*'Tire Crumb Inputs'!U$30/1</f>
        <v>9.4339622641509429E-5</v>
      </c>
      <c r="J29" s="613">
        <f>E29*'Tire Crumb Inputs'!V$30/1</f>
        <v>5.2816901408450707E-5</v>
      </c>
      <c r="K29" s="613">
        <f>F29*'Tire Crumb Inputs'!W$30/1</f>
        <v>2.0949720670391065E-5</v>
      </c>
      <c r="L29" s="613">
        <f>G29*'Tire Crumb Inputs'!X$30/1</f>
        <v>1.8750000000000002E-5</v>
      </c>
      <c r="M29" s="613">
        <f>C29*'Tire Crumb Inputs'!T$29/365</f>
        <v>4.5956694653115329E-5</v>
      </c>
      <c r="N29" s="613">
        <f>D29*'Tire Crumb Inputs'!U$29/365</f>
        <v>2.0160248126130784E-5</v>
      </c>
      <c r="O29" s="613">
        <f>E29*'Tire Crumb Inputs'!V$29/365</f>
        <v>1.9969129847578624E-5</v>
      </c>
      <c r="P29" s="613">
        <f>F29*'Tire Crumb Inputs'!W$29/365</f>
        <v>7.9207163082574435E-6</v>
      </c>
      <c r="Q29" s="613">
        <f>G29*'Tire Crumb Inputs'!X$29/365</f>
        <v>4.0068493150684934E-6</v>
      </c>
    </row>
    <row r="30" spans="1:17" s="671" customFormat="1">
      <c r="A30" s="49"/>
      <c r="B30" s="671" t="s">
        <v>67</v>
      </c>
      <c r="C30" s="615">
        <f>(('Tire Crumb Particles'!$C$3*10^-3)*'Tire Crumb Inputs'!P67*'Tire Crumb Inputs'!$T$47)/'Tire Crumb Inputs'!C60</f>
        <v>6.0215053763440862E-5</v>
      </c>
      <c r="D30" s="615">
        <f>(('Tire Crumb Particles'!$C$3*10^-3)*'Tire Crumb Inputs'!Q67*'Tire Crumb Inputs'!$T$47)/'Tire Crumb Inputs'!D60</f>
        <v>2.6415094339622642E-5</v>
      </c>
      <c r="E30" s="615">
        <f>(('Tire Crumb Particles'!$C$3*10^-3)*'Tire Crumb Inputs'!R67*'Tire Crumb Inputs'!$T$47)/'Tire Crumb Inputs'!E60</f>
        <v>1.4788732394366198E-5</v>
      </c>
      <c r="F30" s="615">
        <f>(('Tire Crumb Particles'!$C$3*10^-3)*'Tire Crumb Inputs'!S67*'Tire Crumb Inputs'!$T$47)/'Tire Crumb Inputs'!F60</f>
        <v>5.8659217877094981E-6</v>
      </c>
      <c r="G30" s="615">
        <f>(('Tire Crumb Particles'!$C$3*10^-3)*'Tire Crumb Inputs'!T67*'Tire Crumb Inputs'!$T$47)/'Tire Crumb Inputs'!G60</f>
        <v>5.2500000000000006E-6</v>
      </c>
      <c r="H30" s="613">
        <f>C30*'Tire Crumb Inputs'!T$30/1</f>
        <v>6.0215053763440862E-5</v>
      </c>
      <c r="I30" s="613">
        <f>D30*'Tire Crumb Inputs'!U$30/1</f>
        <v>2.6415094339622642E-5</v>
      </c>
      <c r="J30" s="613">
        <f>E30*'Tire Crumb Inputs'!V$30/1</f>
        <v>1.4788732394366198E-5</v>
      </c>
      <c r="K30" s="613">
        <f>F30*'Tire Crumb Inputs'!W$30/1</f>
        <v>5.8659217877094981E-6</v>
      </c>
      <c r="L30" s="613">
        <f>G30*'Tire Crumb Inputs'!X$30/1</f>
        <v>5.2500000000000006E-6</v>
      </c>
      <c r="M30" s="613">
        <f>C30*'Tire Crumb Inputs'!T$29/365</f>
        <v>1.2867874502872293E-5</v>
      </c>
      <c r="N30" s="613">
        <f>D30*'Tire Crumb Inputs'!U$29/365</f>
        <v>5.6448694753166195E-6</v>
      </c>
      <c r="O30" s="613">
        <f>E30*'Tire Crumb Inputs'!V$29/365</f>
        <v>5.5913563573220143E-6</v>
      </c>
      <c r="P30" s="613">
        <f>F30*'Tire Crumb Inputs'!W$29/365</f>
        <v>2.2178005663120841E-6</v>
      </c>
      <c r="Q30" s="613">
        <f>G30*'Tire Crumb Inputs'!X$29/365</f>
        <v>1.1219178082191783E-6</v>
      </c>
    </row>
    <row r="31" spans="1:17" s="671" customFormat="1" ht="15" thickBot="1">
      <c r="A31" s="49"/>
      <c r="B31" s="671" t="s">
        <v>65</v>
      </c>
      <c r="C31" s="615">
        <f>(('Tire Crumb Particles'!$B$3*10^-3)*'Tire Crumb Inputs'!P67*'Tire Crumb Inputs'!$T$47)/'Tire Crumb Inputs'!C60</f>
        <v>1.0537634408602151E-5</v>
      </c>
      <c r="D31" s="615">
        <f>(('Tire Crumb Particles'!$B$3*10^-3)*'Tire Crumb Inputs'!Q67*'Tire Crumb Inputs'!$T$47)/'Tire Crumb Inputs'!D60</f>
        <v>4.6226415094339631E-6</v>
      </c>
      <c r="E31" s="615">
        <f>(('Tire Crumb Particles'!$B$3*10^-3)*'Tire Crumb Inputs'!R67*'Tire Crumb Inputs'!$T$47)/'Tire Crumb Inputs'!E60</f>
        <v>2.5880281690140849E-6</v>
      </c>
      <c r="F31" s="615">
        <f>(('Tire Crumb Particles'!$B$3*10^-3)*'Tire Crumb Inputs'!S67*'Tire Crumb Inputs'!$T$47)/'Tire Crumb Inputs'!F60</f>
        <v>1.0265363128491622E-6</v>
      </c>
      <c r="G31" s="615">
        <f>(('Tire Crumb Particles'!$B$3*10^-3)*'Tire Crumb Inputs'!T67*'Tire Crumb Inputs'!$T$47)/'Tire Crumb Inputs'!G60</f>
        <v>9.187500000000001E-7</v>
      </c>
      <c r="H31" s="613">
        <f>C31*'Tire Crumb Inputs'!T$30/1</f>
        <v>1.0537634408602151E-5</v>
      </c>
      <c r="I31" s="613">
        <f>D31*'Tire Crumb Inputs'!U$30/1</f>
        <v>4.6226415094339631E-6</v>
      </c>
      <c r="J31" s="613">
        <f>E31*'Tire Crumb Inputs'!V$30/1</f>
        <v>2.5880281690140849E-6</v>
      </c>
      <c r="K31" s="613">
        <f>F31*'Tire Crumb Inputs'!W$30/1</f>
        <v>1.0265363128491622E-6</v>
      </c>
      <c r="L31" s="613">
        <f>G31*'Tire Crumb Inputs'!X$30/1</f>
        <v>9.187500000000001E-7</v>
      </c>
      <c r="M31" s="613">
        <f>C31*'Tire Crumb Inputs'!T$29/365</f>
        <v>2.2518780380026514E-6</v>
      </c>
      <c r="N31" s="613">
        <f>D31*'Tire Crumb Inputs'!U$29/365</f>
        <v>9.8785215818040848E-7</v>
      </c>
      <c r="O31" s="613">
        <f>E31*'Tire Crumb Inputs'!V$29/365</f>
        <v>9.784873625313528E-7</v>
      </c>
      <c r="P31" s="613">
        <f>F31*'Tire Crumb Inputs'!W$29/365</f>
        <v>3.8811509910461478E-7</v>
      </c>
      <c r="Q31" s="613">
        <f>G31*'Tire Crumb Inputs'!X$29/365</f>
        <v>1.963356164383562E-7</v>
      </c>
    </row>
    <row r="32" spans="1:17" s="671" customFormat="1">
      <c r="A32" s="44"/>
      <c r="B32" s="45"/>
      <c r="C32" s="915" t="s">
        <v>1493</v>
      </c>
      <c r="D32" s="916"/>
      <c r="E32" s="916"/>
      <c r="F32" s="916"/>
      <c r="G32" s="917"/>
      <c r="H32" s="915" t="s">
        <v>1494</v>
      </c>
      <c r="I32" s="916"/>
      <c r="J32" s="916"/>
      <c r="K32" s="916"/>
      <c r="L32" s="917"/>
      <c r="M32" s="915" t="s">
        <v>1495</v>
      </c>
      <c r="N32" s="916"/>
      <c r="O32" s="916"/>
      <c r="P32" s="916"/>
      <c r="Q32" s="918"/>
    </row>
    <row r="33" spans="1:17" s="671" customFormat="1">
      <c r="A33" s="49"/>
      <c r="C33" s="610" t="s">
        <v>1419</v>
      </c>
      <c r="D33" s="61" t="s">
        <v>1420</v>
      </c>
      <c r="E33" s="61" t="s">
        <v>1421</v>
      </c>
      <c r="F33" s="61" t="s">
        <v>1422</v>
      </c>
      <c r="G33" s="611" t="s">
        <v>1423</v>
      </c>
      <c r="H33" s="610" t="s">
        <v>1419</v>
      </c>
      <c r="I33" s="61" t="s">
        <v>1420</v>
      </c>
      <c r="J33" s="61" t="s">
        <v>1421</v>
      </c>
      <c r="K33" s="61" t="s">
        <v>1422</v>
      </c>
      <c r="L33" s="611" t="s">
        <v>1423</v>
      </c>
      <c r="M33" s="610" t="s">
        <v>1419</v>
      </c>
      <c r="N33" s="61" t="s">
        <v>1420</v>
      </c>
      <c r="O33" s="61" t="s">
        <v>1421</v>
      </c>
      <c r="P33" s="61" t="s">
        <v>1422</v>
      </c>
      <c r="Q33" s="62" t="s">
        <v>1423</v>
      </c>
    </row>
    <row r="34" spans="1:17" s="671" customFormat="1">
      <c r="A34" s="54" t="s">
        <v>983</v>
      </c>
      <c r="B34" s="671" t="s">
        <v>69</v>
      </c>
      <c r="C34" s="70">
        <f>(('Tire Crumb Particles'!$D$3*10^-3)*'Tire Crumb Inputs'!$T$48*'Tire Crumb Inputs'!T102*'Tire Crumb Inputs'!K$138)/'Tire Crumb Inputs'!C$60</f>
        <v>6.333380376344086E-2</v>
      </c>
      <c r="D34" s="70">
        <f>(('Tire Crumb Particles'!$D$3*10^-3)*'Tire Crumb Inputs'!$T$48*'Tire Crumb Inputs'!U102*'Tire Crumb Inputs'!L$138)/'Tire Crumb Inputs'!D$60</f>
        <v>5.9657303459119515E-2</v>
      </c>
      <c r="E34" s="70">
        <f>(('Tire Crumb Particles'!$D$3*10^-3)*'Tire Crumb Inputs'!$T$48*'Tire Crumb Inputs'!V102*'Tire Crumb Inputs'!M$138)/'Tire Crumb Inputs'!E$60</f>
        <v>4.6596588908450712E-2</v>
      </c>
      <c r="F34" s="70">
        <f>(('Tire Crumb Particles'!$D$3*10^-3)*'Tire Crumb Inputs'!$T$48*'Tire Crumb Inputs'!W102*'Tire Crumb Inputs'!N$138)/'Tire Crumb Inputs'!F$60</f>
        <v>4.1071103351955324E-2</v>
      </c>
      <c r="G34" s="70">
        <f>(('Tire Crumb Particles'!$D$3*10^-3)*'Tire Crumb Inputs'!$T$48*'Tire Crumb Inputs'!X102*'Tire Crumb Inputs'!O$138)/'Tire Crumb Inputs'!G$60</f>
        <v>4.2193835937500007E-2</v>
      </c>
      <c r="H34" s="613">
        <f>C34*'Tire Crumb Inputs'!T$30/1</f>
        <v>6.333380376344086E-2</v>
      </c>
      <c r="I34" s="613">
        <f>D34*'Tire Crumb Inputs'!U$30/1</f>
        <v>5.9657303459119515E-2</v>
      </c>
      <c r="J34" s="613">
        <f>E34*'Tire Crumb Inputs'!V$30/1</f>
        <v>4.6596588908450712E-2</v>
      </c>
      <c r="K34" s="613">
        <f>F34*'Tire Crumb Inputs'!W$30/1</f>
        <v>4.1071103351955324E-2</v>
      </c>
      <c r="L34" s="613">
        <f>G34*'Tire Crumb Inputs'!X$30/1</f>
        <v>4.2193835937500007E-2</v>
      </c>
      <c r="M34" s="613">
        <f>C34*'Tire Crumb Inputs'!T$29/365</f>
        <v>1.353434710561202E-2</v>
      </c>
      <c r="N34" s="613">
        <f>D34*'Tire Crumb Inputs'!U$29/365</f>
        <v>1.2748684026880334E-2</v>
      </c>
      <c r="O34" s="613">
        <f>E34*'Tire Crumb Inputs'!V$29/365</f>
        <v>1.761734046401698E-2</v>
      </c>
      <c r="P34" s="613">
        <f>F34*'Tire Crumb Inputs'!W$29/365</f>
        <v>1.552825277416393E-2</v>
      </c>
      <c r="Q34" s="613">
        <f>G34*'Tire Crumb Inputs'!X$29/365</f>
        <v>9.0167649400684953E-3</v>
      </c>
    </row>
    <row r="35" spans="1:17" s="671" customFormat="1">
      <c r="A35" s="49"/>
      <c r="B35" s="671" t="s">
        <v>67</v>
      </c>
      <c r="C35" s="70">
        <f>(('Tire Crumb Particles'!$C$3*10^-3)*'Tire Crumb Inputs'!$T$48*'Tire Crumb Inputs'!T103*'Tire Crumb Inputs'!K$138)/'Tire Crumb Inputs'!C$60</f>
        <v>4.5443247311827955E-3</v>
      </c>
      <c r="D35" s="70">
        <f>(('Tire Crumb Particles'!$C$3*10^-3)*'Tire Crumb Inputs'!$T$48*'Tire Crumb Inputs'!U103*'Tire Crumb Inputs'!L$138)/'Tire Crumb Inputs'!D$60</f>
        <v>4.1638905660377366E-3</v>
      </c>
      <c r="E35" s="70">
        <f>(('Tire Crumb Particles'!$C$3*10^-3)*'Tire Crumb Inputs'!$T$48*'Tire Crumb Inputs'!V103*'Tire Crumb Inputs'!M$138)/'Tire Crumb Inputs'!E$60</f>
        <v>3.1977035211267616E-3</v>
      </c>
      <c r="F35" s="70">
        <f>(('Tire Crumb Particles'!$C$3*10^-3)*'Tire Crumb Inputs'!$T$48*'Tire Crumb Inputs'!W103*'Tire Crumb Inputs'!N$138)/'Tire Crumb Inputs'!F$60</f>
        <v>2.8166044692737448E-3</v>
      </c>
      <c r="G35" s="70">
        <f>(('Tire Crumb Particles'!$C$3*10^-3)*'Tire Crumb Inputs'!$T$48*'Tire Crumb Inputs'!X103*'Tire Crumb Inputs'!O$138)/'Tire Crumb Inputs'!G$60</f>
        <v>2.8920097500000014E-3</v>
      </c>
      <c r="H35" s="613">
        <f>C35*'Tire Crumb Inputs'!T$30/1</f>
        <v>4.5443247311827955E-3</v>
      </c>
      <c r="I35" s="613">
        <f>D35*'Tire Crumb Inputs'!U$30/1</f>
        <v>4.1638905660377366E-3</v>
      </c>
      <c r="J35" s="613">
        <f>E35*'Tire Crumb Inputs'!V$30/1</f>
        <v>3.1977035211267616E-3</v>
      </c>
      <c r="K35" s="613">
        <f>F35*'Tire Crumb Inputs'!W$30/1</f>
        <v>2.8166044692737448E-3</v>
      </c>
      <c r="L35" s="613">
        <f>G35*'Tire Crumb Inputs'!X$30/1</f>
        <v>2.8920097500000014E-3</v>
      </c>
      <c r="M35" s="613">
        <f>C35*'Tire Crumb Inputs'!T$29/365</f>
        <v>9.7111596995139203E-4</v>
      </c>
      <c r="N35" s="613">
        <f>D35*'Tire Crumb Inputs'!U$29/365</f>
        <v>8.8981771000258482E-4</v>
      </c>
      <c r="O35" s="613">
        <f>E35*'Tire Crumb Inputs'!V$29/365</f>
        <v>1.2089947559328579E-3</v>
      </c>
      <c r="P35" s="613">
        <f>F35*'Tire Crumb Inputs'!W$29/365</f>
        <v>1.064907991122676E-3</v>
      </c>
      <c r="Q35" s="613">
        <f>G35*'Tire Crumb Inputs'!X$29/365</f>
        <v>6.1801852191780858E-4</v>
      </c>
    </row>
    <row r="36" spans="1:17" s="671" customFormat="1" ht="15" thickBot="1">
      <c r="A36" s="604"/>
      <c r="B36" s="90" t="s">
        <v>65</v>
      </c>
      <c r="C36" s="616">
        <f>(('Tire Crumb Particles'!$B$3*10^-3)*'Tire Crumb Inputs'!$T$48*'Tire Crumb Inputs'!T104*'Tire Crumb Inputs'!K$138)/'Tire Crumb Inputs'!C$60</f>
        <v>3.0781984408602149E-4</v>
      </c>
      <c r="D36" s="616">
        <f>(('Tire Crumb Particles'!$B$3*10^-3)*'Tire Crumb Inputs'!$T$48*'Tire Crumb Inputs'!U104*'Tire Crumb Inputs'!L$138)/'Tire Crumb Inputs'!D$60</f>
        <v>2.7599095911949692E-4</v>
      </c>
      <c r="E36" s="616">
        <f>(('Tire Crumb Particles'!$B$3*10^-3)*'Tire Crumb Inputs'!$T$48*'Tire Crumb Inputs'!V104*'Tire Crumb Inputs'!M$138)/'Tire Crumb Inputs'!E$60</f>
        <v>2.0862224471830988E-4</v>
      </c>
      <c r="F36" s="616">
        <f>(('Tire Crumb Particles'!$B$3*10^-3)*'Tire Crumb Inputs'!$T$48*'Tire Crumb Inputs'!W104*'Tire Crumb Inputs'!N$138)/'Tire Crumb Inputs'!F$60</f>
        <v>1.8351211731843582E-4</v>
      </c>
      <c r="G36" s="616">
        <f>(('Tire Crumb Particles'!$B$3*10^-3)*'Tire Crumb Inputs'!$T$48*'Tire Crumb Inputs'!X104*'Tire Crumb Inputs'!O$138)/'Tire Crumb Inputs'!G$60</f>
        <v>1.8928654062500005E-4</v>
      </c>
      <c r="H36" s="613">
        <f>C36*'Tire Crumb Inputs'!T$30/1</f>
        <v>3.0781984408602149E-4</v>
      </c>
      <c r="I36" s="613">
        <f>D36*'Tire Crumb Inputs'!U$30/1</f>
        <v>2.7599095911949692E-4</v>
      </c>
      <c r="J36" s="613">
        <f>E36*'Tire Crumb Inputs'!V$30/1</f>
        <v>2.0862224471830988E-4</v>
      </c>
      <c r="K36" s="613">
        <f>F36*'Tire Crumb Inputs'!W$30/1</f>
        <v>1.8351211731843582E-4</v>
      </c>
      <c r="L36" s="613">
        <f>G36*'Tire Crumb Inputs'!X$30/1</f>
        <v>1.8928654062500005E-4</v>
      </c>
      <c r="M36" s="613">
        <f>C36*'Tire Crumb Inputs'!T$29/365</f>
        <v>6.5780679010163495E-5</v>
      </c>
      <c r="N36" s="613">
        <f>D36*'Tire Crumb Inputs'!U$29/365</f>
        <v>5.8978889894029481E-5</v>
      </c>
      <c r="O36" s="613">
        <f>E36*'Tire Crumb Inputs'!V$29/365</f>
        <v>7.8876355537333591E-5</v>
      </c>
      <c r="P36" s="613">
        <f>F36*'Tire Crumb Inputs'!W$29/365</f>
        <v>6.938266353409355E-5</v>
      </c>
      <c r="Q36" s="613">
        <f>G36*'Tire Crumb Inputs'!X$29/365</f>
        <v>4.045027443493152E-5</v>
      </c>
    </row>
  </sheetData>
  <sheetProtection sheet="1" objects="1" scenarios="1" formatCells="0" formatColumns="0" formatRows="0" sort="0" autoFilter="0"/>
  <mergeCells count="9">
    <mergeCell ref="C32:G32"/>
    <mergeCell ref="H32:L32"/>
    <mergeCell ref="M32:Q32"/>
    <mergeCell ref="C22:G22"/>
    <mergeCell ref="H22:L22"/>
    <mergeCell ref="M22:Q22"/>
    <mergeCell ref="C27:G27"/>
    <mergeCell ref="H27:L27"/>
    <mergeCell ref="M27:Q2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48F8D-A6D8-41BE-83EF-424F04165962}">
  <sheetPr codeName="Sheet2"/>
  <dimension ref="A1:D37"/>
  <sheetViews>
    <sheetView workbookViewId="0"/>
  </sheetViews>
  <sheetFormatPr defaultColWidth="8.54296875" defaultRowHeight="14.5"/>
  <cols>
    <col min="1" max="1" width="30.453125" style="12" customWidth="1"/>
    <col min="2" max="2" width="49.81640625" style="3" customWidth="1"/>
    <col min="3" max="16384" width="8.54296875" style="3"/>
  </cols>
  <sheetData>
    <row r="1" spans="1:4" ht="21">
      <c r="A1" s="1" t="s">
        <v>2</v>
      </c>
      <c r="B1" s="2"/>
    </row>
    <row r="3" spans="1:4" ht="21" customHeight="1">
      <c r="A3" s="4" t="s">
        <v>3</v>
      </c>
      <c r="B3" s="4" t="s">
        <v>4</v>
      </c>
    </row>
    <row r="4" spans="1:4" s="7" customFormat="1" ht="31" customHeight="1">
      <c r="A4" s="5" t="s">
        <v>5</v>
      </c>
      <c r="B4" s="6" t="s">
        <v>6</v>
      </c>
    </row>
    <row r="5" spans="1:4" s="7" customFormat="1" ht="29">
      <c r="A5" s="5" t="s">
        <v>7</v>
      </c>
      <c r="B5" s="6" t="s">
        <v>8</v>
      </c>
    </row>
    <row r="6" spans="1:4" s="7" customFormat="1">
      <c r="A6" s="5" t="s">
        <v>9</v>
      </c>
      <c r="B6" s="6" t="s">
        <v>10</v>
      </c>
    </row>
    <row r="7" spans="1:4" s="7" customFormat="1" ht="29">
      <c r="A7" s="5" t="s">
        <v>11</v>
      </c>
      <c r="B7" s="6" t="s">
        <v>12</v>
      </c>
    </row>
    <row r="8" spans="1:4" ht="29">
      <c r="A8" s="5" t="s">
        <v>13</v>
      </c>
      <c r="B8" s="6" t="s">
        <v>14</v>
      </c>
    </row>
    <row r="9" spans="1:4" s="7" customFormat="1" ht="46" customHeight="1">
      <c r="A9" s="8" t="s">
        <v>15</v>
      </c>
      <c r="B9" s="9" t="s">
        <v>16</v>
      </c>
      <c r="D9" s="10"/>
    </row>
    <row r="10" spans="1:4" s="7" customFormat="1" ht="33.65" customHeight="1">
      <c r="A10" s="11" t="s">
        <v>17</v>
      </c>
      <c r="B10" s="9" t="s">
        <v>18</v>
      </c>
      <c r="D10" s="10"/>
    </row>
    <row r="11" spans="1:4" s="7" customFormat="1" ht="33.65" customHeight="1">
      <c r="A11" s="11" t="s">
        <v>19</v>
      </c>
      <c r="B11" s="9" t="s">
        <v>20</v>
      </c>
      <c r="D11" s="10"/>
    </row>
    <row r="12" spans="1:4" s="7" customFormat="1" ht="29">
      <c r="A12" s="8" t="s">
        <v>21</v>
      </c>
      <c r="B12" s="6" t="s">
        <v>22</v>
      </c>
      <c r="D12" s="10"/>
    </row>
    <row r="13" spans="1:4" s="7" customFormat="1" ht="29">
      <c r="A13" s="5" t="s">
        <v>23</v>
      </c>
      <c r="B13" s="6" t="s">
        <v>24</v>
      </c>
      <c r="D13" s="10"/>
    </row>
    <row r="14" spans="1:4">
      <c r="D14" s="10"/>
    </row>
    <row r="15" spans="1:4">
      <c r="D15" s="10"/>
    </row>
    <row r="16" spans="1:4">
      <c r="D16" s="10"/>
    </row>
    <row r="17" spans="4:4">
      <c r="D17" s="10"/>
    </row>
    <row r="18" spans="4:4">
      <c r="D18" s="10"/>
    </row>
    <row r="19" spans="4:4">
      <c r="D19" s="10"/>
    </row>
    <row r="20" spans="4:4">
      <c r="D20" s="10"/>
    </row>
    <row r="21" spans="4:4">
      <c r="D21" s="10"/>
    </row>
    <row r="22" spans="4:4">
      <c r="D22" s="10"/>
    </row>
    <row r="23" spans="4:4">
      <c r="D23" s="10"/>
    </row>
    <row r="24" spans="4:4">
      <c r="D24" s="10"/>
    </row>
    <row r="25" spans="4:4">
      <c r="D25" s="10"/>
    </row>
    <row r="26" spans="4:4">
      <c r="D26" s="10"/>
    </row>
    <row r="27" spans="4:4">
      <c r="D27" s="10"/>
    </row>
    <row r="28" spans="4:4">
      <c r="D28" s="10"/>
    </row>
    <row r="29" spans="4:4">
      <c r="D29" s="10"/>
    </row>
    <row r="30" spans="4:4">
      <c r="D30" s="10"/>
    </row>
    <row r="31" spans="4:4">
      <c r="D31" s="10"/>
    </row>
    <row r="32" spans="4:4">
      <c r="D32" s="10"/>
    </row>
    <row r="33" spans="4:4">
      <c r="D33" s="10"/>
    </row>
    <row r="34" spans="4:4">
      <c r="D34" s="10"/>
    </row>
    <row r="35" spans="4:4">
      <c r="D35" s="10"/>
    </row>
    <row r="36" spans="4:4">
      <c r="D36" s="10"/>
    </row>
    <row r="37" spans="4:4">
      <c r="D37" s="10"/>
    </row>
  </sheetData>
  <sheetProtection sheet="1" objects="1" scenarios="1" formatCells="0" formatColumns="0" formatRows="0" sort="0" autoFilter="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458B1-3298-406C-969D-C4ADEB28D3EA}">
  <sheetPr codeName="Sheet3"/>
  <dimension ref="A1:AA59"/>
  <sheetViews>
    <sheetView zoomScale="85" workbookViewId="0"/>
  </sheetViews>
  <sheetFormatPr defaultColWidth="8.54296875" defaultRowHeight="14.5"/>
  <cols>
    <col min="1" max="1" width="39.54296875" style="12" customWidth="1"/>
    <col min="2" max="2" width="13.54296875" style="12" customWidth="1"/>
    <col min="3" max="3" width="18.54296875" style="12" customWidth="1"/>
    <col min="4" max="4" width="15" style="12" customWidth="1"/>
    <col min="5" max="5" width="8.1796875" style="12" customWidth="1"/>
    <col min="6" max="6" width="8.54296875" style="12"/>
    <col min="7" max="7" width="29.453125" style="12" customWidth="1"/>
    <col min="8" max="8" width="10.54296875" style="12" bestFit="1" customWidth="1"/>
    <col min="9" max="9" width="10.81640625" style="12" bestFit="1" customWidth="1"/>
    <col min="10" max="10" width="11.81640625" style="12" bestFit="1" customWidth="1"/>
    <col min="11" max="11" width="8.54296875" style="12"/>
    <col min="12" max="12" width="8.81640625" style="12" bestFit="1" customWidth="1"/>
    <col min="13" max="13" width="8.54296875" style="12"/>
    <col min="14" max="14" width="33.54296875" style="12" customWidth="1"/>
    <col min="15" max="15" width="11.81640625" style="12" bestFit="1" customWidth="1"/>
    <col min="16" max="17" width="8.81640625" style="12" bestFit="1" customWidth="1"/>
    <col min="18" max="18" width="8.54296875" style="12"/>
    <col min="19" max="20" width="9" style="12" bestFit="1" customWidth="1"/>
    <col min="21" max="21" width="8.54296875" style="12"/>
    <col min="22" max="24" width="9" style="12" bestFit="1" customWidth="1"/>
    <col min="25" max="16384" width="8.54296875" style="12"/>
  </cols>
  <sheetData>
    <row r="1" spans="1:22" s="13" customFormat="1" ht="21">
      <c r="A1" s="1" t="s">
        <v>1415</v>
      </c>
      <c r="G1" s="14" t="s">
        <v>25</v>
      </c>
      <c r="H1" s="14" t="s">
        <v>26</v>
      </c>
      <c r="I1" s="15" t="s">
        <v>27</v>
      </c>
      <c r="J1" s="16" t="s">
        <v>28</v>
      </c>
      <c r="O1" s="3"/>
      <c r="P1" s="3"/>
      <c r="Q1" s="3"/>
      <c r="R1" s="3"/>
      <c r="S1" s="3"/>
    </row>
    <row r="2" spans="1:22">
      <c r="A2" s="17" t="s">
        <v>29</v>
      </c>
      <c r="B2" s="671"/>
      <c r="C2" s="671"/>
      <c r="D2" s="671"/>
      <c r="E2" s="671"/>
      <c r="F2" s="671"/>
      <c r="G2" s="18" t="s">
        <v>30</v>
      </c>
      <c r="H2" s="19">
        <v>2.4564350616644553E-10</v>
      </c>
      <c r="I2" s="20">
        <v>13974340204.023058</v>
      </c>
      <c r="J2" s="20">
        <v>-3.6123610708324345</v>
      </c>
      <c r="K2" s="671"/>
      <c r="L2" s="671"/>
      <c r="M2" s="671"/>
      <c r="N2" s="3"/>
      <c r="O2" s="3"/>
      <c r="P2" s="3"/>
      <c r="Q2" s="3"/>
      <c r="R2" s="3"/>
      <c r="S2" s="3"/>
      <c r="T2" s="671"/>
      <c r="U2" s="671"/>
      <c r="V2" s="671"/>
    </row>
    <row r="3" spans="1:22">
      <c r="A3" s="21" t="s">
        <v>31</v>
      </c>
      <c r="B3" s="21" t="s">
        <v>32</v>
      </c>
      <c r="C3" s="21" t="s">
        <v>33</v>
      </c>
      <c r="D3" s="21" t="s">
        <v>34</v>
      </c>
      <c r="E3" s="671"/>
      <c r="F3" s="671"/>
      <c r="G3" s="18" t="s">
        <v>35</v>
      </c>
      <c r="H3" s="19">
        <v>3.27838436831621E-10</v>
      </c>
      <c r="I3" s="20">
        <v>27702043997.748554</v>
      </c>
      <c r="J3" s="20">
        <v>-3.7184508869808952</v>
      </c>
      <c r="K3" s="671"/>
      <c r="L3" s="671"/>
      <c r="M3" s="671"/>
      <c r="N3" s="3"/>
      <c r="O3" s="3"/>
      <c r="P3" s="3"/>
      <c r="Q3" s="3"/>
      <c r="R3" s="3"/>
      <c r="S3" s="3"/>
      <c r="T3" s="671"/>
      <c r="U3" s="671"/>
      <c r="V3" s="671"/>
    </row>
    <row r="4" spans="1:22">
      <c r="A4" s="22" t="s">
        <v>36</v>
      </c>
      <c r="B4" s="23"/>
      <c r="C4" s="24">
        <v>418.6</v>
      </c>
      <c r="D4" s="23" t="s">
        <v>37</v>
      </c>
      <c r="E4" s="671"/>
      <c r="F4" s="671"/>
      <c r="G4" s="25" t="s">
        <v>38</v>
      </c>
      <c r="H4" s="26">
        <v>5.9842805931772729E-12</v>
      </c>
      <c r="I4" s="27">
        <v>477320004953.16284</v>
      </c>
      <c r="J4" s="27">
        <v>-4.9876638697523559</v>
      </c>
      <c r="K4" s="671"/>
      <c r="L4" s="671"/>
      <c r="M4" s="671"/>
      <c r="N4" s="672" t="s">
        <v>39</v>
      </c>
      <c r="O4" s="672"/>
      <c r="P4" s="672"/>
      <c r="Q4" s="672"/>
      <c r="R4" s="3"/>
      <c r="S4" s="3"/>
      <c r="T4" s="671"/>
      <c r="U4" s="671"/>
      <c r="V4" s="671"/>
    </row>
    <row r="5" spans="1:22">
      <c r="A5" s="22" t="s">
        <v>40</v>
      </c>
      <c r="B5" s="28"/>
      <c r="C5" s="29">
        <v>5.4000000000000002E-7</v>
      </c>
      <c r="D5" s="23" t="s">
        <v>41</v>
      </c>
      <c r="E5" s="671"/>
      <c r="F5" s="671"/>
      <c r="G5" s="18" t="s">
        <v>42</v>
      </c>
      <c r="H5" s="19">
        <v>4.4522811359408949E-14</v>
      </c>
      <c r="I5" s="20">
        <v>80594750900.253906</v>
      </c>
      <c r="J5" s="20">
        <v>-6.3438186475875957</v>
      </c>
      <c r="K5" s="671"/>
      <c r="L5" s="671"/>
      <c r="M5" s="671"/>
      <c r="N5" s="672"/>
      <c r="O5" s="672"/>
      <c r="P5" s="672"/>
      <c r="Q5" s="672"/>
      <c r="R5" s="3"/>
      <c r="S5" s="3"/>
      <c r="T5" s="671"/>
      <c r="U5" s="671"/>
      <c r="V5" s="671"/>
    </row>
    <row r="6" spans="1:22">
      <c r="A6" s="22" t="s">
        <v>43</v>
      </c>
      <c r="B6" s="23"/>
      <c r="C6" s="30">
        <v>6.0999999999999997E-4</v>
      </c>
      <c r="D6" s="23" t="s">
        <v>44</v>
      </c>
      <c r="E6" s="671"/>
      <c r="F6" s="671"/>
      <c r="G6" s="18" t="s">
        <v>45</v>
      </c>
      <c r="H6" s="19">
        <v>4.3210085532020638E-12</v>
      </c>
      <c r="I6" s="20">
        <v>17296005328.067699</v>
      </c>
      <c r="J6" s="20">
        <v>-4.6113779250446116</v>
      </c>
      <c r="K6" s="671"/>
      <c r="L6" s="671"/>
      <c r="M6" s="671"/>
      <c r="N6" s="672"/>
      <c r="O6" s="672"/>
      <c r="P6" s="672"/>
      <c r="Q6" s="672"/>
      <c r="R6" s="671"/>
      <c r="S6" s="671"/>
      <c r="T6" s="671"/>
      <c r="U6" s="671"/>
      <c r="V6" s="671"/>
    </row>
    <row r="7" spans="1:22" ht="15" thickBot="1">
      <c r="A7" s="22" t="s">
        <v>46</v>
      </c>
      <c r="B7" s="23"/>
      <c r="C7" s="24">
        <v>9.3699999999999992</v>
      </c>
      <c r="D7" s="23" t="s">
        <v>47</v>
      </c>
      <c r="E7" s="671"/>
      <c r="F7" s="671"/>
      <c r="G7" s="18" t="s">
        <v>48</v>
      </c>
      <c r="H7" s="19">
        <v>4.9136191901050268E-7</v>
      </c>
      <c r="I7" s="20">
        <v>477320004953.16284</v>
      </c>
      <c r="J7" s="20">
        <v>-1.4001595007773564</v>
      </c>
      <c r="K7" s="671"/>
      <c r="L7" s="671"/>
      <c r="M7" s="671"/>
      <c r="N7" s="671"/>
      <c r="O7" s="12" t="s">
        <v>49</v>
      </c>
      <c r="P7" s="12" t="s">
        <v>38</v>
      </c>
      <c r="Q7" s="671"/>
      <c r="R7" s="671"/>
      <c r="S7" s="671"/>
      <c r="T7" s="671"/>
      <c r="U7" s="671"/>
      <c r="V7" s="671"/>
    </row>
    <row r="8" spans="1:22">
      <c r="A8" s="22" t="s">
        <v>50</v>
      </c>
      <c r="B8" s="28"/>
      <c r="C8" s="31">
        <v>2.0800000000000001E-5</v>
      </c>
      <c r="D8" s="23" t="s">
        <v>51</v>
      </c>
      <c r="E8" s="671"/>
      <c r="F8" s="671"/>
      <c r="G8" s="18" t="s">
        <v>52</v>
      </c>
      <c r="H8" s="19">
        <v>8.8066495411809579E-11</v>
      </c>
      <c r="I8" s="20">
        <v>17969179000.638256</v>
      </c>
      <c r="J8" s="20">
        <v>-4.1351707710602339</v>
      </c>
      <c r="K8" s="671"/>
      <c r="L8" s="671"/>
      <c r="M8" s="671"/>
      <c r="N8" s="671"/>
      <c r="O8" s="671"/>
      <c r="P8" s="671"/>
      <c r="T8" s="673" t="s">
        <v>53</v>
      </c>
      <c r="U8" s="671"/>
      <c r="V8" s="671"/>
    </row>
    <row r="9" spans="1:22" ht="16.5">
      <c r="A9" s="22" t="s">
        <v>54</v>
      </c>
      <c r="B9" s="23"/>
      <c r="C9" s="32">
        <v>13.585000000000001</v>
      </c>
      <c r="D9" s="23" t="s">
        <v>47</v>
      </c>
      <c r="E9" s="671"/>
      <c r="F9" s="671"/>
      <c r="G9" s="25" t="s">
        <v>55</v>
      </c>
      <c r="H9" s="26">
        <v>9.2696822298225912E-12</v>
      </c>
      <c r="I9" s="27">
        <v>29067026.944583628</v>
      </c>
      <c r="J9" s="27">
        <f>P34+Q34+R34</f>
        <v>-4.9876638697523559</v>
      </c>
      <c r="K9" s="671"/>
      <c r="L9" s="671"/>
      <c r="M9" s="671"/>
      <c r="N9" s="671"/>
      <c r="O9" s="675" t="s">
        <v>56</v>
      </c>
      <c r="P9" s="33" t="s">
        <v>57</v>
      </c>
      <c r="T9" s="674"/>
      <c r="U9" s="12" t="s">
        <v>58</v>
      </c>
      <c r="V9" s="12" t="s">
        <v>59</v>
      </c>
    </row>
    <row r="10" spans="1:22">
      <c r="A10" s="671"/>
      <c r="B10" s="671"/>
      <c r="C10" s="671"/>
      <c r="D10" s="671"/>
      <c r="E10" s="671"/>
      <c r="F10" s="671"/>
      <c r="G10" s="18" t="s">
        <v>60</v>
      </c>
      <c r="H10" s="19">
        <v>3.740286711514543E-10</v>
      </c>
      <c r="I10" s="20">
        <v>15487560339.216837</v>
      </c>
      <c r="J10" s="20">
        <v>-3.6766620194601187</v>
      </c>
      <c r="K10" s="671"/>
      <c r="L10" s="671"/>
      <c r="M10" s="671"/>
      <c r="N10" s="34" t="s">
        <v>61</v>
      </c>
      <c r="O10" s="675"/>
      <c r="P10" s="671"/>
      <c r="T10" s="674"/>
      <c r="U10" s="12" t="s">
        <v>62</v>
      </c>
      <c r="V10" s="12" t="s">
        <v>62</v>
      </c>
    </row>
    <row r="11" spans="1:22" ht="23.15" customHeight="1">
      <c r="A11" s="35" t="s">
        <v>63</v>
      </c>
      <c r="B11" s="671"/>
      <c r="C11" s="671"/>
      <c r="D11" s="671"/>
      <c r="E11" s="671"/>
      <c r="F11" s="671"/>
      <c r="G11" s="18" t="s">
        <v>64</v>
      </c>
      <c r="H11" s="19">
        <v>4.8011499179936219E-9</v>
      </c>
      <c r="I11" s="20">
        <v>3494000656.0896826</v>
      </c>
      <c r="J11" s="20">
        <v>-2.8675005472329942</v>
      </c>
      <c r="K11" s="671"/>
      <c r="L11" s="671"/>
      <c r="M11" s="671"/>
      <c r="N11" s="36" t="s">
        <v>65</v>
      </c>
      <c r="O11" s="37">
        <v>0.42</v>
      </c>
      <c r="P11" s="20">
        <f>LOG10(O11)</f>
        <v>-0.37675070960209955</v>
      </c>
      <c r="T11" s="38">
        <v>9.2018834406310916E-3</v>
      </c>
      <c r="U11" s="37">
        <v>10</v>
      </c>
      <c r="V11" s="671">
        <v>1.6100000000000001E-3</v>
      </c>
    </row>
    <row r="12" spans="1:22">
      <c r="A12" s="671"/>
      <c r="B12" s="671"/>
      <c r="C12" s="23"/>
      <c r="D12" s="671"/>
      <c r="E12" s="671"/>
      <c r="F12" s="671"/>
      <c r="G12" s="18" t="s">
        <v>66</v>
      </c>
      <c r="H12" s="19">
        <v>5.7046341927317466E-12</v>
      </c>
      <c r="I12" s="20">
        <v>210549014.64339387</v>
      </c>
      <c r="J12" s="20">
        <v>-5.0028362977917249</v>
      </c>
      <c r="K12" s="671"/>
      <c r="L12" s="671"/>
      <c r="M12" s="671"/>
      <c r="N12" s="36" t="s">
        <v>67</v>
      </c>
      <c r="O12" s="37">
        <v>0.7</v>
      </c>
      <c r="P12" s="20">
        <f>LOG10(O12)</f>
        <v>-0.15490195998574319</v>
      </c>
      <c r="T12" s="38">
        <v>1.4722364891327539E-2</v>
      </c>
      <c r="U12" s="37">
        <v>10</v>
      </c>
      <c r="V12" s="671">
        <v>1.3300000000000001E-2</v>
      </c>
    </row>
    <row r="13" spans="1:22" ht="15" thickBot="1">
      <c r="A13" s="671"/>
      <c r="B13" s="671"/>
      <c r="C13" s="23"/>
      <c r="D13" s="671"/>
      <c r="E13" s="671"/>
      <c r="F13" s="671"/>
      <c r="G13" s="18" t="s">
        <v>68</v>
      </c>
      <c r="H13" s="19">
        <v>3.3127968303010591E-9</v>
      </c>
      <c r="I13" s="20">
        <v>2864723566.2314734</v>
      </c>
      <c r="J13" s="20">
        <v>-2.9851403868693729</v>
      </c>
      <c r="K13" s="671"/>
      <c r="L13" s="671"/>
      <c r="M13" s="671"/>
      <c r="N13" s="36" t="s">
        <v>69</v>
      </c>
      <c r="O13" s="37">
        <v>0.97999999999999987</v>
      </c>
      <c r="P13" s="20">
        <f>LOG10(O13)</f>
        <v>-8.7739243075052008E-3</v>
      </c>
      <c r="T13" s="39">
        <v>2.0063900723890426E-2</v>
      </c>
      <c r="U13" s="37">
        <v>10</v>
      </c>
      <c r="V13" s="671">
        <v>4.48E-2</v>
      </c>
    </row>
    <row r="14" spans="1:22">
      <c r="A14" s="671"/>
      <c r="B14" s="671"/>
      <c r="C14" s="671"/>
      <c r="D14" s="671"/>
      <c r="E14" s="671"/>
      <c r="F14" s="671"/>
      <c r="G14" s="40" t="s">
        <v>70</v>
      </c>
      <c r="H14" s="41">
        <v>2.8867876130930012E-12</v>
      </c>
      <c r="I14" s="42">
        <v>965180.9720474697</v>
      </c>
      <c r="J14" s="43" t="s">
        <v>71</v>
      </c>
      <c r="K14" s="671"/>
      <c r="L14" s="671"/>
      <c r="M14" s="671"/>
      <c r="N14" s="671"/>
      <c r="O14" s="671"/>
      <c r="P14" s="671"/>
      <c r="Q14" s="671"/>
      <c r="T14" s="671"/>
      <c r="U14" s="671"/>
      <c r="V14" s="671"/>
    </row>
    <row r="15" spans="1:22" ht="15" thickBot="1">
      <c r="A15" s="671"/>
      <c r="B15" s="671"/>
      <c r="C15" s="671"/>
      <c r="D15" s="671"/>
      <c r="E15" s="671"/>
      <c r="F15" s="671"/>
      <c r="G15" s="671"/>
      <c r="H15" s="20"/>
      <c r="I15" s="671"/>
      <c r="J15" s="671"/>
      <c r="K15" s="671"/>
      <c r="L15" s="671"/>
      <c r="M15" s="671"/>
      <c r="N15" s="671"/>
      <c r="O15" s="671"/>
      <c r="P15" s="671"/>
      <c r="Q15" s="671"/>
      <c r="R15" s="671"/>
      <c r="S15" s="671"/>
      <c r="T15" s="671"/>
      <c r="U15" s="671"/>
      <c r="V15" s="671"/>
    </row>
    <row r="16" spans="1:22">
      <c r="A16" s="44" t="s">
        <v>72</v>
      </c>
      <c r="B16" s="45"/>
      <c r="C16" s="45"/>
      <c r="D16" s="45"/>
      <c r="E16" s="46"/>
      <c r="G16" s="44" t="s">
        <v>73</v>
      </c>
      <c r="H16" s="45"/>
      <c r="I16" s="45"/>
      <c r="J16" s="45"/>
      <c r="K16" s="45"/>
      <c r="L16" s="46"/>
      <c r="M16" s="671"/>
      <c r="N16" s="44" t="s">
        <v>74</v>
      </c>
      <c r="O16" s="45"/>
      <c r="P16" s="45"/>
      <c r="Q16" s="45"/>
      <c r="R16" s="46"/>
      <c r="S16" s="671"/>
      <c r="T16" s="671"/>
      <c r="U16" s="671"/>
      <c r="V16" s="671"/>
    </row>
    <row r="17" spans="1:27">
      <c r="A17" s="47" t="s">
        <v>75</v>
      </c>
      <c r="B17" s="671"/>
      <c r="C17" s="671"/>
      <c r="D17" s="671"/>
      <c r="E17" s="48"/>
      <c r="G17" s="49" t="s">
        <v>76</v>
      </c>
      <c r="H17" s="671"/>
      <c r="I17" s="671"/>
      <c r="J17" s="671"/>
      <c r="K17" s="671"/>
      <c r="L17" s="48"/>
      <c r="M17" s="671"/>
      <c r="N17" s="47" t="s">
        <v>77</v>
      </c>
      <c r="O17" s="671"/>
      <c r="P17" s="671"/>
      <c r="Q17" s="671"/>
      <c r="R17" s="48"/>
      <c r="S17" s="671"/>
      <c r="T17" s="671"/>
    </row>
    <row r="18" spans="1:27">
      <c r="A18" s="49" t="s">
        <v>78</v>
      </c>
      <c r="B18" s="671"/>
      <c r="C18" s="671"/>
      <c r="D18" s="671"/>
      <c r="E18" s="48"/>
      <c r="G18" s="49"/>
      <c r="H18" s="671"/>
      <c r="I18" s="671"/>
      <c r="J18" s="671"/>
      <c r="K18" s="671"/>
      <c r="L18" s="48"/>
      <c r="M18" s="671"/>
      <c r="N18" s="49"/>
      <c r="O18" s="671"/>
      <c r="P18" s="671"/>
      <c r="Q18" s="671"/>
      <c r="R18" s="48"/>
      <c r="S18" s="671"/>
      <c r="T18" s="671"/>
    </row>
    <row r="19" spans="1:27">
      <c r="A19" s="49"/>
      <c r="B19" s="671"/>
      <c r="C19" s="671"/>
      <c r="D19" s="671"/>
      <c r="E19" s="48"/>
      <c r="G19" s="49" t="s">
        <v>79</v>
      </c>
      <c r="H19" s="671"/>
      <c r="I19" s="671"/>
      <c r="J19" s="671"/>
      <c r="K19" s="671"/>
      <c r="L19" s="48"/>
      <c r="M19" s="671"/>
      <c r="N19" s="49"/>
      <c r="O19" s="671"/>
      <c r="P19" s="671"/>
      <c r="Q19" s="671"/>
      <c r="R19" s="48"/>
      <c r="S19" s="671"/>
      <c r="T19" s="671"/>
    </row>
    <row r="20" spans="1:27">
      <c r="A20" s="49"/>
      <c r="B20" s="671"/>
      <c r="C20" s="671"/>
      <c r="D20" s="671"/>
      <c r="E20" s="48"/>
      <c r="G20" s="49"/>
      <c r="H20" s="671"/>
      <c r="I20" s="671"/>
      <c r="J20" s="671"/>
      <c r="K20" s="671"/>
      <c r="L20" s="48"/>
      <c r="M20" s="671"/>
      <c r="N20" s="49"/>
      <c r="O20" s="671"/>
      <c r="P20" s="671"/>
      <c r="Q20" s="671"/>
      <c r="R20" s="48"/>
      <c r="S20" s="671"/>
      <c r="T20" s="671"/>
      <c r="U20" s="671"/>
    </row>
    <row r="21" spans="1:27">
      <c r="A21" s="49"/>
      <c r="B21" s="671"/>
      <c r="C21" s="671"/>
      <c r="D21" s="671"/>
      <c r="E21" s="48"/>
      <c r="G21" s="49"/>
      <c r="H21" s="671"/>
      <c r="I21" s="671"/>
      <c r="J21" s="671"/>
      <c r="K21" s="671"/>
      <c r="L21" s="48"/>
      <c r="M21" s="671"/>
      <c r="N21" s="676" t="s">
        <v>80</v>
      </c>
      <c r="O21" s="677"/>
      <c r="P21" s="677"/>
      <c r="Q21" s="677"/>
      <c r="R21" s="678"/>
      <c r="S21" s="671"/>
      <c r="T21" s="671"/>
      <c r="U21" s="671"/>
    </row>
    <row r="22" spans="1:27" ht="25" customHeight="1">
      <c r="A22" s="49"/>
      <c r="B22" s="671"/>
      <c r="C22" s="671"/>
      <c r="D22" s="671"/>
      <c r="E22" s="48"/>
      <c r="G22" s="49"/>
      <c r="H22" s="671"/>
      <c r="I22" s="671"/>
      <c r="J22" s="671"/>
      <c r="K22" s="671"/>
      <c r="L22" s="48"/>
      <c r="M22" s="671"/>
      <c r="N22" s="679"/>
      <c r="O22" s="677"/>
      <c r="P22" s="677"/>
      <c r="Q22" s="677"/>
      <c r="R22" s="678"/>
      <c r="S22" s="671"/>
      <c r="T22" s="671"/>
      <c r="U22" s="671"/>
    </row>
    <row r="23" spans="1:27">
      <c r="A23" s="680" t="s">
        <v>81</v>
      </c>
      <c r="B23" s="677"/>
      <c r="C23" s="671"/>
      <c r="D23" s="33" t="s">
        <v>82</v>
      </c>
      <c r="E23" s="48">
        <f>LOG10(C4)</f>
        <v>2.6217992240026677</v>
      </c>
      <c r="G23" s="49"/>
      <c r="H23" s="671"/>
      <c r="I23" s="671"/>
      <c r="J23" s="671"/>
      <c r="K23" s="671"/>
      <c r="L23" s="48"/>
      <c r="M23" s="671"/>
      <c r="N23" s="50"/>
      <c r="O23" s="671"/>
      <c r="P23" s="671"/>
      <c r="Q23" s="671"/>
      <c r="R23" s="48"/>
      <c r="S23" s="671"/>
      <c r="T23" s="671"/>
      <c r="U23" s="671"/>
    </row>
    <row r="24" spans="1:27">
      <c r="A24" s="679"/>
      <c r="B24" s="677"/>
      <c r="C24" s="618"/>
      <c r="D24" s="671"/>
      <c r="E24" s="48"/>
      <c r="G24" s="681" t="s">
        <v>83</v>
      </c>
      <c r="H24" s="677"/>
      <c r="I24" s="677"/>
      <c r="J24" s="677"/>
      <c r="K24" s="677"/>
      <c r="L24" s="51"/>
      <c r="N24" s="50"/>
      <c r="R24" s="52"/>
    </row>
    <row r="25" spans="1:27">
      <c r="A25" s="679"/>
      <c r="B25" s="677"/>
      <c r="C25" s="618"/>
      <c r="D25" s="671"/>
      <c r="E25" s="48"/>
      <c r="G25" s="679"/>
      <c r="H25" s="677"/>
      <c r="I25" s="677"/>
      <c r="J25" s="677"/>
      <c r="K25" s="677"/>
      <c r="L25" s="51"/>
      <c r="N25" s="50"/>
      <c r="R25" s="52"/>
      <c r="U25" s="671"/>
    </row>
    <row r="26" spans="1:27">
      <c r="A26" s="679"/>
      <c r="B26" s="677"/>
      <c r="C26" s="618"/>
      <c r="D26" s="671"/>
      <c r="E26" s="53"/>
      <c r="G26" s="679"/>
      <c r="H26" s="677"/>
      <c r="I26" s="677"/>
      <c r="J26" s="677"/>
      <c r="K26" s="677"/>
      <c r="L26" s="51"/>
      <c r="N26" s="50"/>
      <c r="R26" s="52"/>
      <c r="U26" s="671"/>
    </row>
    <row r="27" spans="1:27">
      <c r="A27" s="54" t="s">
        <v>84</v>
      </c>
      <c r="B27" s="671"/>
      <c r="C27" s="671"/>
      <c r="D27" s="55" t="s">
        <v>85</v>
      </c>
      <c r="E27" s="53" t="s">
        <v>85</v>
      </c>
      <c r="G27" s="679"/>
      <c r="H27" s="677"/>
      <c r="I27" s="677"/>
      <c r="J27" s="677"/>
      <c r="K27" s="677"/>
      <c r="L27" s="48"/>
      <c r="M27" s="671"/>
      <c r="N27" s="50"/>
      <c r="R27" s="48"/>
      <c r="S27" s="671" t="s">
        <v>65</v>
      </c>
      <c r="T27" s="671" t="s">
        <v>67</v>
      </c>
      <c r="U27" s="671" t="s">
        <v>69</v>
      </c>
      <c r="V27" s="671" t="s">
        <v>65</v>
      </c>
      <c r="W27" s="671" t="s">
        <v>67</v>
      </c>
      <c r="X27" s="671" t="s">
        <v>69</v>
      </c>
      <c r="Y27" s="671" t="s">
        <v>65</v>
      </c>
      <c r="Z27" s="671" t="s">
        <v>67</v>
      </c>
      <c r="AA27" s="671" t="s">
        <v>69</v>
      </c>
    </row>
    <row r="28" spans="1:27">
      <c r="A28" s="54"/>
      <c r="B28" s="671"/>
      <c r="C28" s="671"/>
      <c r="D28" s="56">
        <v>295.39999999999998</v>
      </c>
      <c r="E28" s="57">
        <v>310.2</v>
      </c>
      <c r="G28" s="49"/>
      <c r="H28" s="671"/>
      <c r="I28" s="671"/>
      <c r="J28" s="671"/>
      <c r="K28" s="671"/>
      <c r="L28" s="48"/>
      <c r="M28" s="671"/>
      <c r="N28" s="50"/>
      <c r="R28" s="48"/>
      <c r="S28" s="671" t="s">
        <v>86</v>
      </c>
      <c r="T28" s="671" t="s">
        <v>86</v>
      </c>
      <c r="U28" s="671" t="s">
        <v>86</v>
      </c>
      <c r="V28" s="671" t="s">
        <v>86</v>
      </c>
      <c r="W28" s="671" t="s">
        <v>86</v>
      </c>
      <c r="X28" s="671" t="s">
        <v>86</v>
      </c>
      <c r="Y28" s="671" t="s">
        <v>86</v>
      </c>
      <c r="Z28" s="671" t="s">
        <v>86</v>
      </c>
      <c r="AA28" s="671" t="s">
        <v>86</v>
      </c>
    </row>
    <row r="29" spans="1:27" ht="16.5">
      <c r="A29" s="58" t="s">
        <v>87</v>
      </c>
      <c r="B29" s="59" t="s">
        <v>88</v>
      </c>
      <c r="C29" s="60" t="s">
        <v>89</v>
      </c>
      <c r="D29" s="61" t="s">
        <v>90</v>
      </c>
      <c r="E29" s="62" t="s">
        <v>91</v>
      </c>
      <c r="G29" s="50"/>
      <c r="H29" s="63" t="s">
        <v>92</v>
      </c>
      <c r="J29" s="671"/>
      <c r="K29" s="671"/>
      <c r="L29" s="48"/>
      <c r="M29" s="671"/>
      <c r="N29" s="58" t="s">
        <v>87</v>
      </c>
      <c r="O29" s="64" t="s">
        <v>93</v>
      </c>
      <c r="P29" s="64" t="s">
        <v>94</v>
      </c>
      <c r="Q29" s="64" t="s">
        <v>95</v>
      </c>
      <c r="R29" s="65" t="s">
        <v>96</v>
      </c>
      <c r="S29" s="66" t="s">
        <v>97</v>
      </c>
      <c r="T29" s="66" t="s">
        <v>97</v>
      </c>
      <c r="U29" s="66" t="s">
        <v>97</v>
      </c>
      <c r="V29" s="12" t="s">
        <v>98</v>
      </c>
      <c r="W29" s="12" t="s">
        <v>98</v>
      </c>
      <c r="X29" s="12" t="s">
        <v>98</v>
      </c>
      <c r="Y29" s="12" t="s">
        <v>99</v>
      </c>
      <c r="Z29" s="12" t="s">
        <v>99</v>
      </c>
      <c r="AA29" s="12" t="s">
        <v>99</v>
      </c>
    </row>
    <row r="30" spans="1:27">
      <c r="A30" s="67" t="s">
        <v>100</v>
      </c>
      <c r="B30" s="68">
        <v>1.1672793116863847</v>
      </c>
      <c r="C30" s="69">
        <v>0</v>
      </c>
      <c r="D30" s="70">
        <f>10^(6.39 + (($C30-3486)/$D$28)-(2.49*$E$23)+$B30)</f>
        <v>1.6906409210150997E-11</v>
      </c>
      <c r="E30" s="71">
        <f>10^(6.39 + (($C30-3486)/$D$28)-(2.49*$E$23)+$B30)</f>
        <v>1.6906409210150997E-11</v>
      </c>
      <c r="G30" s="50"/>
      <c r="J30" s="671"/>
      <c r="K30" s="671"/>
      <c r="L30" s="48"/>
      <c r="M30" s="671"/>
      <c r="N30" s="67" t="s">
        <v>100</v>
      </c>
      <c r="O30" s="72">
        <v>-6.2089117812253294</v>
      </c>
      <c r="P30" s="73">
        <v>3.23</v>
      </c>
      <c r="Q30" s="74">
        <f>0.73*O30</f>
        <v>-4.5325056002944901</v>
      </c>
      <c r="R30" s="75">
        <f>-0.06*$C$7</f>
        <v>-0.56219999999999992</v>
      </c>
      <c r="S30" s="76"/>
      <c r="T30" s="76"/>
      <c r="U30" s="76"/>
    </row>
    <row r="31" spans="1:27">
      <c r="A31" s="67" t="s">
        <v>30</v>
      </c>
      <c r="B31" s="68">
        <v>-1.2267692780916208</v>
      </c>
      <c r="C31" s="69">
        <v>0</v>
      </c>
      <c r="D31" s="70">
        <f t="shared" ref="D31:E59" si="0">10^(6.39 + (($C31-3486)/$D$28)-(2.49*$E$23)+$B31)</f>
        <v>6.8234307268457094E-14</v>
      </c>
      <c r="E31" s="71">
        <f t="shared" si="0"/>
        <v>6.8234307268457094E-14</v>
      </c>
      <c r="G31" s="77" t="s">
        <v>101</v>
      </c>
      <c r="J31" s="671"/>
      <c r="K31" s="671"/>
      <c r="L31" s="48"/>
      <c r="M31" s="671"/>
      <c r="N31" s="67" t="s">
        <v>30</v>
      </c>
      <c r="O31" s="72">
        <v>-8.602960371003336</v>
      </c>
      <c r="P31" s="73">
        <v>3.23</v>
      </c>
      <c r="Q31" s="74">
        <f t="shared" ref="Q31:Q59" si="1">0.73*O31</f>
        <v>-6.2801610708324347</v>
      </c>
      <c r="R31" s="75">
        <f t="shared" ref="R31:R59" si="2">-0.06*$C$7</f>
        <v>-0.56219999999999992</v>
      </c>
      <c r="S31" s="76"/>
      <c r="T31" s="76"/>
      <c r="U31" s="76"/>
    </row>
    <row r="32" spans="1:27">
      <c r="A32" s="67" t="s">
        <v>102</v>
      </c>
      <c r="B32" s="68">
        <v>0.32957171828715098</v>
      </c>
      <c r="C32" s="69">
        <v>0</v>
      </c>
      <c r="D32" s="70">
        <f t="shared" si="0"/>
        <v>2.4566528082967383E-12</v>
      </c>
      <c r="E32" s="71">
        <f t="shared" si="0"/>
        <v>2.4566528082967383E-12</v>
      </c>
      <c r="G32" s="49" t="s">
        <v>103</v>
      </c>
      <c r="H32" s="7"/>
      <c r="I32" s="7"/>
      <c r="J32" s="671"/>
      <c r="K32" s="671"/>
      <c r="L32" s="48"/>
      <c r="M32" s="671"/>
      <c r="N32" s="67" t="s">
        <v>102</v>
      </c>
      <c r="O32" s="72">
        <v>-7.0466193746245622</v>
      </c>
      <c r="P32" s="73">
        <v>3.23</v>
      </c>
      <c r="Q32" s="74">
        <f t="shared" si="1"/>
        <v>-5.14403214347593</v>
      </c>
      <c r="R32" s="75">
        <f t="shared" si="2"/>
        <v>-0.56219999999999992</v>
      </c>
      <c r="S32" s="76"/>
      <c r="T32" s="76"/>
      <c r="U32" s="76"/>
    </row>
    <row r="33" spans="1:27">
      <c r="A33" s="67" t="s">
        <v>104</v>
      </c>
      <c r="B33" s="68">
        <v>-6.3227435094369584</v>
      </c>
      <c r="C33" s="69">
        <v>1675.913916901716</v>
      </c>
      <c r="D33" s="70">
        <f t="shared" si="0"/>
        <v>2.5786949726975867E-13</v>
      </c>
      <c r="E33" s="71">
        <f t="shared" si="0"/>
        <v>2.5786949726975867E-13</v>
      </c>
      <c r="G33" s="50"/>
      <c r="H33" s="36" t="s">
        <v>105</v>
      </c>
      <c r="I33" s="78">
        <v>65.7</v>
      </c>
      <c r="J33" s="671"/>
      <c r="K33" s="33" t="s">
        <v>106</v>
      </c>
      <c r="L33" s="62">
        <v>3.9697308350248837</v>
      </c>
      <c r="M33" s="671"/>
      <c r="N33" s="67" t="s">
        <v>104</v>
      </c>
      <c r="O33" s="72">
        <v>-8.2962462822270862</v>
      </c>
      <c r="P33" s="73">
        <v>3.23</v>
      </c>
      <c r="Q33" s="74">
        <f t="shared" si="1"/>
        <v>-6.0562597860257723</v>
      </c>
      <c r="R33" s="75">
        <f t="shared" si="2"/>
        <v>-0.56219999999999992</v>
      </c>
      <c r="S33" s="76"/>
      <c r="T33" s="76"/>
      <c r="U33" s="76"/>
    </row>
    <row r="34" spans="1:27">
      <c r="A34" s="67" t="s">
        <v>107</v>
      </c>
      <c r="B34" s="68">
        <v>-8.5134340350898139</v>
      </c>
      <c r="C34" s="69">
        <v>1675.913916901716</v>
      </c>
      <c r="D34" s="70">
        <f t="shared" si="0"/>
        <v>1.6623001647714646E-15</v>
      </c>
      <c r="E34" s="71">
        <f t="shared" si="0"/>
        <v>1.6623001647714646E-15</v>
      </c>
      <c r="G34" s="77"/>
      <c r="L34" s="52"/>
      <c r="M34" s="671"/>
      <c r="N34" s="79" t="s">
        <v>107</v>
      </c>
      <c r="O34" s="80">
        <v>-10.486936807879941</v>
      </c>
      <c r="P34" s="81">
        <v>3.23</v>
      </c>
      <c r="Q34" s="82">
        <f t="shared" si="1"/>
        <v>-7.6554638697523565</v>
      </c>
      <c r="R34" s="83">
        <f t="shared" si="2"/>
        <v>-0.56219999999999992</v>
      </c>
      <c r="S34" s="76">
        <f>0.92*$P$11</f>
        <v>-0.34661065283393161</v>
      </c>
      <c r="T34" s="76">
        <f>0.92*$P$12</f>
        <v>-0.14250980318688375</v>
      </c>
      <c r="U34" s="76">
        <f>0.92*$P$13</f>
        <v>-8.0720103629047853E-3</v>
      </c>
      <c r="V34" s="20">
        <f>P34+Q34+R34+S34</f>
        <v>-5.3342745225862878</v>
      </c>
      <c r="W34" s="20">
        <f>P34+Q34+R34+T34</f>
        <v>-5.1301736729392395</v>
      </c>
      <c r="X34" s="20">
        <f>P34+Q34+R34+U34</f>
        <v>-4.9957358801152605</v>
      </c>
      <c r="Y34" s="20">
        <f>10^V34</f>
        <v>4.6315406212454417E-6</v>
      </c>
      <c r="Z34" s="20">
        <f t="shared" ref="Z34:AA34" si="3">10^W34</f>
        <v>7.4101385303251237E-6</v>
      </c>
      <c r="AA34" s="20">
        <f t="shared" si="3"/>
        <v>1.0098668584847996E-5</v>
      </c>
    </row>
    <row r="35" spans="1:27">
      <c r="A35" s="67" t="s">
        <v>108</v>
      </c>
      <c r="B35" s="68">
        <v>2.0357586846114133</v>
      </c>
      <c r="C35" s="69">
        <v>-2391.1523629446024</v>
      </c>
      <c r="D35" s="70">
        <f t="shared" si="0"/>
        <v>1.0043967125475328E-18</v>
      </c>
      <c r="E35" s="71">
        <f t="shared" si="0"/>
        <v>1.0043967125475328E-18</v>
      </c>
      <c r="G35" s="50"/>
      <c r="I35" s="37" t="s">
        <v>85</v>
      </c>
      <c r="J35" s="671"/>
      <c r="K35" s="671"/>
      <c r="L35" s="48"/>
      <c r="M35" s="671"/>
      <c r="N35" s="67" t="s">
        <v>108</v>
      </c>
      <c r="O35" s="72">
        <v>-13.048853952286766</v>
      </c>
      <c r="P35" s="73">
        <v>3.23</v>
      </c>
      <c r="Q35" s="74">
        <f t="shared" si="1"/>
        <v>-9.5256633851693397</v>
      </c>
      <c r="R35" s="75">
        <f t="shared" si="2"/>
        <v>-0.56219999999999992</v>
      </c>
      <c r="S35" s="76"/>
      <c r="T35" s="76"/>
      <c r="U35" s="76"/>
    </row>
    <row r="36" spans="1:27">
      <c r="A36" s="67" t="s">
        <v>109</v>
      </c>
      <c r="B36" s="68">
        <v>-8.5702143619254709</v>
      </c>
      <c r="C36" s="69">
        <v>0</v>
      </c>
      <c r="D36" s="70">
        <f>10^(6.39 + (($C36-3486)/$D$28)-(2.49*$E$23)+$B36)</f>
        <v>3.0942664112172391E-21</v>
      </c>
      <c r="E36" s="71">
        <f t="shared" si="0"/>
        <v>3.0942664112172391E-21</v>
      </c>
      <c r="G36" s="50"/>
      <c r="I36" s="84">
        <v>295.39999999999998</v>
      </c>
      <c r="J36" s="671"/>
      <c r="K36" s="671"/>
      <c r="L36" s="48"/>
      <c r="M36" s="671"/>
      <c r="N36" s="67" t="s">
        <v>109</v>
      </c>
      <c r="O36" s="72">
        <v>-15.946405454837183</v>
      </c>
      <c r="P36" s="73">
        <v>3.23</v>
      </c>
      <c r="Q36" s="74">
        <f t="shared" si="1"/>
        <v>-11.640875982031144</v>
      </c>
      <c r="R36" s="75">
        <f t="shared" si="2"/>
        <v>-0.56219999999999992</v>
      </c>
      <c r="S36" s="76"/>
      <c r="T36" s="76"/>
      <c r="U36" s="76"/>
    </row>
    <row r="37" spans="1:27">
      <c r="A37" s="67" t="s">
        <v>110</v>
      </c>
      <c r="B37" s="68">
        <v>-1.2379363896405635</v>
      </c>
      <c r="C37" s="69">
        <v>1675.913916901716</v>
      </c>
      <c r="D37" s="70">
        <f t="shared" si="0"/>
        <v>3.134780188288628E-8</v>
      </c>
      <c r="E37" s="71">
        <f t="shared" si="0"/>
        <v>3.134780188288628E-8</v>
      </c>
      <c r="G37" s="58" t="s">
        <v>87</v>
      </c>
      <c r="H37" s="59" t="s">
        <v>88</v>
      </c>
      <c r="I37" s="85" t="s">
        <v>27</v>
      </c>
      <c r="J37" s="671"/>
      <c r="K37" s="671"/>
      <c r="L37" s="48"/>
      <c r="M37" s="671"/>
      <c r="N37" s="67" t="s">
        <v>110</v>
      </c>
      <c r="O37" s="72">
        <v>-3.2114391624306911</v>
      </c>
      <c r="P37" s="73">
        <v>3.23</v>
      </c>
      <c r="Q37" s="74">
        <f t="shared" si="1"/>
        <v>-2.3443505885744043</v>
      </c>
      <c r="R37" s="75">
        <f t="shared" si="2"/>
        <v>-0.56219999999999992</v>
      </c>
      <c r="S37" s="76"/>
      <c r="T37" s="76"/>
      <c r="U37" s="76"/>
    </row>
    <row r="38" spans="1:27">
      <c r="A38" s="67" t="s">
        <v>111</v>
      </c>
      <c r="B38" s="68">
        <v>-5.7702511818254534</v>
      </c>
      <c r="C38" s="69">
        <v>1675.913916901716</v>
      </c>
      <c r="D38" s="70">
        <f t="shared" si="0"/>
        <v>9.2022134175029416E-13</v>
      </c>
      <c r="E38" s="71">
        <f t="shared" si="0"/>
        <v>9.2022134175029416E-13</v>
      </c>
      <c r="G38" s="67" t="s">
        <v>30</v>
      </c>
      <c r="H38" s="68">
        <v>1.9666623193803938</v>
      </c>
      <c r="I38" s="20">
        <v>13974340204.023058</v>
      </c>
      <c r="J38" s="671"/>
      <c r="K38" s="671"/>
      <c r="L38" s="48"/>
      <c r="M38" s="671"/>
      <c r="N38" s="67" t="s">
        <v>111</v>
      </c>
      <c r="O38" s="72">
        <v>-7.7437539546155802</v>
      </c>
      <c r="P38" s="73">
        <v>3.23</v>
      </c>
      <c r="Q38" s="74">
        <f t="shared" si="1"/>
        <v>-5.6529403868693731</v>
      </c>
      <c r="R38" s="75">
        <f t="shared" si="2"/>
        <v>-0.56219999999999992</v>
      </c>
      <c r="S38" s="76"/>
      <c r="T38" s="76"/>
      <c r="U38" s="76"/>
    </row>
    <row r="39" spans="1:27">
      <c r="A39" s="67" t="s">
        <v>112</v>
      </c>
      <c r="B39" s="68">
        <v>5.1131360272480242</v>
      </c>
      <c r="C39" s="69">
        <v>-2391.1523629446024</v>
      </c>
      <c r="D39" s="70">
        <f t="shared" si="0"/>
        <v>1.20028015366724E-15</v>
      </c>
      <c r="E39" s="71">
        <f t="shared" si="0"/>
        <v>1.20028015366724E-15</v>
      </c>
      <c r="G39" s="67" t="s">
        <v>113</v>
      </c>
      <c r="H39" s="68">
        <v>0.72316939780052036</v>
      </c>
      <c r="I39" s="20">
        <v>797697792.70809901</v>
      </c>
      <c r="J39" s="671"/>
      <c r="K39" s="671"/>
      <c r="L39" s="48"/>
      <c r="M39" s="671"/>
      <c r="N39" s="67" t="s">
        <v>112</v>
      </c>
      <c r="O39" s="72">
        <v>-9.9714766096501535</v>
      </c>
      <c r="P39" s="73">
        <v>3.23</v>
      </c>
      <c r="Q39" s="74">
        <f t="shared" si="1"/>
        <v>-7.2791779250446123</v>
      </c>
      <c r="R39" s="75">
        <f t="shared" si="2"/>
        <v>-0.56219999999999992</v>
      </c>
      <c r="S39" s="76"/>
      <c r="T39" s="76"/>
      <c r="U39" s="76"/>
    </row>
    <row r="40" spans="1:27">
      <c r="A40" s="67" t="s">
        <v>114</v>
      </c>
      <c r="B40" s="68">
        <v>-7.1128757073081221</v>
      </c>
      <c r="C40" s="69">
        <v>0</v>
      </c>
      <c r="D40" s="70">
        <f t="shared" si="0"/>
        <v>8.8694432161139089E-20</v>
      </c>
      <c r="E40" s="71">
        <f t="shared" si="0"/>
        <v>8.8694432161139089E-20</v>
      </c>
      <c r="G40" s="67" t="s">
        <v>115</v>
      </c>
      <c r="H40" s="68">
        <v>1.1096573129739258</v>
      </c>
      <c r="I40" s="20">
        <v>1942344702.75402</v>
      </c>
      <c r="J40" s="671"/>
      <c r="K40" s="671"/>
      <c r="L40" s="48"/>
      <c r="M40" s="671"/>
      <c r="N40" s="67" t="s">
        <v>114</v>
      </c>
      <c r="O40" s="72">
        <v>-14.489066800219836</v>
      </c>
      <c r="P40" s="73">
        <v>3.23</v>
      </c>
      <c r="Q40" s="74">
        <f t="shared" si="1"/>
        <v>-10.57701876416048</v>
      </c>
      <c r="R40" s="75">
        <f t="shared" si="2"/>
        <v>-0.56219999999999992</v>
      </c>
      <c r="S40" s="76"/>
      <c r="T40" s="76"/>
      <c r="U40" s="76"/>
    </row>
    <row r="41" spans="1:27">
      <c r="A41" s="67" t="s">
        <v>116</v>
      </c>
      <c r="B41" s="68">
        <v>-7.7256651673126164</v>
      </c>
      <c r="C41" s="69">
        <v>0</v>
      </c>
      <c r="D41" s="70">
        <f t="shared" si="0"/>
        <v>2.163250922668618E-20</v>
      </c>
      <c r="E41" s="71">
        <f t="shared" si="0"/>
        <v>2.163250922668618E-20</v>
      </c>
      <c r="G41" s="67" t="s">
        <v>117</v>
      </c>
      <c r="H41" s="68">
        <v>2.2011639114007218</v>
      </c>
      <c r="I41" s="20">
        <v>23979101385.625973</v>
      </c>
      <c r="J41" s="671"/>
      <c r="K41" s="671"/>
      <c r="L41" s="48"/>
      <c r="M41" s="671"/>
      <c r="N41" s="67" t="s">
        <v>116</v>
      </c>
      <c r="O41" s="72">
        <v>-15.101856260224332</v>
      </c>
      <c r="P41" s="73">
        <v>3.23</v>
      </c>
      <c r="Q41" s="74">
        <f t="shared" si="1"/>
        <v>-11.024355069963763</v>
      </c>
      <c r="R41" s="75">
        <f t="shared" si="2"/>
        <v>-0.56219999999999992</v>
      </c>
      <c r="S41" s="76"/>
      <c r="T41" s="76"/>
      <c r="U41" s="76"/>
    </row>
    <row r="42" spans="1:27">
      <c r="A42" s="67" t="s">
        <v>118</v>
      </c>
      <c r="B42" s="68">
        <v>-7.8449683830502401</v>
      </c>
      <c r="C42" s="69">
        <v>0</v>
      </c>
      <c r="D42" s="70">
        <f t="shared" si="0"/>
        <v>1.6436285707719819E-20</v>
      </c>
      <c r="E42" s="71">
        <f t="shared" si="0"/>
        <v>1.6436285707719819E-20</v>
      </c>
      <c r="G42" s="67" t="s">
        <v>119</v>
      </c>
      <c r="H42" s="68">
        <v>3.5001406439329217</v>
      </c>
      <c r="I42" s="20">
        <v>477320004953.16284</v>
      </c>
      <c r="J42" s="671"/>
      <c r="K42" s="671"/>
      <c r="L42" s="48"/>
      <c r="M42" s="671"/>
      <c r="N42" s="67" t="s">
        <v>118</v>
      </c>
      <c r="O42" s="72">
        <v>-15.221159475961954</v>
      </c>
      <c r="P42" s="73">
        <v>3.23</v>
      </c>
      <c r="Q42" s="74">
        <f t="shared" si="1"/>
        <v>-11.111446417452226</v>
      </c>
      <c r="R42" s="75">
        <f t="shared" si="2"/>
        <v>-0.56219999999999992</v>
      </c>
      <c r="S42" s="76"/>
      <c r="T42" s="76"/>
      <c r="U42" s="76"/>
    </row>
    <row r="43" spans="1:27">
      <c r="A43" s="67" t="s">
        <v>120</v>
      </c>
      <c r="B43" s="68">
        <v>-3.5990444885487189</v>
      </c>
      <c r="C43" s="69">
        <v>1675.913916901716</v>
      </c>
      <c r="D43" s="70">
        <f t="shared" si="0"/>
        <v>1.3648942194736185E-10</v>
      </c>
      <c r="E43" s="71">
        <f t="shared" si="0"/>
        <v>1.3648942194736185E-10</v>
      </c>
      <c r="G43" s="67" t="s">
        <v>121</v>
      </c>
      <c r="H43" s="68">
        <v>1.1142586217886847</v>
      </c>
      <c r="I43" s="20">
        <v>1963033062.6012914</v>
      </c>
      <c r="J43" s="671"/>
      <c r="K43" s="671"/>
      <c r="L43" s="48"/>
      <c r="M43" s="671"/>
      <c r="N43" s="67" t="s">
        <v>120</v>
      </c>
      <c r="O43" s="72">
        <v>-5.5725472613388449</v>
      </c>
      <c r="P43" s="73">
        <v>3.23</v>
      </c>
      <c r="Q43" s="74">
        <f t="shared" si="1"/>
        <v>-4.0679595007773566</v>
      </c>
      <c r="R43" s="75">
        <f t="shared" si="2"/>
        <v>-0.56219999999999992</v>
      </c>
      <c r="S43" s="76"/>
      <c r="T43" s="76"/>
      <c r="U43" s="76"/>
    </row>
    <row r="44" spans="1:27">
      <c r="A44" s="67" t="s">
        <v>122</v>
      </c>
      <c r="B44" s="68">
        <v>-6.7175410894840102</v>
      </c>
      <c r="C44" s="69">
        <v>1675.913916901716</v>
      </c>
      <c r="D44" s="70">
        <f t="shared" si="0"/>
        <v>1.0389685309762619E-13</v>
      </c>
      <c r="E44" s="71">
        <f t="shared" si="0"/>
        <v>1.0389685309762619E-13</v>
      </c>
      <c r="G44" s="67" t="s">
        <v>111</v>
      </c>
      <c r="H44" s="68">
        <v>1.2784137282096428</v>
      </c>
      <c r="I44" s="20">
        <v>2864723566.2314734</v>
      </c>
      <c r="J44" s="671"/>
      <c r="K44" s="671"/>
      <c r="L44" s="48"/>
      <c r="M44" s="671"/>
      <c r="N44" s="67" t="s">
        <v>122</v>
      </c>
      <c r="O44" s="72">
        <v>-8.6910438622741353</v>
      </c>
      <c r="P44" s="73">
        <v>3.23</v>
      </c>
      <c r="Q44" s="74">
        <f t="shared" si="1"/>
        <v>-6.3444620194601189</v>
      </c>
      <c r="R44" s="75">
        <f t="shared" si="2"/>
        <v>-0.56219999999999992</v>
      </c>
      <c r="S44" s="76"/>
      <c r="T44" s="76"/>
      <c r="U44" s="76"/>
    </row>
    <row r="45" spans="1:27">
      <c r="A45" s="67" t="s">
        <v>66</v>
      </c>
      <c r="B45" s="68">
        <v>-8.5342181830889476</v>
      </c>
      <c r="C45" s="69">
        <v>1675.913916901716</v>
      </c>
      <c r="D45" s="70">
        <f t="shared" si="0"/>
        <v>1.5846206090921518E-15</v>
      </c>
      <c r="E45" s="71">
        <f t="shared" si="0"/>
        <v>1.5846206090921518E-15</v>
      </c>
      <c r="G45" s="67" t="s">
        <v>123</v>
      </c>
      <c r="H45" s="68">
        <v>2.9205029589320466</v>
      </c>
      <c r="I45" s="20">
        <v>125652736569.73071</v>
      </c>
      <c r="J45" s="671"/>
      <c r="K45" s="671"/>
      <c r="L45" s="48"/>
      <c r="M45" s="671"/>
      <c r="N45" s="67" t="s">
        <v>66</v>
      </c>
      <c r="O45" s="72">
        <v>-10.507720955879075</v>
      </c>
      <c r="P45" s="73">
        <v>3.23</v>
      </c>
      <c r="Q45" s="74">
        <f t="shared" si="1"/>
        <v>-7.6706362977917246</v>
      </c>
      <c r="R45" s="75">
        <f t="shared" si="2"/>
        <v>-0.56219999999999992</v>
      </c>
      <c r="S45" s="76"/>
      <c r="T45" s="76"/>
      <c r="U45" s="76"/>
    </row>
    <row r="46" spans="1:27">
      <c r="A46" s="67" t="s">
        <v>124</v>
      </c>
      <c r="B46" s="68">
        <v>-5.6091007165701416</v>
      </c>
      <c r="C46" s="69">
        <v>1675.913916901716</v>
      </c>
      <c r="D46" s="70">
        <f t="shared" si="0"/>
        <v>1.3336527549982282E-12</v>
      </c>
      <c r="E46" s="71">
        <f t="shared" si="0"/>
        <v>1.3336527549982282E-12</v>
      </c>
      <c r="G46" s="67" t="s">
        <v>66</v>
      </c>
      <c r="H46" s="68">
        <v>0.14468422076350301</v>
      </c>
      <c r="I46" s="20">
        <v>210549014.64339387</v>
      </c>
      <c r="J46" s="671"/>
      <c r="K46" s="671"/>
      <c r="L46" s="48"/>
      <c r="M46" s="671"/>
      <c r="N46" s="67" t="s">
        <v>124</v>
      </c>
      <c r="O46" s="72">
        <v>-7.5826034893602667</v>
      </c>
      <c r="P46" s="73">
        <v>3.23</v>
      </c>
      <c r="Q46" s="74">
        <f t="shared" si="1"/>
        <v>-5.5353005472329944</v>
      </c>
      <c r="R46" s="75">
        <f t="shared" si="2"/>
        <v>-0.56219999999999992</v>
      </c>
      <c r="S46" s="76"/>
      <c r="T46" s="76"/>
      <c r="U46" s="76"/>
    </row>
    <row r="47" spans="1:27">
      <c r="A47" s="67" t="s">
        <v>125</v>
      </c>
      <c r="B47" s="68">
        <v>-5.3961963060869476</v>
      </c>
      <c r="C47" s="69">
        <v>0</v>
      </c>
      <c r="D47" s="70">
        <f t="shared" si="0"/>
        <v>4.6192956441207132E-18</v>
      </c>
      <c r="E47" s="71">
        <f t="shared" si="0"/>
        <v>4.6192956441207132E-18</v>
      </c>
      <c r="G47" s="67" t="s">
        <v>124</v>
      </c>
      <c r="H47" s="68">
        <v>1.3646539896713006</v>
      </c>
      <c r="I47" s="20">
        <v>3494000656.0896826</v>
      </c>
      <c r="J47" s="671"/>
      <c r="K47" s="671"/>
      <c r="L47" s="48"/>
      <c r="M47" s="671"/>
      <c r="N47" s="67" t="s">
        <v>125</v>
      </c>
      <c r="O47" s="72">
        <v>-12.77238739899866</v>
      </c>
      <c r="P47" s="73">
        <v>3.23</v>
      </c>
      <c r="Q47" s="74">
        <f t="shared" si="1"/>
        <v>-9.3238428012690218</v>
      </c>
      <c r="R47" s="75">
        <f t="shared" si="2"/>
        <v>-0.56219999999999992</v>
      </c>
      <c r="S47" s="76"/>
      <c r="T47" s="76"/>
      <c r="U47" s="76"/>
    </row>
    <row r="48" spans="1:27">
      <c r="A48" s="67" t="s">
        <v>126</v>
      </c>
      <c r="B48" s="68">
        <v>-4.9684919859754029</v>
      </c>
      <c r="C48" s="69">
        <v>0</v>
      </c>
      <c r="D48" s="70">
        <f t="shared" si="0"/>
        <v>1.2367447599835819E-17</v>
      </c>
      <c r="E48" s="71">
        <f t="shared" si="0"/>
        <v>1.2367447599835819E-17</v>
      </c>
      <c r="G48" s="67" t="s">
        <v>127</v>
      </c>
      <c r="H48" s="68">
        <v>0.60213654329802435</v>
      </c>
      <c r="I48" s="20">
        <v>603678259.64564252</v>
      </c>
      <c r="J48" s="671"/>
      <c r="K48" s="671"/>
      <c r="L48" s="48"/>
      <c r="M48" s="671"/>
      <c r="N48" s="67" t="s">
        <v>126</v>
      </c>
      <c r="O48" s="72">
        <v>-12.344683078887119</v>
      </c>
      <c r="P48" s="73">
        <v>3.23</v>
      </c>
      <c r="Q48" s="74">
        <f t="shared" si="1"/>
        <v>-9.0116186475875963</v>
      </c>
      <c r="R48" s="75">
        <f t="shared" si="2"/>
        <v>-0.56219999999999992</v>
      </c>
      <c r="S48" s="76"/>
      <c r="T48" s="76"/>
      <c r="U48" s="76"/>
    </row>
    <row r="49" spans="1:21">
      <c r="A49" s="67" t="s">
        <v>128</v>
      </c>
      <c r="B49" s="68">
        <v>-6.3141682579095706</v>
      </c>
      <c r="C49" s="69">
        <v>1675.913916901716</v>
      </c>
      <c r="D49" s="70">
        <f t="shared" si="0"/>
        <v>2.6301179491272588E-13</v>
      </c>
      <c r="E49" s="71">
        <f t="shared" si="0"/>
        <v>2.6301179491272588E-13</v>
      </c>
      <c r="G49" s="67" t="s">
        <v>129</v>
      </c>
      <c r="H49" s="68">
        <v>2.7276377647968642</v>
      </c>
      <c r="I49" s="20">
        <v>80594750900.253906</v>
      </c>
      <c r="J49" s="671"/>
      <c r="K49" s="671"/>
      <c r="L49" s="48"/>
      <c r="M49" s="671"/>
      <c r="N49" s="67" t="s">
        <v>128</v>
      </c>
      <c r="O49" s="72">
        <v>-8.2876710306996966</v>
      </c>
      <c r="P49" s="73">
        <v>3.23</v>
      </c>
      <c r="Q49" s="74">
        <f t="shared" si="1"/>
        <v>-6.0499998524107781</v>
      </c>
      <c r="R49" s="75">
        <f t="shared" si="2"/>
        <v>-0.56219999999999992</v>
      </c>
      <c r="S49" s="76"/>
      <c r="T49" s="76"/>
      <c r="U49" s="76"/>
    </row>
    <row r="50" spans="1:21">
      <c r="A50" s="67" t="s">
        <v>130</v>
      </c>
      <c r="B50" s="68">
        <v>-1.6482969179337801</v>
      </c>
      <c r="C50" s="69">
        <v>0</v>
      </c>
      <c r="D50" s="70">
        <f t="shared" si="0"/>
        <v>2.5850869007713684E-14</v>
      </c>
      <c r="E50" s="71">
        <f t="shared" si="0"/>
        <v>2.5850869007713684E-14</v>
      </c>
      <c r="G50" s="67" t="s">
        <v>131</v>
      </c>
      <c r="H50" s="68">
        <v>2.4493551811584453</v>
      </c>
      <c r="I50" s="20">
        <v>42464319976.33445</v>
      </c>
      <c r="J50" s="671"/>
      <c r="K50" s="671"/>
      <c r="L50" s="48"/>
      <c r="M50" s="671"/>
      <c r="N50" s="67" t="s">
        <v>130</v>
      </c>
      <c r="O50" s="72">
        <v>-9.0244880108454932</v>
      </c>
      <c r="P50" s="73">
        <v>3.23</v>
      </c>
      <c r="Q50" s="74">
        <f t="shared" si="1"/>
        <v>-6.5878762479172099</v>
      </c>
      <c r="R50" s="75">
        <f t="shared" si="2"/>
        <v>-0.56219999999999992</v>
      </c>
      <c r="S50" s="76"/>
      <c r="T50" s="76"/>
      <c r="U50" s="76"/>
    </row>
    <row r="51" spans="1:21">
      <c r="A51" s="67" t="s">
        <v>132</v>
      </c>
      <c r="B51" s="68">
        <v>-1.1634082618724917</v>
      </c>
      <c r="C51" s="69">
        <v>-2391.1523629446024</v>
      </c>
      <c r="D51" s="70">
        <f t="shared" si="0"/>
        <v>6.3494825808120198E-22</v>
      </c>
      <c r="E51" s="71">
        <f t="shared" si="0"/>
        <v>6.3494825808120198E-22</v>
      </c>
      <c r="G51" s="67" t="s">
        <v>133</v>
      </c>
      <c r="H51" s="68">
        <v>2.0592768178687799</v>
      </c>
      <c r="I51" s="20">
        <v>17296005328.067699</v>
      </c>
      <c r="J51" s="671"/>
      <c r="K51" s="671"/>
      <c r="L51" s="48"/>
      <c r="M51" s="671"/>
      <c r="N51" s="67" t="s">
        <v>132</v>
      </c>
      <c r="O51" s="72">
        <v>-16.248020898770672</v>
      </c>
      <c r="P51" s="73">
        <v>3.23</v>
      </c>
      <c r="Q51" s="74">
        <f t="shared" si="1"/>
        <v>-11.86105525610259</v>
      </c>
      <c r="R51" s="75">
        <f t="shared" si="2"/>
        <v>-0.56219999999999992</v>
      </c>
      <c r="S51" s="76"/>
      <c r="T51" s="76"/>
      <c r="U51" s="76"/>
    </row>
    <row r="52" spans="1:21">
      <c r="A52" s="67" t="s">
        <v>134</v>
      </c>
      <c r="B52" s="68">
        <v>0</v>
      </c>
      <c r="C52" s="69">
        <v>-2391.1523629446024</v>
      </c>
      <c r="D52" s="70">
        <f t="shared" si="0"/>
        <v>9.2501036244758995E-21</v>
      </c>
      <c r="E52" s="71">
        <f t="shared" si="0"/>
        <v>9.2501036244758995E-21</v>
      </c>
      <c r="G52" s="67" t="s">
        <v>135</v>
      </c>
      <c r="H52" s="68">
        <v>2.0758592424219944</v>
      </c>
      <c r="I52" s="20">
        <v>17969179000.638256</v>
      </c>
      <c r="J52" s="671"/>
      <c r="K52" s="671"/>
      <c r="L52" s="48"/>
      <c r="M52" s="671"/>
      <c r="N52" s="67" t="s">
        <v>134</v>
      </c>
      <c r="O52" s="72">
        <v>-15.08461263689818</v>
      </c>
      <c r="P52" s="73">
        <v>3.23</v>
      </c>
      <c r="Q52" s="74">
        <f t="shared" si="1"/>
        <v>-11.011767224935671</v>
      </c>
      <c r="R52" s="75">
        <f t="shared" si="2"/>
        <v>-0.56219999999999992</v>
      </c>
      <c r="S52" s="76"/>
      <c r="T52" s="76"/>
      <c r="U52" s="76"/>
    </row>
    <row r="53" spans="1:21">
      <c r="A53" s="67" t="s">
        <v>136</v>
      </c>
      <c r="B53" s="68">
        <v>-8.3233811372565256</v>
      </c>
      <c r="C53" s="69">
        <v>1675.913916901716</v>
      </c>
      <c r="D53" s="70">
        <f t="shared" si="0"/>
        <v>2.5749117305062755E-15</v>
      </c>
      <c r="E53" s="71">
        <f t="shared" si="0"/>
        <v>2.5749117305062755E-15</v>
      </c>
      <c r="G53" s="67" t="s">
        <v>137</v>
      </c>
      <c r="H53" s="68">
        <v>-0.71526837931712417</v>
      </c>
      <c r="I53" s="20">
        <v>29067026.944583628</v>
      </c>
      <c r="J53" s="671"/>
      <c r="K53" s="671"/>
      <c r="L53" s="48"/>
      <c r="M53" s="671"/>
      <c r="N53" s="67" t="s">
        <v>136</v>
      </c>
      <c r="O53" s="72">
        <v>-10.296883910046652</v>
      </c>
      <c r="P53" s="73">
        <v>3.23</v>
      </c>
      <c r="Q53" s="74">
        <f t="shared" si="1"/>
        <v>-7.5167252543340561</v>
      </c>
      <c r="R53" s="75">
        <f t="shared" si="2"/>
        <v>-0.56219999999999992</v>
      </c>
      <c r="S53" s="76"/>
      <c r="T53" s="76"/>
      <c r="U53" s="76"/>
    </row>
    <row r="54" spans="1:21">
      <c r="A54" s="67" t="s">
        <v>138</v>
      </c>
      <c r="B54" s="68">
        <v>-7.3456352697581382</v>
      </c>
      <c r="C54" s="69">
        <v>1675.913916901716</v>
      </c>
      <c r="D54" s="70">
        <f t="shared" si="0"/>
        <v>2.4462915392169328E-14</v>
      </c>
      <c r="E54" s="71">
        <f t="shared" si="0"/>
        <v>2.4462915392169328E-14</v>
      </c>
      <c r="G54" s="67" t="s">
        <v>139</v>
      </c>
      <c r="H54" s="86">
        <v>0</v>
      </c>
      <c r="I54" s="20">
        <v>150892965.05271903</v>
      </c>
      <c r="J54" s="671"/>
      <c r="K54" s="671"/>
      <c r="L54" s="48"/>
      <c r="M54" s="671"/>
      <c r="N54" s="67" t="s">
        <v>138</v>
      </c>
      <c r="O54" s="72">
        <v>-9.3191380425482659</v>
      </c>
      <c r="P54" s="73">
        <v>3.23</v>
      </c>
      <c r="Q54" s="74">
        <f t="shared" si="1"/>
        <v>-6.8029707710602336</v>
      </c>
      <c r="R54" s="75">
        <f t="shared" si="2"/>
        <v>-0.56219999999999992</v>
      </c>
      <c r="S54" s="76"/>
      <c r="T54" s="76"/>
      <c r="U54" s="76"/>
    </row>
    <row r="55" spans="1:21">
      <c r="A55" s="67" t="s">
        <v>140</v>
      </c>
      <c r="B55" s="68">
        <v>4.790627826020228</v>
      </c>
      <c r="C55" s="69">
        <v>-2391.1523629446024</v>
      </c>
      <c r="D55" s="70">
        <f t="shared" si="0"/>
        <v>5.7118188318091939E-16</v>
      </c>
      <c r="E55" s="71">
        <f t="shared" si="0"/>
        <v>5.7118188318091939E-16</v>
      </c>
      <c r="G55" s="67" t="s">
        <v>141</v>
      </c>
      <c r="H55" s="68">
        <v>1.0641316954688826</v>
      </c>
      <c r="I55" s="20">
        <v>1749043810.7400751</v>
      </c>
      <c r="J55" s="671"/>
      <c r="K55" s="671"/>
      <c r="L55" s="48"/>
      <c r="M55" s="671"/>
      <c r="N55" s="67" t="s">
        <v>140</v>
      </c>
      <c r="O55" s="72">
        <v>-10.293984810877951</v>
      </c>
      <c r="P55" s="73">
        <v>3.23</v>
      </c>
      <c r="Q55" s="74">
        <f t="shared" si="1"/>
        <v>-7.5146089119409041</v>
      </c>
      <c r="R55" s="75">
        <f t="shared" si="2"/>
        <v>-0.56219999999999992</v>
      </c>
      <c r="S55" s="76"/>
      <c r="T55" s="76"/>
      <c r="U55" s="76"/>
    </row>
    <row r="56" spans="1:21">
      <c r="A56" s="67" t="s">
        <v>142</v>
      </c>
      <c r="B56" s="68">
        <v>4.5281560541558319</v>
      </c>
      <c r="C56" s="69">
        <v>-2391.1523629446024</v>
      </c>
      <c r="D56" s="70">
        <f t="shared" si="0"/>
        <v>3.1210638403918173E-16</v>
      </c>
      <c r="E56" s="71">
        <f t="shared" si="0"/>
        <v>3.1210638403918173E-16</v>
      </c>
      <c r="G56" s="67" t="s">
        <v>143</v>
      </c>
      <c r="H56" s="68">
        <v>0.96707500152156955</v>
      </c>
      <c r="I56" s="20">
        <v>1398762543.2667451</v>
      </c>
      <c r="J56" s="671"/>
      <c r="K56" s="671"/>
      <c r="L56" s="48"/>
      <c r="M56" s="671"/>
      <c r="N56" s="67" t="s">
        <v>142</v>
      </c>
      <c r="O56" s="72">
        <v>-10.556456582742348</v>
      </c>
      <c r="P56" s="73">
        <v>3.23</v>
      </c>
      <c r="Q56" s="74">
        <f t="shared" si="1"/>
        <v>-7.7062133054019135</v>
      </c>
      <c r="R56" s="75">
        <f t="shared" si="2"/>
        <v>-0.56219999999999992</v>
      </c>
      <c r="S56" s="76"/>
      <c r="T56" s="76"/>
      <c r="U56" s="76"/>
    </row>
    <row r="57" spans="1:21">
      <c r="A57" s="67" t="s">
        <v>144</v>
      </c>
      <c r="B57" s="68">
        <v>-11.944357782475985</v>
      </c>
      <c r="C57" s="69">
        <v>1675.913916901716</v>
      </c>
      <c r="D57" s="70">
        <f t="shared" si="0"/>
        <v>6.1629082258926771E-19</v>
      </c>
      <c r="E57" s="71">
        <f t="shared" si="0"/>
        <v>6.1629082258926771E-19</v>
      </c>
      <c r="G57" s="67" t="s">
        <v>145</v>
      </c>
      <c r="H57" s="68">
        <v>2.0658582536438961</v>
      </c>
      <c r="I57" s="20">
        <v>17560110569.489304</v>
      </c>
      <c r="J57" s="671"/>
      <c r="K57" s="671"/>
      <c r="L57" s="48"/>
      <c r="M57" s="671"/>
      <c r="N57" s="67" t="s">
        <v>144</v>
      </c>
      <c r="O57" s="72">
        <v>-13.91786055526611</v>
      </c>
      <c r="P57" s="73">
        <v>3.23</v>
      </c>
      <c r="Q57" s="74">
        <f t="shared" si="1"/>
        <v>-10.160038205344259</v>
      </c>
      <c r="R57" s="75">
        <f t="shared" si="2"/>
        <v>-0.56219999999999992</v>
      </c>
      <c r="S57" s="76"/>
      <c r="T57" s="76"/>
      <c r="U57" s="76"/>
    </row>
    <row r="58" spans="1:21">
      <c r="A58" s="67" t="s">
        <v>146</v>
      </c>
      <c r="B58" s="68">
        <v>-5.9288727556362133</v>
      </c>
      <c r="C58" s="69">
        <v>1675.913916901716</v>
      </c>
      <c r="D58" s="70">
        <f t="shared" si="0"/>
        <v>6.3866148634651489E-13</v>
      </c>
      <c r="E58" s="71">
        <f t="shared" si="0"/>
        <v>6.3866148634651489E-13</v>
      </c>
      <c r="G58" s="67" t="s">
        <v>147</v>
      </c>
      <c r="H58" s="68">
        <v>2.263842822177458</v>
      </c>
      <c r="I58" s="20">
        <v>27702043997.748554</v>
      </c>
      <c r="J58" s="671"/>
      <c r="K58" s="671"/>
      <c r="L58" s="48"/>
      <c r="M58" s="671"/>
      <c r="N58" s="67" t="s">
        <v>146</v>
      </c>
      <c r="O58" s="72">
        <v>-7.9023755284263411</v>
      </c>
      <c r="P58" s="73">
        <v>3.23</v>
      </c>
      <c r="Q58" s="74">
        <f t="shared" si="1"/>
        <v>-5.7687341357512292</v>
      </c>
      <c r="R58" s="75">
        <f t="shared" si="2"/>
        <v>-0.56219999999999992</v>
      </c>
      <c r="S58" s="76"/>
      <c r="T58" s="76"/>
      <c r="U58" s="76"/>
    </row>
    <row r="59" spans="1:21" ht="15" thickBot="1">
      <c r="A59" s="67" t="s">
        <v>148</v>
      </c>
      <c r="B59" s="68">
        <v>-0.45923375149611695</v>
      </c>
      <c r="C59" s="69">
        <v>0</v>
      </c>
      <c r="D59" s="70">
        <f t="shared" si="0"/>
        <v>3.9951980537198821E-13</v>
      </c>
      <c r="E59" s="71">
        <f t="shared" si="0"/>
        <v>3.9951980537198821E-13</v>
      </c>
      <c r="G59" s="87" t="s">
        <v>149</v>
      </c>
      <c r="H59" s="88">
        <v>2.0113140188640672</v>
      </c>
      <c r="I59" s="89">
        <v>15487560339.216837</v>
      </c>
      <c r="J59" s="90"/>
      <c r="K59" s="90"/>
      <c r="L59" s="91"/>
      <c r="M59" s="671"/>
      <c r="N59" s="67" t="s">
        <v>148</v>
      </c>
      <c r="O59" s="72">
        <v>-7.8354248444078305</v>
      </c>
      <c r="P59" s="73">
        <v>3.23</v>
      </c>
      <c r="Q59" s="74">
        <f t="shared" si="1"/>
        <v>-5.719860136417716</v>
      </c>
      <c r="R59" s="75">
        <f t="shared" si="2"/>
        <v>-0.56219999999999992</v>
      </c>
      <c r="S59" s="76"/>
      <c r="T59" s="76"/>
      <c r="U59" s="76"/>
    </row>
  </sheetData>
  <sheetProtection sheet="1" objects="1" scenarios="1" formatCells="0" formatColumns="0" formatRows="0" sort="0" autoFilter="0"/>
  <mergeCells count="6">
    <mergeCell ref="N4:Q6"/>
    <mergeCell ref="T8:T10"/>
    <mergeCell ref="O9:O10"/>
    <mergeCell ref="N21:R22"/>
    <mergeCell ref="A23:B26"/>
    <mergeCell ref="G24:K27"/>
  </mergeCells>
  <hyperlinks>
    <hyperlink ref="A17" r:id="rId1" xr:uid="{AC478C20-E2E5-480D-9A12-961BCA9490E9}"/>
    <hyperlink ref="N17" r:id="rId2" display="https://doi.org/10.1038%2Fs41370-021-00354-0" xr:uid="{69566450-DAB7-4FDD-8855-2C9E7052CAEE}"/>
  </hyperlink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86C6B-F234-49FF-9F1E-626BE0E6FCFB}">
  <sheetPr codeName="Sheet4" filterMode="1"/>
  <dimension ref="A1:Q72"/>
  <sheetViews>
    <sheetView zoomScaleNormal="100" workbookViewId="0"/>
  </sheetViews>
  <sheetFormatPr defaultColWidth="9.1796875" defaultRowHeight="13"/>
  <cols>
    <col min="1" max="1" width="20.81640625" style="106" customWidth="1"/>
    <col min="2" max="2" width="26.1796875" style="100" bestFit="1" customWidth="1"/>
    <col min="3" max="3" width="18.81640625" style="100" bestFit="1" customWidth="1"/>
    <col min="4" max="4" width="57" style="100" customWidth="1"/>
    <col min="5" max="5" width="38.54296875" style="100" bestFit="1" customWidth="1"/>
    <col min="6" max="6" width="22.54296875" style="100" bestFit="1" customWidth="1"/>
    <col min="7" max="7" width="9.1796875" style="100"/>
    <col min="8" max="8" width="12.453125" style="100" customWidth="1"/>
    <col min="9" max="9" width="8.81640625" style="100" bestFit="1" customWidth="1"/>
    <col min="10" max="10" width="13.453125" style="100" bestFit="1" customWidth="1"/>
    <col min="11" max="11" width="14.453125" style="100" customWidth="1"/>
    <col min="12" max="12" width="16" style="100" customWidth="1"/>
    <col min="13" max="13" width="51.1796875" style="100" customWidth="1"/>
    <col min="14" max="14" width="25.81640625" style="100" customWidth="1"/>
    <col min="15" max="15" width="44.1796875" style="100" customWidth="1"/>
    <col min="16" max="16" width="25.1796875" style="100" customWidth="1"/>
    <col min="17" max="16384" width="9.1796875" style="100"/>
  </cols>
  <sheetData>
    <row r="1" spans="1:16" s="95" customFormat="1" ht="33.65" customHeight="1">
      <c r="A1" s="92" t="s">
        <v>150</v>
      </c>
      <c r="B1" s="92" t="s">
        <v>151</v>
      </c>
      <c r="C1" s="92" t="s">
        <v>152</v>
      </c>
      <c r="D1" s="92" t="s">
        <v>153</v>
      </c>
      <c r="E1" s="92" t="s">
        <v>154</v>
      </c>
      <c r="F1" s="92" t="s">
        <v>155</v>
      </c>
      <c r="G1" s="92" t="s">
        <v>156</v>
      </c>
      <c r="H1" s="92" t="s">
        <v>157</v>
      </c>
      <c r="I1" s="93" t="s">
        <v>158</v>
      </c>
      <c r="J1" s="93" t="s">
        <v>159</v>
      </c>
      <c r="K1" s="93" t="s">
        <v>160</v>
      </c>
      <c r="L1" s="93" t="s">
        <v>161</v>
      </c>
      <c r="M1" s="93" t="s">
        <v>162</v>
      </c>
      <c r="N1" s="93" t="s">
        <v>163</v>
      </c>
      <c r="O1" s="94" t="s">
        <v>164</v>
      </c>
      <c r="P1" s="94" t="s">
        <v>165</v>
      </c>
    </row>
    <row r="2" spans="1:16" ht="65">
      <c r="A2" s="96" t="s">
        <v>166</v>
      </c>
      <c r="B2" s="97" t="s">
        <v>167</v>
      </c>
      <c r="C2" s="97" t="s">
        <v>168</v>
      </c>
      <c r="D2" s="97" t="s">
        <v>169</v>
      </c>
      <c r="E2" s="97" t="s">
        <v>170</v>
      </c>
      <c r="F2" s="97" t="s">
        <v>171</v>
      </c>
      <c r="G2" s="97" t="s">
        <v>172</v>
      </c>
      <c r="H2" s="98" t="s">
        <v>173</v>
      </c>
      <c r="I2" s="97" t="s">
        <v>174</v>
      </c>
      <c r="J2" s="98" t="s">
        <v>175</v>
      </c>
      <c r="K2" s="98" t="s">
        <v>176</v>
      </c>
      <c r="L2" s="99" t="s">
        <v>177</v>
      </c>
      <c r="M2" s="98" t="s">
        <v>178</v>
      </c>
      <c r="N2" s="98" t="s">
        <v>179</v>
      </c>
    </row>
    <row r="3" spans="1:16" ht="104">
      <c r="A3" s="96" t="s">
        <v>180</v>
      </c>
      <c r="B3" s="101" t="s">
        <v>181</v>
      </c>
      <c r="C3" s="101" t="s">
        <v>182</v>
      </c>
      <c r="D3" s="101" t="s">
        <v>183</v>
      </c>
      <c r="E3" s="101" t="s">
        <v>184</v>
      </c>
      <c r="F3" s="101" t="s">
        <v>185</v>
      </c>
      <c r="G3" s="96" t="s">
        <v>186</v>
      </c>
      <c r="H3" s="96" t="s">
        <v>173</v>
      </c>
      <c r="I3" s="96">
        <v>1.1000000000000001</v>
      </c>
      <c r="J3" s="96" t="s">
        <v>187</v>
      </c>
      <c r="K3" s="98" t="s">
        <v>188</v>
      </c>
      <c r="L3" s="99" t="s">
        <v>189</v>
      </c>
      <c r="M3" s="98" t="s">
        <v>190</v>
      </c>
      <c r="N3" s="98" t="s">
        <v>191</v>
      </c>
      <c r="O3" s="98" t="s">
        <v>192</v>
      </c>
    </row>
    <row r="4" spans="1:16" ht="111" customHeight="1">
      <c r="A4" s="96" t="s">
        <v>193</v>
      </c>
      <c r="B4" s="101" t="s">
        <v>194</v>
      </c>
      <c r="C4" s="101" t="s">
        <v>168</v>
      </c>
      <c r="D4" s="101" t="s">
        <v>195</v>
      </c>
      <c r="E4" s="101" t="s">
        <v>196</v>
      </c>
      <c r="F4" s="101" t="s">
        <v>197</v>
      </c>
      <c r="G4" s="96" t="s">
        <v>186</v>
      </c>
      <c r="H4" s="96" t="s">
        <v>198</v>
      </c>
      <c r="I4" s="96">
        <v>2.0299999999999998</v>
      </c>
      <c r="J4" s="96" t="s">
        <v>175</v>
      </c>
      <c r="K4" s="98" t="s">
        <v>188</v>
      </c>
      <c r="L4" s="99" t="s">
        <v>177</v>
      </c>
      <c r="M4" s="98" t="s">
        <v>199</v>
      </c>
      <c r="N4" s="98" t="s">
        <v>200</v>
      </c>
      <c r="O4" s="102" t="s">
        <v>201</v>
      </c>
    </row>
    <row r="5" spans="1:16" ht="131.15" customHeight="1">
      <c r="A5" s="96" t="s">
        <v>180</v>
      </c>
      <c r="B5" s="101" t="s">
        <v>202</v>
      </c>
      <c r="C5" s="101" t="s">
        <v>203</v>
      </c>
      <c r="D5" s="101" t="s">
        <v>204</v>
      </c>
      <c r="E5" s="101" t="s">
        <v>205</v>
      </c>
      <c r="F5" s="101" t="s">
        <v>206</v>
      </c>
      <c r="G5" s="96" t="s">
        <v>172</v>
      </c>
      <c r="H5" s="96" t="s">
        <v>173</v>
      </c>
      <c r="I5" s="96" t="s">
        <v>175</v>
      </c>
      <c r="J5" s="96" t="s">
        <v>207</v>
      </c>
      <c r="K5" s="98" t="s">
        <v>176</v>
      </c>
      <c r="L5" s="99" t="s">
        <v>177</v>
      </c>
      <c r="M5" s="98" t="s">
        <v>208</v>
      </c>
      <c r="N5" s="98" t="s">
        <v>209</v>
      </c>
      <c r="O5" s="98" t="s">
        <v>210</v>
      </c>
    </row>
    <row r="6" spans="1:16" ht="78">
      <c r="A6" s="96" t="s">
        <v>211</v>
      </c>
      <c r="B6" s="97" t="s">
        <v>212</v>
      </c>
      <c r="C6" s="97" t="s">
        <v>168</v>
      </c>
      <c r="D6" s="97" t="s">
        <v>213</v>
      </c>
      <c r="E6" s="97" t="s">
        <v>214</v>
      </c>
      <c r="F6" s="97" t="s">
        <v>215</v>
      </c>
      <c r="G6" s="96" t="s">
        <v>172</v>
      </c>
      <c r="H6" s="98" t="s">
        <v>173</v>
      </c>
      <c r="I6" s="97">
        <v>1.145</v>
      </c>
      <c r="J6" s="98" t="s">
        <v>175</v>
      </c>
      <c r="K6" s="98" t="s">
        <v>188</v>
      </c>
      <c r="L6" s="99" t="s">
        <v>177</v>
      </c>
      <c r="M6" s="98" t="s">
        <v>216</v>
      </c>
      <c r="N6" s="98" t="s">
        <v>217</v>
      </c>
    </row>
    <row r="7" spans="1:16" ht="52">
      <c r="A7" s="96" t="s">
        <v>218</v>
      </c>
      <c r="B7" s="101" t="s">
        <v>219</v>
      </c>
      <c r="C7" s="101" t="s">
        <v>168</v>
      </c>
      <c r="D7" s="101" t="s">
        <v>220</v>
      </c>
      <c r="E7" s="101" t="s">
        <v>221</v>
      </c>
      <c r="F7" s="101" t="s">
        <v>222</v>
      </c>
      <c r="G7" s="96" t="s">
        <v>172</v>
      </c>
      <c r="H7" s="96" t="s">
        <v>173</v>
      </c>
      <c r="I7" s="96" t="s">
        <v>175</v>
      </c>
      <c r="J7" s="96" t="s">
        <v>223</v>
      </c>
      <c r="K7" s="98" t="s">
        <v>188</v>
      </c>
      <c r="L7" s="99" t="s">
        <v>177</v>
      </c>
      <c r="M7" s="98" t="s">
        <v>224</v>
      </c>
      <c r="N7" s="98" t="s">
        <v>225</v>
      </c>
    </row>
    <row r="8" spans="1:16" ht="78">
      <c r="A8" s="96" t="s">
        <v>218</v>
      </c>
      <c r="B8" s="101" t="s">
        <v>226</v>
      </c>
      <c r="C8" s="101" t="s">
        <v>168</v>
      </c>
      <c r="D8" s="101" t="s">
        <v>227</v>
      </c>
      <c r="E8" s="101" t="s">
        <v>184</v>
      </c>
      <c r="F8" s="101" t="s">
        <v>228</v>
      </c>
      <c r="G8" s="96" t="s">
        <v>186</v>
      </c>
      <c r="H8" s="96" t="s">
        <v>173</v>
      </c>
      <c r="I8" s="96" t="s">
        <v>175</v>
      </c>
      <c r="J8" s="96" t="s">
        <v>229</v>
      </c>
      <c r="K8" s="98" t="s">
        <v>188</v>
      </c>
      <c r="L8" s="99" t="s">
        <v>189</v>
      </c>
      <c r="M8" s="98" t="s">
        <v>230</v>
      </c>
      <c r="N8" s="98" t="s">
        <v>231</v>
      </c>
      <c r="O8" s="98" t="s">
        <v>232</v>
      </c>
    </row>
    <row r="9" spans="1:16" ht="78">
      <c r="A9" s="96" t="s">
        <v>233</v>
      </c>
      <c r="B9" s="101" t="s">
        <v>234</v>
      </c>
      <c r="C9" s="101" t="s">
        <v>168</v>
      </c>
      <c r="D9" s="101" t="s">
        <v>235</v>
      </c>
      <c r="E9" s="101" t="s">
        <v>236</v>
      </c>
      <c r="F9" s="101" t="s">
        <v>237</v>
      </c>
      <c r="G9" s="96" t="s">
        <v>186</v>
      </c>
      <c r="H9" s="96" t="s">
        <v>198</v>
      </c>
      <c r="I9" s="96" t="s">
        <v>175</v>
      </c>
      <c r="J9" s="96" t="s">
        <v>238</v>
      </c>
      <c r="K9" s="98" t="s">
        <v>188</v>
      </c>
      <c r="L9" s="99" t="s">
        <v>189</v>
      </c>
      <c r="M9" s="98" t="s">
        <v>239</v>
      </c>
      <c r="N9" s="98" t="s">
        <v>240</v>
      </c>
      <c r="O9" s="102" t="s">
        <v>241</v>
      </c>
    </row>
    <row r="10" spans="1:16" ht="39">
      <c r="A10" s="96" t="s">
        <v>166</v>
      </c>
      <c r="B10" s="101" t="s">
        <v>242</v>
      </c>
      <c r="C10" s="101" t="s">
        <v>168</v>
      </c>
      <c r="D10" s="101" t="s">
        <v>243</v>
      </c>
      <c r="E10" s="101" t="s">
        <v>244</v>
      </c>
      <c r="F10" s="101" t="s">
        <v>245</v>
      </c>
      <c r="G10" s="96" t="s">
        <v>172</v>
      </c>
      <c r="H10" s="96" t="s">
        <v>246</v>
      </c>
      <c r="I10" s="96" t="s">
        <v>247</v>
      </c>
      <c r="J10" s="96" t="s">
        <v>175</v>
      </c>
      <c r="K10" s="98" t="s">
        <v>176</v>
      </c>
      <c r="L10" s="99" t="s">
        <v>177</v>
      </c>
      <c r="M10" s="98" t="s">
        <v>248</v>
      </c>
      <c r="N10" s="98"/>
    </row>
    <row r="11" spans="1:16" ht="117">
      <c r="A11" s="96" t="s">
        <v>249</v>
      </c>
      <c r="B11" s="101" t="s">
        <v>250</v>
      </c>
      <c r="C11" s="101" t="s">
        <v>251</v>
      </c>
      <c r="D11" s="101" t="s">
        <v>252</v>
      </c>
      <c r="E11" s="101" t="s">
        <v>253</v>
      </c>
      <c r="F11" s="101" t="s">
        <v>254</v>
      </c>
      <c r="G11" s="96" t="s">
        <v>186</v>
      </c>
      <c r="H11" s="96" t="s">
        <v>255</v>
      </c>
      <c r="I11" s="96">
        <v>0.99039999999999995</v>
      </c>
      <c r="J11" s="96" t="s">
        <v>256</v>
      </c>
      <c r="K11" s="98" t="s">
        <v>257</v>
      </c>
      <c r="L11" s="99" t="s">
        <v>177</v>
      </c>
      <c r="M11" s="98" t="s">
        <v>258</v>
      </c>
      <c r="N11" s="98"/>
    </row>
    <row r="12" spans="1:16" ht="65">
      <c r="A12" s="96" t="s">
        <v>233</v>
      </c>
      <c r="B12" s="101" t="s">
        <v>259</v>
      </c>
      <c r="C12" s="101" t="s">
        <v>168</v>
      </c>
      <c r="D12" s="101" t="s">
        <v>260</v>
      </c>
      <c r="E12" s="101" t="s">
        <v>261</v>
      </c>
      <c r="F12" s="101" t="s">
        <v>262</v>
      </c>
      <c r="G12" s="96" t="s">
        <v>186</v>
      </c>
      <c r="H12" s="96" t="s">
        <v>198</v>
      </c>
      <c r="I12" s="96">
        <v>1.57</v>
      </c>
      <c r="J12" s="96" t="s">
        <v>263</v>
      </c>
      <c r="K12" s="98" t="s">
        <v>188</v>
      </c>
      <c r="L12" s="99" t="s">
        <v>264</v>
      </c>
      <c r="M12" s="98" t="s">
        <v>265</v>
      </c>
      <c r="N12" s="98" t="s">
        <v>266</v>
      </c>
      <c r="O12" s="98" t="s">
        <v>267</v>
      </c>
    </row>
    <row r="13" spans="1:16" ht="52">
      <c r="A13" s="96" t="s">
        <v>211</v>
      </c>
      <c r="B13" s="97" t="s">
        <v>268</v>
      </c>
      <c r="C13" s="97" t="s">
        <v>168</v>
      </c>
      <c r="D13" s="97" t="s">
        <v>269</v>
      </c>
      <c r="E13" s="97" t="s">
        <v>270</v>
      </c>
      <c r="F13" s="97" t="s">
        <v>271</v>
      </c>
      <c r="G13" s="97" t="s">
        <v>172</v>
      </c>
      <c r="H13" s="98" t="s">
        <v>255</v>
      </c>
      <c r="I13" s="97">
        <v>2.93</v>
      </c>
      <c r="J13" s="98" t="s">
        <v>272</v>
      </c>
      <c r="K13" s="98" t="s">
        <v>257</v>
      </c>
      <c r="L13" s="99" t="s">
        <v>177</v>
      </c>
      <c r="M13" s="98" t="s">
        <v>273</v>
      </c>
      <c r="N13" s="98"/>
    </row>
    <row r="14" spans="1:16" ht="65">
      <c r="A14" s="96" t="s">
        <v>211</v>
      </c>
      <c r="B14" s="97" t="s">
        <v>268</v>
      </c>
      <c r="C14" s="97" t="s">
        <v>168</v>
      </c>
      <c r="D14" s="97" t="s">
        <v>274</v>
      </c>
      <c r="E14" s="97" t="s">
        <v>270</v>
      </c>
      <c r="F14" s="97" t="s">
        <v>275</v>
      </c>
      <c r="G14" s="96" t="s">
        <v>172</v>
      </c>
      <c r="H14" s="98" t="s">
        <v>255</v>
      </c>
      <c r="I14" s="97">
        <v>2.93</v>
      </c>
      <c r="J14" s="98" t="s">
        <v>272</v>
      </c>
      <c r="K14" s="98" t="s">
        <v>257</v>
      </c>
      <c r="L14" s="99" t="s">
        <v>177</v>
      </c>
      <c r="M14" s="98" t="s">
        <v>276</v>
      </c>
      <c r="N14" s="98"/>
    </row>
    <row r="15" spans="1:16" ht="52">
      <c r="A15" s="96" t="s">
        <v>211</v>
      </c>
      <c r="B15" s="97" t="s">
        <v>268</v>
      </c>
      <c r="C15" s="97" t="s">
        <v>168</v>
      </c>
      <c r="D15" s="97" t="s">
        <v>277</v>
      </c>
      <c r="E15" s="97" t="s">
        <v>270</v>
      </c>
      <c r="F15" s="97" t="s">
        <v>271</v>
      </c>
      <c r="G15" s="96" t="s">
        <v>172</v>
      </c>
      <c r="H15" s="98" t="s">
        <v>255</v>
      </c>
      <c r="I15" s="97">
        <v>2.97</v>
      </c>
      <c r="J15" s="98" t="s">
        <v>272</v>
      </c>
      <c r="K15" s="98" t="s">
        <v>257</v>
      </c>
      <c r="L15" s="99" t="s">
        <v>177</v>
      </c>
      <c r="M15" s="98" t="s">
        <v>273</v>
      </c>
      <c r="N15" s="98"/>
    </row>
    <row r="16" spans="1:16" ht="52">
      <c r="A16" s="96" t="s">
        <v>211</v>
      </c>
      <c r="B16" s="97" t="s">
        <v>268</v>
      </c>
      <c r="C16" s="97" t="s">
        <v>168</v>
      </c>
      <c r="D16" s="97" t="s">
        <v>278</v>
      </c>
      <c r="E16" s="97" t="s">
        <v>270</v>
      </c>
      <c r="F16" s="97" t="s">
        <v>271</v>
      </c>
      <c r="G16" s="96" t="s">
        <v>172</v>
      </c>
      <c r="H16" s="98" t="s">
        <v>255</v>
      </c>
      <c r="I16" s="97">
        <v>2.93</v>
      </c>
      <c r="J16" s="98" t="s">
        <v>272</v>
      </c>
      <c r="K16" s="98" t="s">
        <v>257</v>
      </c>
      <c r="L16" s="99" t="s">
        <v>177</v>
      </c>
      <c r="M16" s="98" t="s">
        <v>273</v>
      </c>
      <c r="N16" s="98"/>
    </row>
    <row r="17" spans="1:14" ht="39">
      <c r="A17" s="96" t="s">
        <v>211</v>
      </c>
      <c r="B17" s="97" t="s">
        <v>268</v>
      </c>
      <c r="C17" s="97" t="s">
        <v>168</v>
      </c>
      <c r="D17" s="97" t="s">
        <v>279</v>
      </c>
      <c r="E17" s="97" t="s">
        <v>270</v>
      </c>
      <c r="F17" s="97" t="s">
        <v>271</v>
      </c>
      <c r="G17" s="96" t="s">
        <v>172</v>
      </c>
      <c r="H17" s="98" t="s">
        <v>255</v>
      </c>
      <c r="I17" s="97">
        <v>2.93</v>
      </c>
      <c r="J17" s="98" t="s">
        <v>272</v>
      </c>
      <c r="K17" s="98" t="s">
        <v>257</v>
      </c>
      <c r="L17" s="99" t="s">
        <v>177</v>
      </c>
      <c r="M17" s="98" t="s">
        <v>280</v>
      </c>
      <c r="N17" s="98"/>
    </row>
    <row r="18" spans="1:14" ht="39">
      <c r="A18" s="96" t="s">
        <v>211</v>
      </c>
      <c r="B18" s="97" t="s">
        <v>268</v>
      </c>
      <c r="C18" s="97" t="s">
        <v>168</v>
      </c>
      <c r="D18" s="97" t="s">
        <v>281</v>
      </c>
      <c r="E18" s="97" t="s">
        <v>270</v>
      </c>
      <c r="F18" s="97" t="s">
        <v>271</v>
      </c>
      <c r="G18" s="96" t="s">
        <v>172</v>
      </c>
      <c r="H18" s="98" t="s">
        <v>255</v>
      </c>
      <c r="I18" s="97">
        <v>2.97</v>
      </c>
      <c r="J18" s="98" t="s">
        <v>272</v>
      </c>
      <c r="K18" s="98" t="s">
        <v>257</v>
      </c>
      <c r="L18" s="99" t="s">
        <v>177</v>
      </c>
      <c r="M18" s="98" t="s">
        <v>280</v>
      </c>
      <c r="N18" s="98"/>
    </row>
    <row r="19" spans="1:14" ht="39">
      <c r="A19" s="96" t="s">
        <v>211</v>
      </c>
      <c r="B19" s="97" t="s">
        <v>268</v>
      </c>
      <c r="C19" s="97" t="s">
        <v>282</v>
      </c>
      <c r="D19" s="97" t="s">
        <v>283</v>
      </c>
      <c r="E19" s="97" t="s">
        <v>284</v>
      </c>
      <c r="F19" s="97" t="s">
        <v>275</v>
      </c>
      <c r="G19" s="96" t="s">
        <v>172</v>
      </c>
      <c r="H19" s="98" t="s">
        <v>255</v>
      </c>
      <c r="I19" s="97" t="s">
        <v>175</v>
      </c>
      <c r="J19" s="98" t="s">
        <v>285</v>
      </c>
      <c r="K19" s="98" t="s">
        <v>257</v>
      </c>
      <c r="L19" s="99" t="s">
        <v>177</v>
      </c>
      <c r="M19" s="98" t="s">
        <v>286</v>
      </c>
      <c r="N19" s="98" t="s">
        <v>287</v>
      </c>
    </row>
    <row r="20" spans="1:14" ht="78">
      <c r="A20" s="96" t="s">
        <v>211</v>
      </c>
      <c r="B20" s="97" t="s">
        <v>268</v>
      </c>
      <c r="C20" s="97" t="s">
        <v>282</v>
      </c>
      <c r="D20" s="97" t="s">
        <v>288</v>
      </c>
      <c r="E20" s="97" t="s">
        <v>284</v>
      </c>
      <c r="F20" s="97" t="s">
        <v>271</v>
      </c>
      <c r="G20" s="96" t="s">
        <v>172</v>
      </c>
      <c r="H20" s="98" t="s">
        <v>255</v>
      </c>
      <c r="I20" s="97" t="s">
        <v>175</v>
      </c>
      <c r="J20" s="98" t="s">
        <v>175</v>
      </c>
      <c r="K20" s="98" t="s">
        <v>257</v>
      </c>
      <c r="L20" s="99" t="s">
        <v>289</v>
      </c>
      <c r="M20" s="98" t="s">
        <v>290</v>
      </c>
      <c r="N20" s="98" t="s">
        <v>291</v>
      </c>
    </row>
    <row r="21" spans="1:14" ht="65">
      <c r="A21" s="96" t="s">
        <v>211</v>
      </c>
      <c r="B21" s="97" t="s">
        <v>268</v>
      </c>
      <c r="C21" s="97" t="s">
        <v>282</v>
      </c>
      <c r="D21" s="97" t="s">
        <v>292</v>
      </c>
      <c r="E21" s="97" t="s">
        <v>284</v>
      </c>
      <c r="F21" s="97" t="s">
        <v>271</v>
      </c>
      <c r="G21" s="97" t="s">
        <v>172</v>
      </c>
      <c r="H21" s="98" t="s">
        <v>255</v>
      </c>
      <c r="I21" s="97" t="s">
        <v>175</v>
      </c>
      <c r="J21" s="98" t="s">
        <v>175</v>
      </c>
      <c r="K21" s="98" t="s">
        <v>257</v>
      </c>
      <c r="L21" s="99" t="s">
        <v>293</v>
      </c>
      <c r="M21" s="98" t="s">
        <v>294</v>
      </c>
      <c r="N21" s="98" t="s">
        <v>295</v>
      </c>
    </row>
    <row r="22" spans="1:14" ht="39">
      <c r="A22" s="96" t="s">
        <v>211</v>
      </c>
      <c r="B22" s="97" t="s">
        <v>268</v>
      </c>
      <c r="C22" s="97" t="s">
        <v>282</v>
      </c>
      <c r="D22" s="97" t="s">
        <v>296</v>
      </c>
      <c r="E22" s="97" t="s">
        <v>284</v>
      </c>
      <c r="F22" s="97" t="s">
        <v>275</v>
      </c>
      <c r="G22" s="97" t="s">
        <v>172</v>
      </c>
      <c r="H22" s="98" t="s">
        <v>255</v>
      </c>
      <c r="I22" s="97" t="s">
        <v>175</v>
      </c>
      <c r="J22" s="98" t="s">
        <v>175</v>
      </c>
      <c r="K22" s="98" t="s">
        <v>257</v>
      </c>
      <c r="L22" s="99" t="s">
        <v>177</v>
      </c>
      <c r="M22" s="98" t="s">
        <v>297</v>
      </c>
      <c r="N22" s="98" t="s">
        <v>298</v>
      </c>
    </row>
    <row r="23" spans="1:14" ht="39">
      <c r="A23" s="96" t="s">
        <v>211</v>
      </c>
      <c r="B23" s="97" t="s">
        <v>268</v>
      </c>
      <c r="C23" s="97" t="s">
        <v>282</v>
      </c>
      <c r="D23" s="97" t="s">
        <v>299</v>
      </c>
      <c r="E23" s="97" t="s">
        <v>284</v>
      </c>
      <c r="F23" s="97" t="s">
        <v>271</v>
      </c>
      <c r="G23" s="97" t="s">
        <v>172</v>
      </c>
      <c r="H23" s="98" t="s">
        <v>255</v>
      </c>
      <c r="I23" s="97" t="s">
        <v>175</v>
      </c>
      <c r="J23" s="98" t="s">
        <v>175</v>
      </c>
      <c r="K23" s="98" t="s">
        <v>257</v>
      </c>
      <c r="L23" s="99" t="s">
        <v>177</v>
      </c>
      <c r="M23" s="98" t="s">
        <v>300</v>
      </c>
      <c r="N23" s="98" t="s">
        <v>298</v>
      </c>
    </row>
    <row r="24" spans="1:14" ht="39">
      <c r="A24" s="96" t="s">
        <v>211</v>
      </c>
      <c r="B24" s="97" t="s">
        <v>268</v>
      </c>
      <c r="C24" s="97" t="s">
        <v>282</v>
      </c>
      <c r="D24" s="97" t="s">
        <v>301</v>
      </c>
      <c r="E24" s="97" t="s">
        <v>284</v>
      </c>
      <c r="F24" s="97" t="s">
        <v>271</v>
      </c>
      <c r="G24" s="97"/>
      <c r="H24" s="98"/>
      <c r="I24" s="97"/>
      <c r="J24" s="98"/>
      <c r="K24" s="98"/>
      <c r="L24" s="99"/>
      <c r="M24" s="98"/>
      <c r="N24" s="98" t="s">
        <v>302</v>
      </c>
    </row>
    <row r="25" spans="1:14" ht="39">
      <c r="A25" s="96" t="s">
        <v>211</v>
      </c>
      <c r="B25" s="97" t="s">
        <v>268</v>
      </c>
      <c r="C25" s="97" t="s">
        <v>282</v>
      </c>
      <c r="D25" s="97" t="s">
        <v>303</v>
      </c>
      <c r="E25" s="97" t="s">
        <v>284</v>
      </c>
      <c r="F25" s="97" t="s">
        <v>271</v>
      </c>
      <c r="G25" s="96" t="s">
        <v>172</v>
      </c>
      <c r="H25" s="98" t="s">
        <v>255</v>
      </c>
      <c r="I25" s="97" t="s">
        <v>175</v>
      </c>
      <c r="J25" s="98" t="s">
        <v>175</v>
      </c>
      <c r="K25" s="98" t="s">
        <v>257</v>
      </c>
      <c r="L25" s="99" t="s">
        <v>177</v>
      </c>
      <c r="M25" s="98" t="s">
        <v>297</v>
      </c>
      <c r="N25" s="98" t="s">
        <v>298</v>
      </c>
    </row>
    <row r="26" spans="1:14" ht="39">
      <c r="A26" s="96" t="s">
        <v>211</v>
      </c>
      <c r="B26" s="97" t="s">
        <v>268</v>
      </c>
      <c r="C26" s="97" t="s">
        <v>168</v>
      </c>
      <c r="D26" s="97" t="s">
        <v>304</v>
      </c>
      <c r="E26" s="97" t="s">
        <v>305</v>
      </c>
      <c r="F26" s="97" t="s">
        <v>306</v>
      </c>
      <c r="G26" s="96" t="s">
        <v>172</v>
      </c>
      <c r="H26" s="98" t="s">
        <v>255</v>
      </c>
      <c r="I26" s="97">
        <v>0.95</v>
      </c>
      <c r="J26" s="98" t="s">
        <v>307</v>
      </c>
      <c r="K26" s="98" t="s">
        <v>257</v>
      </c>
      <c r="L26" s="99" t="s">
        <v>177</v>
      </c>
      <c r="M26" s="98" t="s">
        <v>308</v>
      </c>
      <c r="N26" s="98"/>
    </row>
    <row r="27" spans="1:14" ht="39">
      <c r="A27" s="96" t="s">
        <v>211</v>
      </c>
      <c r="B27" s="97" t="s">
        <v>268</v>
      </c>
      <c r="C27" s="97" t="s">
        <v>168</v>
      </c>
      <c r="D27" s="97" t="s">
        <v>309</v>
      </c>
      <c r="E27" s="97" t="s">
        <v>310</v>
      </c>
      <c r="F27" s="97" t="s">
        <v>275</v>
      </c>
      <c r="G27" s="96" t="s">
        <v>172</v>
      </c>
      <c r="H27" s="98" t="s">
        <v>255</v>
      </c>
      <c r="I27" s="97" t="s">
        <v>175</v>
      </c>
      <c r="J27" s="98" t="s">
        <v>311</v>
      </c>
      <c r="K27" s="98" t="s">
        <v>257</v>
      </c>
      <c r="L27" s="99" t="s">
        <v>177</v>
      </c>
      <c r="M27" s="98" t="s">
        <v>312</v>
      </c>
      <c r="N27" s="98"/>
    </row>
    <row r="28" spans="1:14" ht="117">
      <c r="A28" s="96" t="s">
        <v>211</v>
      </c>
      <c r="B28" s="97" t="s">
        <v>268</v>
      </c>
      <c r="C28" s="97" t="s">
        <v>168</v>
      </c>
      <c r="D28" s="97" t="s">
        <v>313</v>
      </c>
      <c r="E28" s="97" t="s">
        <v>310</v>
      </c>
      <c r="F28" s="97" t="s">
        <v>314</v>
      </c>
      <c r="G28" s="96" t="s">
        <v>172</v>
      </c>
      <c r="H28" s="98" t="s">
        <v>173</v>
      </c>
      <c r="I28" s="97" t="s">
        <v>175</v>
      </c>
      <c r="J28" s="98" t="s">
        <v>315</v>
      </c>
      <c r="K28" s="98" t="s">
        <v>257</v>
      </c>
      <c r="L28" s="99" t="s">
        <v>177</v>
      </c>
      <c r="M28" s="98" t="s">
        <v>316</v>
      </c>
      <c r="N28" s="98"/>
    </row>
    <row r="29" spans="1:14" ht="39">
      <c r="A29" s="96" t="s">
        <v>211</v>
      </c>
      <c r="B29" s="97" t="s">
        <v>268</v>
      </c>
      <c r="C29" s="97" t="s">
        <v>168</v>
      </c>
      <c r="D29" s="97" t="s">
        <v>317</v>
      </c>
      <c r="E29" s="97" t="s">
        <v>310</v>
      </c>
      <c r="F29" s="97" t="s">
        <v>314</v>
      </c>
      <c r="G29" s="96" t="s">
        <v>172</v>
      </c>
      <c r="H29" s="98" t="s">
        <v>173</v>
      </c>
      <c r="I29" s="97" t="s">
        <v>175</v>
      </c>
      <c r="J29" s="98" t="s">
        <v>318</v>
      </c>
      <c r="K29" s="98" t="s">
        <v>257</v>
      </c>
      <c r="L29" s="99" t="s">
        <v>177</v>
      </c>
      <c r="M29" s="98" t="s">
        <v>319</v>
      </c>
      <c r="N29" s="98"/>
    </row>
    <row r="30" spans="1:14" ht="39">
      <c r="A30" s="96" t="s">
        <v>211</v>
      </c>
      <c r="B30" s="97" t="s">
        <v>268</v>
      </c>
      <c r="C30" s="97" t="s">
        <v>168</v>
      </c>
      <c r="D30" s="97" t="s">
        <v>320</v>
      </c>
      <c r="E30" s="97" t="s">
        <v>310</v>
      </c>
      <c r="F30" s="97" t="s">
        <v>314</v>
      </c>
      <c r="G30" s="96" t="s">
        <v>172</v>
      </c>
      <c r="H30" s="98" t="s">
        <v>173</v>
      </c>
      <c r="I30" s="97" t="s">
        <v>175</v>
      </c>
      <c r="J30" s="98" t="s">
        <v>318</v>
      </c>
      <c r="K30" s="98" t="s">
        <v>257</v>
      </c>
      <c r="L30" s="99" t="s">
        <v>177</v>
      </c>
      <c r="M30" s="98" t="s">
        <v>321</v>
      </c>
      <c r="N30" s="98" t="s">
        <v>322</v>
      </c>
    </row>
    <row r="31" spans="1:14" ht="143">
      <c r="A31" s="96" t="s">
        <v>323</v>
      </c>
      <c r="B31" s="101" t="s">
        <v>324</v>
      </c>
      <c r="C31" s="101" t="s">
        <v>168</v>
      </c>
      <c r="D31" s="101" t="s">
        <v>325</v>
      </c>
      <c r="E31" s="101" t="s">
        <v>326</v>
      </c>
      <c r="F31" s="101" t="s">
        <v>327</v>
      </c>
      <c r="G31" s="96" t="s">
        <v>172</v>
      </c>
      <c r="H31" s="96" t="s">
        <v>246</v>
      </c>
      <c r="I31" s="96">
        <v>1.44</v>
      </c>
      <c r="J31" s="96" t="s">
        <v>175</v>
      </c>
      <c r="K31" s="98" t="s">
        <v>257</v>
      </c>
      <c r="L31" s="99" t="s">
        <v>177</v>
      </c>
      <c r="M31" s="98" t="s">
        <v>328</v>
      </c>
      <c r="N31" s="98"/>
    </row>
    <row r="32" spans="1:14" ht="195">
      <c r="A32" s="96" t="s">
        <v>166</v>
      </c>
      <c r="B32" s="101" t="s">
        <v>329</v>
      </c>
      <c r="C32" s="101" t="s">
        <v>168</v>
      </c>
      <c r="D32" s="101" t="s">
        <v>330</v>
      </c>
      <c r="E32" s="101" t="s">
        <v>331</v>
      </c>
      <c r="F32" s="101" t="s">
        <v>168</v>
      </c>
      <c r="G32" s="96" t="s">
        <v>172</v>
      </c>
      <c r="H32" s="96" t="s">
        <v>173</v>
      </c>
      <c r="I32" s="96">
        <v>1.2</v>
      </c>
      <c r="J32" s="96" t="s">
        <v>332</v>
      </c>
      <c r="K32" s="98" t="s">
        <v>257</v>
      </c>
      <c r="L32" s="99" t="s">
        <v>177</v>
      </c>
      <c r="M32" s="98" t="s">
        <v>333</v>
      </c>
      <c r="N32" s="101" t="s">
        <v>334</v>
      </c>
    </row>
    <row r="33" spans="1:17" ht="39">
      <c r="A33" s="96" t="s">
        <v>335</v>
      </c>
      <c r="B33" s="97" t="s">
        <v>336</v>
      </c>
      <c r="C33" s="97" t="s">
        <v>168</v>
      </c>
      <c r="D33" s="97" t="s">
        <v>337</v>
      </c>
      <c r="E33" s="97" t="s">
        <v>214</v>
      </c>
      <c r="F33" s="97" t="s">
        <v>338</v>
      </c>
      <c r="G33" s="96" t="s">
        <v>172</v>
      </c>
      <c r="H33" s="98" t="s">
        <v>255</v>
      </c>
      <c r="I33" s="97" t="s">
        <v>175</v>
      </c>
      <c r="J33" s="98" t="s">
        <v>175</v>
      </c>
      <c r="K33" s="98" t="s">
        <v>257</v>
      </c>
      <c r="L33" s="99" t="s">
        <v>177</v>
      </c>
      <c r="M33" s="98"/>
      <c r="N33" s="98"/>
      <c r="O33" s="98" t="s">
        <v>339</v>
      </c>
    </row>
    <row r="34" spans="1:17" ht="52">
      <c r="A34" s="96" t="s">
        <v>323</v>
      </c>
      <c r="B34" s="101" t="s">
        <v>340</v>
      </c>
      <c r="C34" s="101" t="s">
        <v>168</v>
      </c>
      <c r="D34" s="101" t="s">
        <v>341</v>
      </c>
      <c r="E34" s="101" t="s">
        <v>342</v>
      </c>
      <c r="F34" s="101" t="s">
        <v>343</v>
      </c>
      <c r="G34" s="96" t="s">
        <v>172</v>
      </c>
      <c r="H34" s="96" t="s">
        <v>246</v>
      </c>
      <c r="I34" s="96"/>
      <c r="J34" s="96"/>
      <c r="K34" s="98"/>
      <c r="L34" s="99"/>
      <c r="M34" s="98" t="s">
        <v>344</v>
      </c>
      <c r="N34" s="98" t="s">
        <v>345</v>
      </c>
      <c r="O34" s="102" t="s">
        <v>346</v>
      </c>
    </row>
    <row r="35" spans="1:17" ht="65">
      <c r="A35" s="96" t="s">
        <v>335</v>
      </c>
      <c r="B35" s="101" t="s">
        <v>347</v>
      </c>
      <c r="C35" s="101" t="s">
        <v>168</v>
      </c>
      <c r="D35" s="101" t="s">
        <v>348</v>
      </c>
      <c r="E35" s="101" t="s">
        <v>349</v>
      </c>
      <c r="F35" s="101" t="s">
        <v>350</v>
      </c>
      <c r="G35" s="96" t="s">
        <v>172</v>
      </c>
      <c r="H35" s="96" t="s">
        <v>173</v>
      </c>
      <c r="I35" s="96" t="s">
        <v>175</v>
      </c>
      <c r="J35" s="96" t="s">
        <v>175</v>
      </c>
      <c r="K35" s="98" t="s">
        <v>257</v>
      </c>
      <c r="L35" s="99" t="s">
        <v>177</v>
      </c>
      <c r="M35" s="98" t="s">
        <v>351</v>
      </c>
      <c r="N35" s="98" t="s">
        <v>352</v>
      </c>
    </row>
    <row r="36" spans="1:17" ht="117">
      <c r="A36" s="96" t="s">
        <v>166</v>
      </c>
      <c r="B36" s="101" t="s">
        <v>353</v>
      </c>
      <c r="C36" s="101" t="s">
        <v>168</v>
      </c>
      <c r="D36" s="101" t="s">
        <v>354</v>
      </c>
      <c r="E36" s="101" t="s">
        <v>355</v>
      </c>
      <c r="F36" s="101" t="s">
        <v>356</v>
      </c>
      <c r="G36" s="96" t="s">
        <v>172</v>
      </c>
      <c r="H36" s="96" t="s">
        <v>173</v>
      </c>
      <c r="I36" s="96" t="s">
        <v>175</v>
      </c>
      <c r="J36" s="96" t="s">
        <v>357</v>
      </c>
      <c r="K36" s="98" t="s">
        <v>188</v>
      </c>
      <c r="L36" s="99" t="s">
        <v>177</v>
      </c>
      <c r="M36" s="98" t="s">
        <v>358</v>
      </c>
      <c r="N36" s="98" t="s">
        <v>359</v>
      </c>
    </row>
    <row r="37" spans="1:17" ht="117">
      <c r="A37" s="96" t="s">
        <v>233</v>
      </c>
      <c r="B37" s="101" t="s">
        <v>360</v>
      </c>
      <c r="C37" s="101" t="s">
        <v>282</v>
      </c>
      <c r="D37" s="101" t="s">
        <v>361</v>
      </c>
      <c r="E37" s="101" t="s">
        <v>362</v>
      </c>
      <c r="F37" s="101" t="s">
        <v>363</v>
      </c>
      <c r="G37" s="96" t="s">
        <v>186</v>
      </c>
      <c r="H37" s="96" t="s">
        <v>364</v>
      </c>
      <c r="I37" s="96" t="s">
        <v>365</v>
      </c>
      <c r="J37" s="96" t="s">
        <v>366</v>
      </c>
      <c r="K37" s="98" t="s">
        <v>176</v>
      </c>
      <c r="L37" s="99" t="s">
        <v>177</v>
      </c>
      <c r="M37" s="98" t="s">
        <v>367</v>
      </c>
      <c r="N37" s="98" t="s">
        <v>368</v>
      </c>
      <c r="P37" s="103"/>
      <c r="Q37" s="103"/>
    </row>
    <row r="38" spans="1:17" ht="91">
      <c r="A38" s="96" t="s">
        <v>233</v>
      </c>
      <c r="B38" s="101" t="s">
        <v>360</v>
      </c>
      <c r="C38" s="101" t="s">
        <v>168</v>
      </c>
      <c r="D38" s="101" t="s">
        <v>369</v>
      </c>
      <c r="E38" s="101" t="s">
        <v>370</v>
      </c>
      <c r="F38" s="101" t="s">
        <v>371</v>
      </c>
      <c r="G38" s="96" t="s">
        <v>172</v>
      </c>
      <c r="H38" s="96" t="s">
        <v>246</v>
      </c>
      <c r="I38" s="96">
        <v>1.02</v>
      </c>
      <c r="J38" s="96" t="s">
        <v>372</v>
      </c>
      <c r="K38" s="98" t="s">
        <v>176</v>
      </c>
      <c r="L38" s="99" t="s">
        <v>177</v>
      </c>
      <c r="M38" s="98" t="s">
        <v>373</v>
      </c>
      <c r="N38" s="98" t="s">
        <v>374</v>
      </c>
    </row>
    <row r="39" spans="1:17" ht="117">
      <c r="A39" s="96" t="s">
        <v>233</v>
      </c>
      <c r="B39" s="101" t="s">
        <v>375</v>
      </c>
      <c r="C39" s="101" t="s">
        <v>168</v>
      </c>
      <c r="D39" s="101" t="s">
        <v>376</v>
      </c>
      <c r="E39" s="101" t="s">
        <v>377</v>
      </c>
      <c r="F39" s="101" t="s">
        <v>378</v>
      </c>
      <c r="G39" s="96" t="s">
        <v>172</v>
      </c>
      <c r="H39" s="96" t="s">
        <v>246</v>
      </c>
      <c r="I39" s="96">
        <v>0.91</v>
      </c>
      <c r="J39" s="96" t="s">
        <v>372</v>
      </c>
      <c r="K39" s="98" t="s">
        <v>176</v>
      </c>
      <c r="L39" s="99" t="s">
        <v>177</v>
      </c>
      <c r="M39" s="98" t="s">
        <v>379</v>
      </c>
      <c r="N39" s="98"/>
    </row>
    <row r="40" spans="1:17" ht="104">
      <c r="A40" s="96" t="s">
        <v>233</v>
      </c>
      <c r="B40" s="101" t="s">
        <v>380</v>
      </c>
      <c r="C40" s="101" t="s">
        <v>168</v>
      </c>
      <c r="D40" s="101" t="s">
        <v>381</v>
      </c>
      <c r="E40" s="101" t="s">
        <v>382</v>
      </c>
      <c r="F40" s="101" t="s">
        <v>378</v>
      </c>
      <c r="G40" s="96" t="s">
        <v>186</v>
      </c>
      <c r="H40" s="96" t="s">
        <v>383</v>
      </c>
      <c r="I40" s="96"/>
      <c r="J40" s="96" t="s">
        <v>384</v>
      </c>
      <c r="K40" s="98" t="s">
        <v>176</v>
      </c>
      <c r="L40" s="99" t="s">
        <v>385</v>
      </c>
      <c r="M40" s="98" t="s">
        <v>386</v>
      </c>
      <c r="N40" s="98" t="s">
        <v>387</v>
      </c>
      <c r="O40" s="102" t="s">
        <v>388</v>
      </c>
    </row>
    <row r="41" spans="1:17" ht="78">
      <c r="A41" s="96" t="s">
        <v>233</v>
      </c>
      <c r="B41" s="101" t="s">
        <v>380</v>
      </c>
      <c r="C41" s="101" t="s">
        <v>168</v>
      </c>
      <c r="D41" s="101" t="s">
        <v>389</v>
      </c>
      <c r="E41" s="101" t="s">
        <v>377</v>
      </c>
      <c r="F41" s="101" t="s">
        <v>390</v>
      </c>
      <c r="G41" s="96" t="s">
        <v>172</v>
      </c>
      <c r="H41" s="96" t="s">
        <v>246</v>
      </c>
      <c r="I41" s="96">
        <v>0.93</v>
      </c>
      <c r="J41" s="96" t="s">
        <v>372</v>
      </c>
      <c r="K41" s="98" t="s">
        <v>176</v>
      </c>
      <c r="L41" s="99" t="s">
        <v>177</v>
      </c>
      <c r="M41" s="98" t="s">
        <v>391</v>
      </c>
      <c r="N41" s="98"/>
    </row>
    <row r="42" spans="1:17" ht="39">
      <c r="A42" s="96" t="s">
        <v>193</v>
      </c>
      <c r="B42" s="101" t="s">
        <v>392</v>
      </c>
      <c r="C42" s="101" t="s">
        <v>282</v>
      </c>
      <c r="D42" s="101" t="s">
        <v>393</v>
      </c>
      <c r="E42" s="101" t="s">
        <v>394</v>
      </c>
      <c r="F42" s="101" t="s">
        <v>395</v>
      </c>
      <c r="G42" s="96" t="s">
        <v>186</v>
      </c>
      <c r="H42" s="96" t="s">
        <v>246</v>
      </c>
      <c r="I42" s="96" t="s">
        <v>175</v>
      </c>
      <c r="J42" s="96" t="s">
        <v>396</v>
      </c>
      <c r="K42" s="98" t="s">
        <v>257</v>
      </c>
      <c r="L42" s="99" t="s">
        <v>189</v>
      </c>
      <c r="M42" s="98" t="s">
        <v>397</v>
      </c>
      <c r="N42" s="98" t="s">
        <v>398</v>
      </c>
      <c r="O42" s="98" t="s">
        <v>399</v>
      </c>
    </row>
    <row r="43" spans="1:17" ht="65">
      <c r="A43" s="96" t="s">
        <v>335</v>
      </c>
      <c r="B43" s="97" t="s">
        <v>400</v>
      </c>
      <c r="C43" s="97" t="s">
        <v>168</v>
      </c>
      <c r="D43" s="97" t="s">
        <v>401</v>
      </c>
      <c r="E43" s="97" t="s">
        <v>214</v>
      </c>
      <c r="F43" s="97" t="s">
        <v>402</v>
      </c>
      <c r="G43" s="96" t="s">
        <v>172</v>
      </c>
      <c r="H43" s="98" t="s">
        <v>173</v>
      </c>
      <c r="I43" s="97" t="s">
        <v>403</v>
      </c>
      <c r="J43" s="98" t="s">
        <v>404</v>
      </c>
      <c r="K43" s="98" t="s">
        <v>257</v>
      </c>
      <c r="L43" s="99" t="s">
        <v>177</v>
      </c>
      <c r="M43" s="98" t="s">
        <v>405</v>
      </c>
      <c r="N43" s="98"/>
    </row>
    <row r="44" spans="1:17" ht="39">
      <c r="A44" s="96" t="s">
        <v>166</v>
      </c>
      <c r="B44" s="101" t="s">
        <v>406</v>
      </c>
      <c r="C44" s="101" t="s">
        <v>407</v>
      </c>
      <c r="D44" s="101" t="s">
        <v>408</v>
      </c>
      <c r="E44" s="101" t="s">
        <v>409</v>
      </c>
      <c r="F44" s="101" t="s">
        <v>410</v>
      </c>
      <c r="G44" s="96" t="s">
        <v>172</v>
      </c>
      <c r="H44" s="96"/>
      <c r="I44" s="96"/>
      <c r="J44" s="96"/>
      <c r="K44" s="98"/>
      <c r="L44" s="99" t="s">
        <v>177</v>
      </c>
      <c r="M44" s="98"/>
      <c r="N44" s="98" t="s">
        <v>411</v>
      </c>
    </row>
    <row r="45" spans="1:17" s="107" customFormat="1" ht="26">
      <c r="A45" s="96" t="s">
        <v>412</v>
      </c>
      <c r="B45" s="104"/>
      <c r="C45" s="104"/>
      <c r="D45" s="104" t="s">
        <v>413</v>
      </c>
      <c r="E45" s="104" t="s">
        <v>184</v>
      </c>
      <c r="F45" s="104" t="s">
        <v>414</v>
      </c>
      <c r="G45" s="96" t="s">
        <v>186</v>
      </c>
      <c r="H45" s="96" t="s">
        <v>246</v>
      </c>
      <c r="I45" s="96"/>
      <c r="J45" s="96"/>
      <c r="K45" s="96" t="s">
        <v>188</v>
      </c>
      <c r="L45" s="105" t="s">
        <v>177</v>
      </c>
      <c r="M45" s="96" t="s">
        <v>415</v>
      </c>
      <c r="N45" s="96"/>
      <c r="O45" s="106" t="s">
        <v>416</v>
      </c>
    </row>
    <row r="46" spans="1:17" ht="26">
      <c r="A46" s="96" t="s">
        <v>323</v>
      </c>
      <c r="B46" s="108"/>
      <c r="C46" s="108"/>
      <c r="D46" s="104" t="s">
        <v>417</v>
      </c>
      <c r="E46" s="100" t="s">
        <v>418</v>
      </c>
      <c r="F46" s="108">
        <v>0.3</v>
      </c>
      <c r="G46" s="96" t="s">
        <v>186</v>
      </c>
      <c r="H46" s="98"/>
      <c r="I46" s="97"/>
      <c r="J46" s="98"/>
      <c r="K46" s="98"/>
      <c r="L46" s="105" t="s">
        <v>385</v>
      </c>
      <c r="M46" s="98" t="s">
        <v>419</v>
      </c>
      <c r="N46" s="98"/>
      <c r="O46" s="102" t="s">
        <v>420</v>
      </c>
    </row>
    <row r="47" spans="1:17" ht="65">
      <c r="A47" s="96" t="s">
        <v>233</v>
      </c>
      <c r="B47" s="108"/>
      <c r="C47" s="108"/>
      <c r="D47" s="104" t="s">
        <v>421</v>
      </c>
      <c r="F47" s="104" t="s">
        <v>422</v>
      </c>
      <c r="G47" s="96" t="s">
        <v>186</v>
      </c>
      <c r="H47" s="98"/>
      <c r="I47" s="97"/>
      <c r="J47" s="98"/>
      <c r="K47" s="98"/>
      <c r="L47" s="105"/>
      <c r="M47" s="98"/>
      <c r="N47" s="98"/>
      <c r="O47" s="102" t="s">
        <v>423</v>
      </c>
    </row>
    <row r="48" spans="1:17">
      <c r="A48" s="96"/>
      <c r="B48" s="108"/>
      <c r="C48" s="108"/>
      <c r="D48" s="108" t="s">
        <v>424</v>
      </c>
      <c r="F48" s="108"/>
      <c r="G48" s="96"/>
      <c r="H48" s="98"/>
      <c r="I48" s="97"/>
      <c r="J48" s="98"/>
      <c r="K48" s="98"/>
      <c r="L48" s="105"/>
      <c r="M48" s="98"/>
      <c r="N48" s="98"/>
      <c r="O48" s="100" t="s">
        <v>425</v>
      </c>
    </row>
    <row r="49" spans="1:15" ht="116">
      <c r="A49" s="96" t="s">
        <v>335</v>
      </c>
      <c r="B49" s="108"/>
      <c r="C49" s="108"/>
      <c r="D49" s="104" t="s">
        <v>426</v>
      </c>
      <c r="F49" s="108"/>
      <c r="G49" s="96"/>
      <c r="H49" s="98"/>
      <c r="I49" s="97"/>
      <c r="J49" s="98"/>
      <c r="K49" s="98"/>
      <c r="L49" s="109" t="s">
        <v>427</v>
      </c>
      <c r="M49" s="98"/>
      <c r="N49" s="98"/>
      <c r="O49" s="102" t="s">
        <v>428</v>
      </c>
    </row>
    <row r="50" spans="1:15" ht="58">
      <c r="A50" s="96" t="s">
        <v>335</v>
      </c>
      <c r="B50" s="108"/>
      <c r="C50" s="108"/>
      <c r="D50" s="104" t="s">
        <v>429</v>
      </c>
      <c r="F50" s="108"/>
      <c r="G50" s="96"/>
      <c r="H50" s="98"/>
      <c r="I50" s="97"/>
      <c r="J50" s="98"/>
      <c r="K50" s="98"/>
      <c r="L50" s="109" t="s">
        <v>430</v>
      </c>
      <c r="M50" s="98"/>
      <c r="N50" s="98"/>
      <c r="O50" s="102" t="s">
        <v>428</v>
      </c>
    </row>
    <row r="51" spans="1:15" ht="72.5">
      <c r="A51" s="96" t="s">
        <v>431</v>
      </c>
      <c r="B51" s="108"/>
      <c r="C51" s="108"/>
      <c r="D51" s="104" t="s">
        <v>432</v>
      </c>
      <c r="F51" s="108"/>
      <c r="G51" s="96"/>
      <c r="H51" s="98"/>
      <c r="I51" s="97"/>
      <c r="J51" s="98"/>
      <c r="K51" s="98"/>
      <c r="L51" s="109" t="s">
        <v>433</v>
      </c>
      <c r="M51" s="98"/>
      <c r="N51" s="98"/>
      <c r="O51" s="102" t="s">
        <v>428</v>
      </c>
    </row>
    <row r="52" spans="1:15" ht="72.5">
      <c r="A52" s="96" t="s">
        <v>180</v>
      </c>
      <c r="B52" s="108"/>
      <c r="C52" s="108"/>
      <c r="D52" s="104" t="s">
        <v>434</v>
      </c>
      <c r="F52" s="108"/>
      <c r="G52" s="96"/>
      <c r="H52" s="98"/>
      <c r="I52" s="97"/>
      <c r="J52" s="98"/>
      <c r="K52" s="98"/>
      <c r="L52" s="110" t="s">
        <v>435</v>
      </c>
      <c r="M52" s="98"/>
      <c r="N52" s="98"/>
      <c r="O52" s="102" t="s">
        <v>436</v>
      </c>
    </row>
    <row r="53" spans="1:15" ht="26">
      <c r="A53" s="96" t="s">
        <v>412</v>
      </c>
      <c r="B53" s="108" t="s">
        <v>437</v>
      </c>
      <c r="C53" s="108"/>
      <c r="D53" s="108" t="s">
        <v>438</v>
      </c>
      <c r="F53" s="108" t="s">
        <v>439</v>
      </c>
      <c r="G53" s="96" t="s">
        <v>186</v>
      </c>
      <c r="H53" s="98" t="s">
        <v>383</v>
      </c>
      <c r="I53" s="97"/>
      <c r="J53" s="98"/>
      <c r="K53" s="98"/>
      <c r="L53" s="105"/>
      <c r="M53" s="98"/>
      <c r="N53" s="98"/>
    </row>
    <row r="54" spans="1:15" ht="26">
      <c r="A54" s="96" t="s">
        <v>412</v>
      </c>
      <c r="B54" s="108" t="s">
        <v>437</v>
      </c>
      <c r="C54" s="108"/>
      <c r="D54" s="108" t="s">
        <v>440</v>
      </c>
      <c r="F54" s="108" t="s">
        <v>441</v>
      </c>
      <c r="G54" s="96" t="s">
        <v>186</v>
      </c>
      <c r="H54" s="98" t="s">
        <v>383</v>
      </c>
      <c r="I54" s="97"/>
      <c r="J54" s="98"/>
      <c r="K54" s="98"/>
      <c r="L54" s="105"/>
      <c r="M54" s="98"/>
      <c r="N54" s="98"/>
    </row>
    <row r="55" spans="1:15" ht="26">
      <c r="A55" s="96" t="s">
        <v>412</v>
      </c>
      <c r="B55" s="108" t="s">
        <v>437</v>
      </c>
      <c r="C55" s="108"/>
      <c r="D55" s="108" t="s">
        <v>442</v>
      </c>
      <c r="F55" s="108" t="s">
        <v>443</v>
      </c>
      <c r="G55" s="96" t="s">
        <v>186</v>
      </c>
      <c r="H55" s="98" t="s">
        <v>383</v>
      </c>
      <c r="I55" s="97"/>
      <c r="J55" s="98"/>
      <c r="K55" s="98"/>
      <c r="L55" s="105"/>
      <c r="M55" s="98"/>
      <c r="N55" s="98"/>
    </row>
    <row r="56" spans="1:15">
      <c r="A56" s="96"/>
      <c r="B56" s="108"/>
      <c r="C56" s="108"/>
      <c r="D56" s="108"/>
      <c r="F56" s="108"/>
      <c r="G56" s="96"/>
      <c r="H56" s="98"/>
      <c r="I56" s="97"/>
      <c r="J56" s="98"/>
      <c r="K56" s="98"/>
      <c r="L56" s="105"/>
      <c r="M56" s="98"/>
      <c r="N56" s="98"/>
    </row>
    <row r="57" spans="1:15">
      <c r="A57" s="96"/>
      <c r="B57" s="108"/>
      <c r="C57" s="108"/>
      <c r="D57" s="108"/>
      <c r="F57" s="108"/>
      <c r="G57" s="96"/>
      <c r="H57" s="98"/>
      <c r="I57" s="97"/>
      <c r="J57" s="98"/>
      <c r="K57" s="98"/>
      <c r="L57" s="105"/>
      <c r="M57" s="98"/>
      <c r="N57" s="98"/>
    </row>
    <row r="58" spans="1:15">
      <c r="A58" s="96"/>
      <c r="B58" s="104"/>
      <c r="C58" s="104"/>
      <c r="D58" s="104"/>
      <c r="E58" s="107"/>
      <c r="F58" s="107"/>
      <c r="G58" s="107"/>
      <c r="H58" s="96"/>
      <c r="I58" s="96"/>
      <c r="J58" s="96"/>
      <c r="K58" s="96"/>
      <c r="L58" s="111"/>
      <c r="M58" s="96"/>
      <c r="N58" s="96"/>
      <c r="O58" s="107"/>
    </row>
    <row r="59" spans="1:15">
      <c r="A59" s="96"/>
      <c r="B59" s="104"/>
      <c r="C59" s="104"/>
      <c r="D59" s="104"/>
      <c r="E59" s="104"/>
      <c r="F59" s="104"/>
      <c r="G59" s="96"/>
      <c r="H59" s="96"/>
      <c r="I59" s="96"/>
      <c r="J59" s="96"/>
      <c r="K59" s="96"/>
      <c r="L59" s="112"/>
      <c r="M59" s="96"/>
      <c r="N59" s="96"/>
      <c r="O59" s="107"/>
    </row>
    <row r="60" spans="1:15">
      <c r="A60" s="96"/>
      <c r="B60" s="104"/>
      <c r="C60" s="104"/>
      <c r="D60" s="104"/>
      <c r="E60" s="104"/>
      <c r="F60" s="104"/>
      <c r="G60" s="104"/>
      <c r="H60" s="96"/>
      <c r="I60" s="96"/>
      <c r="J60" s="96"/>
      <c r="K60" s="96"/>
      <c r="L60" s="113"/>
      <c r="M60" s="96"/>
      <c r="N60" s="96"/>
      <c r="O60" s="107"/>
    </row>
    <row r="61" spans="1:15">
      <c r="A61" s="96"/>
      <c r="B61" s="107"/>
      <c r="C61" s="107"/>
      <c r="D61" s="107"/>
      <c r="E61" s="107"/>
      <c r="F61" s="107"/>
      <c r="G61" s="107"/>
      <c r="H61" s="96"/>
      <c r="I61" s="107"/>
      <c r="J61" s="107"/>
      <c r="K61" s="107"/>
      <c r="L61" s="107"/>
      <c r="M61" s="107"/>
      <c r="N61" s="107"/>
      <c r="O61" s="107"/>
    </row>
    <row r="62" spans="1:15">
      <c r="A62" s="96"/>
    </row>
    <row r="63" spans="1:15">
      <c r="A63" s="96"/>
    </row>
    <row r="64" spans="1:15">
      <c r="A64" s="96"/>
    </row>
    <row r="65" spans="1:1">
      <c r="A65" s="96"/>
    </row>
    <row r="66" spans="1:1">
      <c r="A66" s="96"/>
    </row>
    <row r="67" spans="1:1">
      <c r="A67" s="96"/>
    </row>
    <row r="68" spans="1:1">
      <c r="A68" s="96"/>
    </row>
    <row r="69" spans="1:1">
      <c r="A69" s="96"/>
    </row>
    <row r="70" spans="1:1">
      <c r="A70" s="96"/>
    </row>
    <row r="71" spans="1:1">
      <c r="A71" s="96"/>
    </row>
    <row r="72" spans="1:1">
      <c r="A72" s="96"/>
    </row>
  </sheetData>
  <sheetProtection sheet="1" objects="1" scenarios="1" formatCells="0" formatColumns="0" formatRows="0" sort="0" autoFilter="0"/>
  <autoFilter ref="A1:O55" xr:uid="{AC286C6B-F234-49FF-9F1E-626BE0E6FCFB}">
    <filterColumn colId="6">
      <filters>
        <filter val="Yes"/>
      </filters>
    </filterColumn>
  </autoFilter>
  <dataValidations count="3">
    <dataValidation type="list" allowBlank="1" showInputMessage="1" showErrorMessage="1" sqref="H2:H48 H51:H57" xr:uid="{FC981C2A-A44D-49F9-94C6-F849C25A87B7}">
      <formula1>"Paste (caulk gun), Paste (putty knife or hand application), Liquid (rolled or brushed on), Liquid (sprayed on), Liquid (added to water), Liquid (poured), Solid, Other"</formula1>
    </dataValidation>
    <dataValidation type="list" allowBlank="1" showInputMessage="1" showErrorMessage="1" sqref="K2:K48 K51:K57" xr:uid="{9D5221BB-5DAE-4B7D-99C1-F10F35A1DCEB}">
      <formula1>"Indoor, Outdoor, Indoor/Outdoor, Unclear"</formula1>
    </dataValidation>
    <dataValidation type="list" allowBlank="1" showInputMessage="1" showErrorMessage="1" sqref="G2:G48 G51:G57" xr:uid="{25F5DF07-9184-4DE4-BB84-4DD9CDA33330}">
      <formula1>"Yes, No, Unclear"</formula1>
    </dataValidation>
  </dataValidations>
  <hyperlinks>
    <hyperlink ref="L2" r:id="rId1" xr:uid="{B424722B-414C-426E-8DB9-7E64D029FA6B}"/>
    <hyperlink ref="L3" r:id="rId2" xr:uid="{A3D2A50A-5CDB-47F1-886C-4FAD3D688F8C}"/>
    <hyperlink ref="L4" r:id="rId3" xr:uid="{0A712387-8725-4846-943A-9BD2E4C41D15}"/>
    <hyperlink ref="L5" r:id="rId4" xr:uid="{47BF5870-70A8-470A-A2A7-525475034EB9}"/>
    <hyperlink ref="L6" r:id="rId5" xr:uid="{613AB10D-CBA5-4D66-B0B3-8696166A1150}"/>
    <hyperlink ref="L7" r:id="rId6" xr:uid="{10081C7A-CB12-4DD1-B7AD-195CEAFE5D49}"/>
    <hyperlink ref="L8" r:id="rId7" xr:uid="{13E25C60-6A04-45D1-94A3-F535975431B4}"/>
    <hyperlink ref="L11" r:id="rId8" xr:uid="{4EF18E43-B609-437F-89F2-C09231B77F2A}"/>
    <hyperlink ref="L12" r:id="rId9" xr:uid="{E6E7E6F1-37A7-45CE-922E-13D828804236}"/>
    <hyperlink ref="L13" r:id="rId10" xr:uid="{BDB9DA25-C77F-473C-8AC2-B5033D76985D}"/>
    <hyperlink ref="L14" r:id="rId11" xr:uid="{55CEEF0E-DC97-41ED-ADDD-8BB48FCFF53D}"/>
    <hyperlink ref="L15" r:id="rId12" xr:uid="{A7BE43CD-D774-4F11-91D7-8C1F3BCA1DD3}"/>
    <hyperlink ref="L16" r:id="rId13" xr:uid="{F724A666-CE97-4616-9E22-60776842642C}"/>
    <hyperlink ref="L17" r:id="rId14" xr:uid="{99CD0B4D-6EB5-4A47-8F62-60D23E7D0001}"/>
    <hyperlink ref="L18" r:id="rId15" xr:uid="{2F35E591-BD36-4E79-AF32-0CDF98339B09}"/>
    <hyperlink ref="L19" r:id="rId16" xr:uid="{AC176C81-48FD-4855-8A9B-17DCD2369AFE}"/>
    <hyperlink ref="L20" r:id="rId17" xr:uid="{59D94638-F3DC-45C4-8F20-610C5E567364}"/>
    <hyperlink ref="L21" r:id="rId18" xr:uid="{5525B218-B569-478F-A463-D04F66170C1F}"/>
    <hyperlink ref="L31" r:id="rId19" xr:uid="{19B050B8-8291-48CC-8959-D808DB501793}"/>
    <hyperlink ref="L35" r:id="rId20" xr:uid="{C3EA3B32-510E-410C-A564-05A223406D7E}"/>
    <hyperlink ref="L36" r:id="rId21" xr:uid="{28F34BCA-562C-4E96-9254-7C668F55E4DB}"/>
    <hyperlink ref="L37" r:id="rId22" xr:uid="{1CDBB106-C2E2-4413-9485-8E886783F96D}"/>
    <hyperlink ref="L38" r:id="rId23" xr:uid="{F657DE56-2137-4D27-B3A4-CC05D36681B5}"/>
    <hyperlink ref="L39" r:id="rId24" xr:uid="{2A85EB7C-21DD-4DB6-AD5A-B24CD61CF0D9}"/>
    <hyperlink ref="L41" r:id="rId25" xr:uid="{2694AE41-9756-43DB-B35F-FCB1414A0B4A}"/>
    <hyperlink ref="L42" r:id="rId26" xr:uid="{A729E39B-AA5C-4939-90FF-1334BEF8E32E}"/>
    <hyperlink ref="L44" r:id="rId27" xr:uid="{C67C54C4-CE92-4389-9A6B-CCB1E579A0AB}"/>
    <hyperlink ref="L22" r:id="rId28" xr:uid="{6A400826-0B73-42C1-9DBD-58C7B7638473}"/>
    <hyperlink ref="L23" r:id="rId29" xr:uid="{81D51603-0135-40BC-A306-D2F7659F7D19}"/>
    <hyperlink ref="L25" r:id="rId30" xr:uid="{33630025-5E0A-4A55-B849-274EA1DDCDD9}"/>
    <hyperlink ref="L26" r:id="rId31" xr:uid="{E94A7A84-8E46-4DFE-B09B-459F37B063B1}"/>
    <hyperlink ref="L27" r:id="rId32" xr:uid="{0B963FE6-ACD2-4ACD-B46C-869BB8F6984B}"/>
    <hyperlink ref="L29" r:id="rId33" xr:uid="{3D4FACFF-E44A-4ED8-92E2-EBBF4F8895E3}"/>
    <hyperlink ref="L30" r:id="rId34" xr:uid="{C6B9143B-52D2-4B7B-9FCB-F2FC711A2C9A}"/>
    <hyperlink ref="L10" r:id="rId35" xr:uid="{D2D2E538-A8EC-42C8-B7F4-E772D3D99049}"/>
    <hyperlink ref="L33" r:id="rId36" xr:uid="{D31F109A-B776-48B8-832A-DBBDEED32744}"/>
    <hyperlink ref="L43" r:id="rId37" xr:uid="{0F77ED8C-4EC7-49EC-ABBA-63C70BBEA3D4}"/>
    <hyperlink ref="L9" r:id="rId38" xr:uid="{2C76E390-5DE0-4AB9-8235-38635C6EFB80}"/>
    <hyperlink ref="L40" r:id="rId39" xr:uid="{CCE8583C-19DF-4D0B-B166-F9ACB0E6C85E}"/>
    <hyperlink ref="L45" r:id="rId40" display="https://www.3m.com/3M/en_US/p/d/b40071580/" xr:uid="{77C75E64-39AC-45FC-8E66-A5C82D2531FF}"/>
    <hyperlink ref="L46" r:id="rId41" display="https://www.grainger.com/product/DUPLI-COLOR-Automotive-Coating-Black-801H01?gucid=N:N:PS:Paid:MS:CSM-2296:LC5DTN:20500731&amp;gclid=50dda9d4bdeb1d44d9aacfbc2cb0d773&amp;gclsrc=3p.ds&amp;msclkid=50dda9d4bdeb1d44d9aacfbc2cb0d773" xr:uid="{02463E3F-9CC8-4A49-BEBB-5EA68C91B323}"/>
    <hyperlink ref="L52" r:id="rId42" display="https://nabco2.myshopify.com/products/anchor-brand-dotted-canvas-gloves" xr:uid="{3D2130C4-381A-4E45-A409-0D727A9C97EF}"/>
    <hyperlink ref="L51" r:id="rId43" xr:uid="{019CA50F-273A-4041-BE10-F489F0E6AFE6}"/>
    <hyperlink ref="L50" r:id="rId44" xr:uid="{8B88C072-42EF-4E50-ABB2-2158A00227A5}"/>
    <hyperlink ref="L49" r:id="rId45" xr:uid="{AC62BA88-81F7-414B-9839-1B6851355A1D}"/>
  </hyperlinks>
  <pageMargins left="0.7" right="0.7" top="0.75" bottom="0.75" header="0.3" footer="0.3"/>
  <pageSetup orientation="portrait" r:id="rId46"/>
  <drawing r:id="rId4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08017-C857-4C87-A4C0-180CFFD649CB}">
  <sheetPr codeName="Sheet5"/>
  <dimension ref="A1:AI170"/>
  <sheetViews>
    <sheetView workbookViewId="0"/>
  </sheetViews>
  <sheetFormatPr defaultRowHeight="14.5" outlineLevelCol="1"/>
  <cols>
    <col min="1" max="1" width="10.81640625" style="671" customWidth="1"/>
    <col min="2" max="3" width="8.7265625" style="671"/>
    <col min="4" max="4" width="21.81640625" style="61" customWidth="1"/>
    <col min="5" max="5" width="7.7265625" style="671" hidden="1" customWidth="1" outlineLevel="1"/>
    <col min="6" max="6" width="3.81640625" style="671" hidden="1" customWidth="1" outlineLevel="1"/>
    <col min="7" max="7" width="9.54296875" style="61" bestFit="1" customWidth="1" collapsed="1"/>
    <col min="8" max="8" width="9.54296875" style="61" customWidth="1"/>
    <col min="9" max="9" width="10.1796875" style="671" bestFit="1" customWidth="1"/>
    <col min="10" max="13" width="10.1796875" style="671" customWidth="1"/>
    <col min="14" max="14" width="8.7265625" style="671"/>
    <col min="15" max="15" width="11.453125" style="671" customWidth="1"/>
    <col min="16" max="17" width="8.7265625" style="61"/>
    <col min="18" max="18" width="51.54296875" style="671" hidden="1" customWidth="1"/>
    <col min="19" max="19" width="76.1796875" style="671" customWidth="1"/>
    <col min="20" max="20" width="11.453125" style="671" bestFit="1" customWidth="1"/>
    <col min="21" max="21" width="14.26953125" style="671" bestFit="1" customWidth="1"/>
    <col min="22" max="22" width="11.453125" style="671" bestFit="1" customWidth="1"/>
    <col min="23" max="23" width="10.453125" style="671" bestFit="1" customWidth="1"/>
    <col min="24" max="24" width="9.26953125" style="671" bestFit="1" customWidth="1"/>
    <col min="25" max="25" width="8.7265625" style="671"/>
    <col min="26" max="26" width="42.81640625" style="671" customWidth="1"/>
    <col min="27" max="27" width="10.453125" style="671" bestFit="1" customWidth="1"/>
    <col min="28" max="28" width="12.1796875" style="671" bestFit="1" customWidth="1"/>
    <col min="29" max="29" width="10.453125" style="671" bestFit="1" customWidth="1"/>
    <col min="30" max="16384" width="8.7265625" style="671"/>
  </cols>
  <sheetData>
    <row r="1" spans="1:35" ht="39.75" customHeight="1">
      <c r="A1" s="640" t="s">
        <v>444</v>
      </c>
      <c r="B1" s="114" t="s">
        <v>445</v>
      </c>
      <c r="C1" s="114" t="s">
        <v>446</v>
      </c>
      <c r="D1" s="640" t="s">
        <v>447</v>
      </c>
      <c r="E1" s="114" t="s">
        <v>448</v>
      </c>
      <c r="F1" s="114" t="s">
        <v>449</v>
      </c>
      <c r="G1" s="640" t="s">
        <v>450</v>
      </c>
      <c r="H1" s="640"/>
      <c r="I1" s="686" t="s">
        <v>451</v>
      </c>
      <c r="J1" s="686"/>
      <c r="K1" s="686"/>
      <c r="L1" s="686"/>
      <c r="M1" s="686"/>
      <c r="N1" s="686"/>
      <c r="O1" s="686"/>
      <c r="R1" s="687" t="s">
        <v>452</v>
      </c>
      <c r="S1" s="687"/>
      <c r="T1" s="687"/>
      <c r="U1" s="687"/>
      <c r="V1" s="687"/>
      <c r="Z1" s="115"/>
      <c r="AA1" s="115"/>
      <c r="AB1" s="115"/>
      <c r="AC1" s="115"/>
      <c r="AI1" s="116" t="s">
        <v>453</v>
      </c>
    </row>
    <row r="2" spans="1:35" ht="15" customHeight="1" thickBot="1">
      <c r="A2" s="682" t="s">
        <v>454</v>
      </c>
      <c r="B2" s="682"/>
      <c r="C2" s="682"/>
      <c r="D2" s="682"/>
      <c r="E2" s="682"/>
      <c r="F2" s="682"/>
      <c r="G2" s="682"/>
      <c r="H2" s="117"/>
      <c r="I2" s="640" t="s">
        <v>444</v>
      </c>
      <c r="J2" s="640" t="s">
        <v>447</v>
      </c>
      <c r="K2" s="118" t="s">
        <v>455</v>
      </c>
      <c r="L2" s="118" t="s">
        <v>456</v>
      </c>
      <c r="M2" s="118" t="s">
        <v>457</v>
      </c>
      <c r="N2" s="115" t="s">
        <v>458</v>
      </c>
      <c r="O2" s="115" t="s">
        <v>459</v>
      </c>
      <c r="R2" s="119" t="s">
        <v>460</v>
      </c>
      <c r="S2" s="120" t="s">
        <v>461</v>
      </c>
      <c r="T2" s="118" t="s">
        <v>455</v>
      </c>
      <c r="U2" s="118" t="s">
        <v>456</v>
      </c>
      <c r="V2" s="118" t="s">
        <v>457</v>
      </c>
      <c r="Y2" s="61"/>
      <c r="Z2" s="121"/>
      <c r="AA2" s="121"/>
      <c r="AB2" s="121"/>
      <c r="AC2" s="121"/>
      <c r="AI2" s="122" t="s">
        <v>462</v>
      </c>
    </row>
    <row r="3" spans="1:35" ht="16" thickBot="1">
      <c r="A3" s="123">
        <v>6302197</v>
      </c>
      <c r="B3" s="124" t="s">
        <v>463</v>
      </c>
      <c r="C3" s="124" t="s">
        <v>464</v>
      </c>
      <c r="D3" s="125" t="s">
        <v>465</v>
      </c>
      <c r="E3" s="124" t="s">
        <v>466</v>
      </c>
      <c r="F3" s="124" t="s">
        <v>467</v>
      </c>
      <c r="G3" s="126">
        <f>E3*0.001</f>
        <v>7.2999999999999996E-4</v>
      </c>
      <c r="I3" s="682" t="s">
        <v>454</v>
      </c>
      <c r="J3" s="682"/>
      <c r="K3" s="682"/>
      <c r="L3" s="682"/>
      <c r="M3" s="682"/>
      <c r="N3" s="682"/>
      <c r="O3" s="682"/>
      <c r="R3" s="127" t="s">
        <v>335</v>
      </c>
      <c r="S3" s="128" t="s">
        <v>468</v>
      </c>
      <c r="T3" s="128">
        <v>5.2599999999999998E-5</v>
      </c>
      <c r="U3" s="128">
        <v>8.7166666666666667E-5</v>
      </c>
      <c r="V3" s="128">
        <v>1.2299999999999998E-4</v>
      </c>
      <c r="Y3" s="61"/>
      <c r="Z3" s="121"/>
      <c r="AA3" s="121"/>
      <c r="AB3" s="121"/>
      <c r="AC3" s="121"/>
      <c r="AI3" s="122" t="s">
        <v>469</v>
      </c>
    </row>
    <row r="4" spans="1:35" ht="15.5">
      <c r="A4" s="129">
        <v>6302197</v>
      </c>
      <c r="B4" s="130" t="s">
        <v>463</v>
      </c>
      <c r="C4" s="130" t="s">
        <v>464</v>
      </c>
      <c r="D4" s="131" t="s">
        <v>465</v>
      </c>
      <c r="E4" s="130" t="s">
        <v>470</v>
      </c>
      <c r="F4" s="130" t="s">
        <v>467</v>
      </c>
      <c r="G4" s="62">
        <f t="shared" ref="G4:G10" si="0">E4*0.001</f>
        <v>0.61</v>
      </c>
      <c r="I4" s="132">
        <f>A3</f>
        <v>6302197</v>
      </c>
      <c r="J4" s="671" t="str">
        <f>D3</f>
        <v>Adult toy</v>
      </c>
      <c r="K4" s="133">
        <f>MIN(G3:G10)</f>
        <v>7.2999999999999996E-4</v>
      </c>
      <c r="L4" s="618">
        <f>AVERAGE(G3:G10)</f>
        <v>0.29002875000000006</v>
      </c>
      <c r="M4" s="671">
        <f>MAX(G3:G10)</f>
        <v>0.70200000000000007</v>
      </c>
      <c r="N4" s="671">
        <f>COUNT(G3:G10)</f>
        <v>8</v>
      </c>
      <c r="O4" s="671" t="str">
        <f>C3</f>
        <v>Denmark</v>
      </c>
      <c r="R4" s="127" t="s">
        <v>335</v>
      </c>
      <c r="S4" s="128" t="s">
        <v>471</v>
      </c>
      <c r="T4" s="128">
        <v>1.5699999999999999E-5</v>
      </c>
      <c r="U4" s="128">
        <v>2.3909087499999999E-2</v>
      </c>
      <c r="V4" s="128">
        <v>0.19</v>
      </c>
      <c r="Y4" s="61"/>
      <c r="Z4" s="121"/>
      <c r="AA4" s="121"/>
      <c r="AB4" s="121"/>
      <c r="AC4" s="121"/>
      <c r="AI4" s="122" t="s">
        <v>462</v>
      </c>
    </row>
    <row r="5" spans="1:35" ht="16" thickBot="1">
      <c r="A5" s="129">
        <v>6302197</v>
      </c>
      <c r="B5" s="130" t="s">
        <v>463</v>
      </c>
      <c r="C5" s="130" t="s">
        <v>464</v>
      </c>
      <c r="D5" s="131" t="s">
        <v>465</v>
      </c>
      <c r="E5" s="130" t="s">
        <v>472</v>
      </c>
      <c r="F5" s="130" t="s">
        <v>467</v>
      </c>
      <c r="G5" s="62">
        <f t="shared" si="0"/>
        <v>0.36299999999999999</v>
      </c>
      <c r="I5" s="682" t="s">
        <v>473</v>
      </c>
      <c r="J5" s="682"/>
      <c r="K5" s="682"/>
      <c r="L5" s="682"/>
      <c r="M5" s="682"/>
      <c r="N5" s="682"/>
      <c r="O5" s="682"/>
      <c r="R5" s="127" t="s">
        <v>249</v>
      </c>
      <c r="S5" s="128" t="s">
        <v>474</v>
      </c>
      <c r="T5" s="128">
        <v>1.7E-5</v>
      </c>
      <c r="U5" s="128">
        <v>2.2664499999999997E-3</v>
      </c>
      <c r="V5" s="128">
        <v>8.9999999999999993E-3</v>
      </c>
      <c r="Y5" s="61"/>
      <c r="Z5" s="121"/>
      <c r="AA5" s="121"/>
      <c r="AB5" s="121"/>
      <c r="AC5" s="121"/>
      <c r="AI5" s="122" t="s">
        <v>475</v>
      </c>
    </row>
    <row r="6" spans="1:35" ht="15.5">
      <c r="A6" s="129">
        <v>6302197</v>
      </c>
      <c r="B6" s="130" t="s">
        <v>463</v>
      </c>
      <c r="C6" s="130" t="s">
        <v>464</v>
      </c>
      <c r="D6" s="131" t="s">
        <v>465</v>
      </c>
      <c r="E6" s="130" t="s">
        <v>476</v>
      </c>
      <c r="F6" s="130" t="s">
        <v>467</v>
      </c>
      <c r="G6" s="62">
        <f t="shared" si="0"/>
        <v>0.70200000000000007</v>
      </c>
      <c r="I6" s="671" t="str">
        <f>A12</f>
        <v>DOI: 10.1097/01.ede.0000339890.48632.e1</v>
      </c>
      <c r="J6" s="671" t="str">
        <f>D12</f>
        <v>Shower Curtain</v>
      </c>
      <c r="K6" s="133">
        <f>MIN(G12:G16)</f>
        <v>1.4000000000000002E-3</v>
      </c>
      <c r="L6" s="618">
        <f>AVERAGE(G12:G16)</f>
        <v>0.22627999999999998</v>
      </c>
      <c r="M6" s="671">
        <f>MAX(G12:G16)</f>
        <v>0.48</v>
      </c>
      <c r="N6" s="671">
        <f>COUNT(G12:G16)</f>
        <v>5</v>
      </c>
      <c r="O6" s="671" t="str">
        <f>C12</f>
        <v>US</v>
      </c>
      <c r="R6" s="127" t="s">
        <v>218</v>
      </c>
      <c r="S6" s="128" t="s">
        <v>477</v>
      </c>
      <c r="T6" s="128">
        <v>2.3300000000000001E-5</v>
      </c>
      <c r="U6" s="128">
        <v>5.3542659999999992E-2</v>
      </c>
      <c r="V6" s="128">
        <v>0.16</v>
      </c>
      <c r="Y6" s="61"/>
      <c r="Z6" s="121"/>
      <c r="AA6" s="121"/>
      <c r="AB6" s="121"/>
      <c r="AC6" s="121"/>
      <c r="AI6" s="122" t="s">
        <v>478</v>
      </c>
    </row>
    <row r="7" spans="1:35" ht="16" thickBot="1">
      <c r="A7" s="129">
        <v>6302197</v>
      </c>
      <c r="B7" s="130" t="s">
        <v>463</v>
      </c>
      <c r="C7" s="130" t="s">
        <v>464</v>
      </c>
      <c r="D7" s="131" t="s">
        <v>465</v>
      </c>
      <c r="E7" s="130" t="s">
        <v>479</v>
      </c>
      <c r="F7" s="130" t="s">
        <v>467</v>
      </c>
      <c r="G7" s="62">
        <f t="shared" si="0"/>
        <v>0.26500000000000001</v>
      </c>
      <c r="I7" s="134" t="str">
        <f>A17</f>
        <v>10622421</v>
      </c>
      <c r="J7" s="671" t="str">
        <f>D13</f>
        <v>Shower Curtain</v>
      </c>
      <c r="K7" s="133">
        <f>MIN(G17:G24)</f>
        <v>5.0000000000000001E-4</v>
      </c>
      <c r="L7" s="618">
        <f>AVERAGE(G17:G24)</f>
        <v>0.132825</v>
      </c>
      <c r="M7" s="671">
        <f>MAX(G17:G24)</f>
        <v>0.28199999999999997</v>
      </c>
      <c r="N7" s="618">
        <f>COUNT(G17:G24)</f>
        <v>8</v>
      </c>
      <c r="O7" s="671" t="str">
        <f>C17</f>
        <v>Denmark</v>
      </c>
      <c r="R7" s="127" t="s">
        <v>180</v>
      </c>
      <c r="S7" s="128" t="s">
        <v>480</v>
      </c>
      <c r="T7" s="128">
        <v>1.4099999999999999E-5</v>
      </c>
      <c r="U7" s="128">
        <v>1.2875024999999998E-2</v>
      </c>
      <c r="V7" s="128">
        <v>3.5999999999999997E-2</v>
      </c>
      <c r="Y7" s="61"/>
      <c r="Z7" s="121"/>
      <c r="AA7" s="121"/>
      <c r="AB7" s="121"/>
      <c r="AC7" s="121"/>
      <c r="AI7" s="122" t="s">
        <v>481</v>
      </c>
    </row>
    <row r="8" spans="1:35" ht="16" thickBot="1">
      <c r="A8" s="129">
        <v>6302197</v>
      </c>
      <c r="B8" s="130" t="s">
        <v>463</v>
      </c>
      <c r="C8" s="130" t="s">
        <v>464</v>
      </c>
      <c r="D8" s="131" t="s">
        <v>465</v>
      </c>
      <c r="E8" s="130" t="s">
        <v>482</v>
      </c>
      <c r="F8" s="130" t="s">
        <v>467</v>
      </c>
      <c r="G8" s="62">
        <f t="shared" si="0"/>
        <v>3.5000000000000001E-3</v>
      </c>
      <c r="I8" s="684" t="s">
        <v>483</v>
      </c>
      <c r="J8" s="684"/>
      <c r="K8" s="684"/>
      <c r="L8" s="684"/>
      <c r="M8" s="684"/>
      <c r="N8" s="684"/>
      <c r="O8" s="684"/>
      <c r="R8" s="127" t="s">
        <v>180</v>
      </c>
      <c r="S8" s="128" t="s">
        <v>484</v>
      </c>
      <c r="T8" s="128">
        <v>7.4000000000000003E-6</v>
      </c>
      <c r="U8" s="128">
        <v>1.8455000000000001E-4</v>
      </c>
      <c r="V8" s="128">
        <v>3.3099999999999998E-5</v>
      </c>
      <c r="Y8" s="61"/>
      <c r="Z8" s="121"/>
      <c r="AA8" s="121"/>
      <c r="AB8" s="121"/>
      <c r="AC8" s="121"/>
      <c r="AI8" s="122" t="s">
        <v>485</v>
      </c>
    </row>
    <row r="9" spans="1:35" ht="16" thickBot="1">
      <c r="A9" s="129">
        <v>6302197</v>
      </c>
      <c r="B9" s="130" t="s">
        <v>463</v>
      </c>
      <c r="C9" s="130" t="s">
        <v>464</v>
      </c>
      <c r="D9" s="131" t="s">
        <v>465</v>
      </c>
      <c r="E9" s="130" t="s">
        <v>486</v>
      </c>
      <c r="F9" s="130" t="s">
        <v>467</v>
      </c>
      <c r="G9" s="62">
        <f t="shared" si="0"/>
        <v>0.17599999999999999</v>
      </c>
      <c r="I9" s="134">
        <f>A63</f>
        <v>11374030</v>
      </c>
      <c r="J9" s="671" t="s">
        <v>483</v>
      </c>
      <c r="K9" s="135">
        <f>MIN(G63:G64)</f>
        <v>8.6999999999999994E-2</v>
      </c>
      <c r="L9" s="136">
        <f>AVERAGE(G63:G64)</f>
        <v>0.1075</v>
      </c>
      <c r="M9" s="137">
        <f>MAX(G63:G64)</f>
        <v>0.128</v>
      </c>
      <c r="N9" s="618">
        <f>COUNT(G63:G64)</f>
        <v>2</v>
      </c>
      <c r="O9" s="671" t="str">
        <f>C63</f>
        <v>Denmark</v>
      </c>
      <c r="R9" s="127" t="s">
        <v>180</v>
      </c>
      <c r="S9" s="128" t="s">
        <v>487</v>
      </c>
      <c r="T9" s="128">
        <v>7.4000000000000003E-6</v>
      </c>
      <c r="U9" s="128">
        <v>7.4000000000000003E-6</v>
      </c>
      <c r="V9" s="128">
        <v>7.4000000000000003E-6</v>
      </c>
      <c r="Y9" s="61"/>
      <c r="Z9" s="121"/>
      <c r="AA9" s="121"/>
      <c r="AB9" s="121"/>
      <c r="AC9" s="121"/>
      <c r="AI9" s="122" t="s">
        <v>488</v>
      </c>
    </row>
    <row r="10" spans="1:35" ht="16" thickBot="1">
      <c r="A10" s="138">
        <v>6302197</v>
      </c>
      <c r="B10" s="139" t="s">
        <v>463</v>
      </c>
      <c r="C10" s="139" t="s">
        <v>464</v>
      </c>
      <c r="D10" s="140" t="s">
        <v>465</v>
      </c>
      <c r="E10" s="139" t="s">
        <v>489</v>
      </c>
      <c r="F10" s="139" t="s">
        <v>467</v>
      </c>
      <c r="G10" s="141">
        <f t="shared" si="0"/>
        <v>0.2</v>
      </c>
      <c r="I10" s="684" t="s">
        <v>490</v>
      </c>
      <c r="J10" s="684"/>
      <c r="K10" s="684"/>
      <c r="L10" s="684"/>
      <c r="M10" s="684"/>
      <c r="N10" s="684"/>
      <c r="O10" s="684"/>
      <c r="R10" s="127" t="s">
        <v>335</v>
      </c>
      <c r="S10" s="128" t="s">
        <v>491</v>
      </c>
      <c r="T10" s="128">
        <v>2.4000000000000001E-5</v>
      </c>
      <c r="U10" s="128">
        <v>7.1199999999999996E-4</v>
      </c>
      <c r="V10" s="128">
        <v>1.4E-3</v>
      </c>
      <c r="Y10" s="61"/>
      <c r="Z10" s="121"/>
      <c r="AA10" s="121"/>
      <c r="AB10" s="121"/>
      <c r="AC10" s="121"/>
      <c r="AI10" s="122" t="s">
        <v>492</v>
      </c>
    </row>
    <row r="11" spans="1:35" ht="19" customHeight="1" thickBot="1">
      <c r="A11" s="682" t="s">
        <v>473</v>
      </c>
      <c r="B11" s="682"/>
      <c r="C11" s="682"/>
      <c r="D11" s="682"/>
      <c r="E11" s="682"/>
      <c r="F11" s="682"/>
      <c r="G11" s="682"/>
      <c r="H11" s="117"/>
      <c r="I11" s="134" t="str">
        <f>A66</f>
        <v>https://www.ecocenter.org/sites/default/files/2022-04/DS_SPSSoutput_byretailer.pdf</v>
      </c>
      <c r="J11" s="671" t="str">
        <f>D66</f>
        <v>Extension Cord</v>
      </c>
      <c r="K11" s="133">
        <f>G66</f>
        <v>0.13692599999999999</v>
      </c>
      <c r="L11" s="618">
        <f>G66</f>
        <v>0.13692599999999999</v>
      </c>
      <c r="M11" s="671">
        <f>G66</f>
        <v>0.13692599999999999</v>
      </c>
      <c r="N11" s="618">
        <v>1</v>
      </c>
      <c r="O11" s="671" t="str">
        <f>C66</f>
        <v>US</v>
      </c>
      <c r="R11" s="127" t="s">
        <v>335</v>
      </c>
      <c r="S11" s="128" t="s">
        <v>493</v>
      </c>
      <c r="T11" s="128">
        <v>9.9999999999999991E-6</v>
      </c>
      <c r="U11" s="128">
        <v>2.9478017948717947E-2</v>
      </c>
      <c r="V11" s="128">
        <v>0.20199999999999999</v>
      </c>
      <c r="Y11" s="61"/>
      <c r="Z11" s="121"/>
      <c r="AA11" s="121"/>
      <c r="AB11" s="142"/>
      <c r="AC11" s="121"/>
      <c r="AI11" s="122" t="s">
        <v>494</v>
      </c>
    </row>
    <row r="12" spans="1:35" ht="16" thickBot="1">
      <c r="A12" s="143" t="s">
        <v>495</v>
      </c>
      <c r="B12" s="125" t="s">
        <v>496</v>
      </c>
      <c r="C12" s="125" t="s">
        <v>497</v>
      </c>
      <c r="D12" s="144" t="s">
        <v>498</v>
      </c>
      <c r="E12" s="144"/>
      <c r="F12" s="144"/>
      <c r="G12" s="126">
        <v>0.25</v>
      </c>
      <c r="I12" s="684" t="s">
        <v>499</v>
      </c>
      <c r="J12" s="684"/>
      <c r="K12" s="684"/>
      <c r="L12" s="684"/>
      <c r="M12" s="684"/>
      <c r="N12" s="684"/>
      <c r="O12" s="684"/>
      <c r="R12" s="127" t="s">
        <v>335</v>
      </c>
      <c r="S12" s="128" t="s">
        <v>500</v>
      </c>
      <c r="T12" s="128"/>
      <c r="U12" s="128">
        <v>4.9700000000000002E-5</v>
      </c>
      <c r="V12" s="128"/>
      <c r="Y12" s="61"/>
      <c r="Z12" s="121"/>
      <c r="AA12" s="121"/>
      <c r="AB12" s="142"/>
      <c r="AC12" s="121"/>
      <c r="AI12" s="122" t="s">
        <v>499</v>
      </c>
    </row>
    <row r="13" spans="1:35" ht="16" thickBot="1">
      <c r="A13" s="145" t="s">
        <v>495</v>
      </c>
      <c r="B13" s="131" t="s">
        <v>496</v>
      </c>
      <c r="C13" s="131" t="s">
        <v>497</v>
      </c>
      <c r="D13" s="61" t="s">
        <v>498</v>
      </c>
      <c r="E13" s="61"/>
      <c r="F13" s="61"/>
      <c r="G13" s="62">
        <v>0.24</v>
      </c>
      <c r="I13" s="134">
        <f>A68</f>
        <v>6301520</v>
      </c>
      <c r="J13" s="671" t="s">
        <v>499</v>
      </c>
      <c r="K13" s="135">
        <f>MIN(G68:G71)</f>
        <v>0.17</v>
      </c>
      <c r="L13" s="136">
        <f>AVERAGE(G68:G71)</f>
        <v>0.29499999999999998</v>
      </c>
      <c r="M13" s="137">
        <f>MAX(G68:G71)</f>
        <v>0.44</v>
      </c>
      <c r="N13" s="618">
        <f>COUNT(G68:G71)</f>
        <v>4</v>
      </c>
      <c r="O13" s="671" t="str">
        <f>C68</f>
        <v>Denmark</v>
      </c>
      <c r="R13" s="127" t="s">
        <v>180</v>
      </c>
      <c r="S13" s="128" t="s">
        <v>501</v>
      </c>
      <c r="T13" s="128"/>
      <c r="U13" s="128">
        <v>2.83E-5</v>
      </c>
      <c r="V13" s="128"/>
      <c r="Y13" s="61"/>
      <c r="Z13" s="121"/>
      <c r="AA13" s="121"/>
      <c r="AB13" s="121"/>
      <c r="AC13" s="121"/>
      <c r="AI13" s="122" t="s">
        <v>502</v>
      </c>
    </row>
    <row r="14" spans="1:35" ht="16" thickBot="1">
      <c r="A14" s="145" t="s">
        <v>495</v>
      </c>
      <c r="B14" s="131" t="s">
        <v>496</v>
      </c>
      <c r="C14" s="131" t="s">
        <v>497</v>
      </c>
      <c r="D14" s="61" t="s">
        <v>498</v>
      </c>
      <c r="E14" s="61"/>
      <c r="F14" s="61"/>
      <c r="G14" s="62">
        <v>0.16</v>
      </c>
      <c r="I14" s="684" t="s">
        <v>503</v>
      </c>
      <c r="J14" s="684"/>
      <c r="K14" s="684"/>
      <c r="L14" s="684"/>
      <c r="M14" s="684"/>
      <c r="N14" s="684"/>
      <c r="O14" s="684"/>
      <c r="R14" s="127" t="s">
        <v>504</v>
      </c>
      <c r="S14" s="128" t="s">
        <v>505</v>
      </c>
      <c r="T14" s="128">
        <v>8.3000000000000002E-6</v>
      </c>
      <c r="U14" s="128">
        <v>2.3138427777777779E-2</v>
      </c>
      <c r="V14" s="128">
        <v>0.32999999999999996</v>
      </c>
      <c r="AI14" s="122" t="s">
        <v>506</v>
      </c>
    </row>
    <row r="15" spans="1:35" ht="16" thickBot="1">
      <c r="A15" s="145" t="s">
        <v>495</v>
      </c>
      <c r="B15" s="131" t="s">
        <v>496</v>
      </c>
      <c r="C15" s="131" t="s">
        <v>497</v>
      </c>
      <c r="D15" s="61" t="s">
        <v>498</v>
      </c>
      <c r="E15" s="61"/>
      <c r="F15" s="61"/>
      <c r="G15" s="62">
        <v>0.48</v>
      </c>
      <c r="I15" s="134">
        <f>A73</f>
        <v>10622425</v>
      </c>
      <c r="J15" s="671" t="s">
        <v>507</v>
      </c>
      <c r="K15" s="135">
        <f>MIN(G73:G77)</f>
        <v>1.1999999999999999E-3</v>
      </c>
      <c r="L15" s="136">
        <f>AVERAGE(G73:G77)</f>
        <v>7.2239999999999999E-2</v>
      </c>
      <c r="M15" s="137">
        <f>MAX(G73:G77)</f>
        <v>0.13</v>
      </c>
      <c r="N15" s="618">
        <f>COUNT(G73:G77)</f>
        <v>5</v>
      </c>
      <c r="O15" s="671" t="str">
        <f>C73</f>
        <v>Denmark</v>
      </c>
      <c r="S15" s="33"/>
      <c r="T15" s="146"/>
      <c r="AI15" s="122"/>
    </row>
    <row r="16" spans="1:35" ht="16" thickBot="1">
      <c r="A16" s="145" t="s">
        <v>495</v>
      </c>
      <c r="B16" s="131" t="s">
        <v>496</v>
      </c>
      <c r="C16" s="131" t="s">
        <v>497</v>
      </c>
      <c r="D16" s="61" t="s">
        <v>498</v>
      </c>
      <c r="E16" s="61"/>
      <c r="F16" s="61"/>
      <c r="G16" s="62">
        <f>0.14/100</f>
        <v>1.4000000000000002E-3</v>
      </c>
      <c r="I16" s="684" t="s">
        <v>508</v>
      </c>
      <c r="J16" s="684"/>
      <c r="K16" s="684"/>
      <c r="L16" s="684"/>
      <c r="M16" s="684"/>
      <c r="N16" s="684"/>
      <c r="O16" s="684"/>
      <c r="AI16" s="122" t="s">
        <v>509</v>
      </c>
    </row>
    <row r="17" spans="1:35" ht="15.5">
      <c r="A17" s="147" t="s">
        <v>510</v>
      </c>
      <c r="B17" s="130" t="s">
        <v>496</v>
      </c>
      <c r="C17" s="130" t="s">
        <v>464</v>
      </c>
      <c r="D17" s="55" t="s">
        <v>511</v>
      </c>
      <c r="F17" s="618"/>
      <c r="G17" s="53">
        <v>0.23899999999999999</v>
      </c>
      <c r="H17" s="55"/>
      <c r="I17" s="134">
        <f>A79</f>
        <v>10622425</v>
      </c>
      <c r="J17" s="671" t="s">
        <v>512</v>
      </c>
      <c r="K17" s="133">
        <f>G79</f>
        <v>0.14000000000000001</v>
      </c>
      <c r="L17" s="618">
        <f>G79</f>
        <v>0.14000000000000001</v>
      </c>
      <c r="M17" s="671">
        <f>G79</f>
        <v>0.14000000000000001</v>
      </c>
      <c r="N17" s="618">
        <v>1</v>
      </c>
      <c r="O17" s="671" t="str">
        <f>C79</f>
        <v>Denmark</v>
      </c>
      <c r="AI17" s="122" t="s">
        <v>513</v>
      </c>
    </row>
    <row r="18" spans="1:35" ht="16" thickBot="1">
      <c r="A18" s="147" t="s">
        <v>510</v>
      </c>
      <c r="B18" s="130" t="s">
        <v>496</v>
      </c>
      <c r="C18" s="130" t="s">
        <v>464</v>
      </c>
      <c r="D18" s="55" t="s">
        <v>511</v>
      </c>
      <c r="F18" s="618"/>
      <c r="G18" s="53">
        <v>1.1299999999999999E-2</v>
      </c>
      <c r="H18" s="55"/>
      <c r="I18" s="132" t="str">
        <f>A80</f>
        <v>10622421</v>
      </c>
      <c r="J18" s="671" t="s">
        <v>514</v>
      </c>
      <c r="K18" s="133">
        <f>MIN(G80:G89)</f>
        <v>3.0000000000000001E-5</v>
      </c>
      <c r="L18" s="618">
        <f>AVERAGE(G80:G89)</f>
        <v>8.1667000000000003E-2</v>
      </c>
      <c r="M18" s="671">
        <f>MAX(G80:G89)</f>
        <v>0.30399999999999999</v>
      </c>
      <c r="N18" s="671">
        <f>COUNT(G80:G89)</f>
        <v>10</v>
      </c>
      <c r="O18" s="671" t="str">
        <f>C80</f>
        <v>Denmark</v>
      </c>
      <c r="AI18" s="122" t="s">
        <v>515</v>
      </c>
    </row>
    <row r="19" spans="1:35" ht="16" thickBot="1">
      <c r="A19" s="147" t="s">
        <v>510</v>
      </c>
      <c r="B19" s="130" t="s">
        <v>496</v>
      </c>
      <c r="C19" s="130" t="s">
        <v>464</v>
      </c>
      <c r="D19" s="55" t="s">
        <v>511</v>
      </c>
      <c r="F19" s="618"/>
      <c r="G19" s="53">
        <v>2.1099999999999997E-2</v>
      </c>
      <c r="H19" s="55"/>
      <c r="I19" s="684" t="s">
        <v>516</v>
      </c>
      <c r="J19" s="684"/>
      <c r="K19" s="684"/>
      <c r="L19" s="684"/>
      <c r="M19" s="684"/>
      <c r="N19" s="684"/>
      <c r="O19" s="684"/>
      <c r="AI19" s="122" t="s">
        <v>517</v>
      </c>
    </row>
    <row r="20" spans="1:35" ht="16" thickBot="1">
      <c r="A20" s="147" t="s">
        <v>510</v>
      </c>
      <c r="B20" s="130" t="s">
        <v>496</v>
      </c>
      <c r="C20" s="130" t="s">
        <v>464</v>
      </c>
      <c r="D20" s="55" t="s">
        <v>511</v>
      </c>
      <c r="F20" s="618"/>
      <c r="G20" s="53">
        <v>0.27600000000000002</v>
      </c>
      <c r="H20" s="55"/>
      <c r="I20" s="148">
        <f>A91</f>
        <v>11374030</v>
      </c>
      <c r="J20" s="149" t="s">
        <v>518</v>
      </c>
      <c r="K20" s="150">
        <f>MIN(G91:G95)</f>
        <v>3.6999999999999999E-4</v>
      </c>
      <c r="L20" s="151">
        <f>AVERAGE(G91:G95)</f>
        <v>5.2034000000000004E-2</v>
      </c>
      <c r="M20" s="152">
        <f>MAX(G91:G95)</f>
        <v>0.17699999999999999</v>
      </c>
      <c r="N20" s="153">
        <f>COUNT(G91:G95)</f>
        <v>5</v>
      </c>
      <c r="O20" s="149" t="str">
        <f>C91</f>
        <v>Denmark</v>
      </c>
      <c r="AI20" s="122" t="s">
        <v>519</v>
      </c>
    </row>
    <row r="21" spans="1:35" ht="16" thickBot="1">
      <c r="A21" s="147" t="s">
        <v>510</v>
      </c>
      <c r="B21" s="130" t="s">
        <v>496</v>
      </c>
      <c r="C21" s="130" t="s">
        <v>464</v>
      </c>
      <c r="D21" s="55" t="s">
        <v>511</v>
      </c>
      <c r="F21" s="618"/>
      <c r="G21" s="53">
        <v>1.7000000000000001E-3</v>
      </c>
      <c r="H21" s="55"/>
      <c r="I21" s="684" t="s">
        <v>520</v>
      </c>
      <c r="J21" s="684"/>
      <c r="K21" s="684"/>
      <c r="L21" s="684"/>
      <c r="M21" s="684"/>
      <c r="N21" s="684"/>
      <c r="O21" s="684"/>
      <c r="AI21" s="122" t="s">
        <v>521</v>
      </c>
    </row>
    <row r="22" spans="1:35" ht="15.5">
      <c r="A22" s="147" t="s">
        <v>510</v>
      </c>
      <c r="B22" s="130" t="s">
        <v>496</v>
      </c>
      <c r="C22" s="130" t="s">
        <v>464</v>
      </c>
      <c r="D22" s="55" t="s">
        <v>511</v>
      </c>
      <c r="F22" s="618"/>
      <c r="G22" s="53">
        <v>0.28199999999999997</v>
      </c>
      <c r="H22" s="55"/>
      <c r="I22" s="134" t="str">
        <f>A97</f>
        <v>10622421</v>
      </c>
      <c r="J22" s="671" t="str">
        <f>D97</f>
        <v xml:space="preserve">vinyl flooring </v>
      </c>
      <c r="K22" s="135">
        <f>MIN(G97:G98)</f>
        <v>4.85E-5</v>
      </c>
      <c r="L22" s="136">
        <f>AVERAGE(G97:G98)</f>
        <v>1.8674999999999999E-4</v>
      </c>
      <c r="M22" s="137">
        <f>MAX(G97:G98)</f>
        <v>3.2499999999999999E-4</v>
      </c>
      <c r="N22" s="618">
        <f>COUNT(G97:G98)</f>
        <v>2</v>
      </c>
      <c r="O22" s="671" t="str">
        <f>C97</f>
        <v>Denmark</v>
      </c>
      <c r="AI22" s="122" t="s">
        <v>522</v>
      </c>
    </row>
    <row r="23" spans="1:35" ht="22" customHeight="1" thickBot="1">
      <c r="A23" s="147" t="s">
        <v>510</v>
      </c>
      <c r="B23" s="130" t="s">
        <v>496</v>
      </c>
      <c r="C23" s="130" t="s">
        <v>464</v>
      </c>
      <c r="D23" s="55" t="s">
        <v>511</v>
      </c>
      <c r="F23" s="618"/>
      <c r="G23" s="53">
        <v>0.23100000000000001</v>
      </c>
      <c r="H23" s="55"/>
      <c r="I23" s="134" t="str">
        <f>A99</f>
        <v>https://www.ecocenter.org/sites/default/files/2022-04/DS_SPSSoutput_byretailer.pdf</v>
      </c>
      <c r="J23" s="671" t="str">
        <f>D99</f>
        <v>self adhesive vinyl floor tiles</v>
      </c>
      <c r="K23" s="133">
        <f>G99</f>
        <v>2.8136999999999999E-2</v>
      </c>
      <c r="L23" s="618">
        <f>G99</f>
        <v>2.8136999999999999E-2</v>
      </c>
      <c r="M23" s="671">
        <f>G99</f>
        <v>2.8136999999999999E-2</v>
      </c>
      <c r="N23" s="618">
        <v>1</v>
      </c>
      <c r="O23" s="671" t="str">
        <f>C99</f>
        <v>US</v>
      </c>
      <c r="AI23" s="122" t="s">
        <v>523</v>
      </c>
    </row>
    <row r="24" spans="1:35" ht="16" thickBot="1">
      <c r="A24" s="154" t="s">
        <v>510</v>
      </c>
      <c r="B24" s="139" t="s">
        <v>496</v>
      </c>
      <c r="C24" s="139" t="s">
        <v>464</v>
      </c>
      <c r="D24" s="670" t="s">
        <v>511</v>
      </c>
      <c r="E24" s="90"/>
      <c r="F24" s="155"/>
      <c r="G24" s="156">
        <v>5.0000000000000001E-4</v>
      </c>
      <c r="H24" s="55"/>
      <c r="I24" s="684" t="s">
        <v>524</v>
      </c>
      <c r="J24" s="684"/>
      <c r="K24" s="684"/>
      <c r="L24" s="684"/>
      <c r="M24" s="684"/>
      <c r="N24" s="684"/>
      <c r="O24" s="684"/>
      <c r="AI24" s="122" t="s">
        <v>525</v>
      </c>
    </row>
    <row r="25" spans="1:35" ht="14.15" customHeight="1" thickBot="1">
      <c r="A25" s="685" t="s">
        <v>526</v>
      </c>
      <c r="B25" s="685"/>
      <c r="C25" s="685"/>
      <c r="D25" s="685"/>
      <c r="E25" s="685"/>
      <c r="F25" s="685"/>
      <c r="G25" s="685"/>
      <c r="H25" s="117"/>
      <c r="I25" s="134" t="str">
        <f>A101</f>
        <v>10622421</v>
      </c>
      <c r="J25" s="671" t="str">
        <f>D101</f>
        <v>wallpaper</v>
      </c>
      <c r="K25" s="135">
        <f>MIN(G101:G106)</f>
        <v>1.0000000000000001E-5</v>
      </c>
      <c r="L25" s="136">
        <f>AVERAGE(G101:G106)</f>
        <v>2.5000000000000001E-5</v>
      </c>
      <c r="M25" s="137">
        <f>MAX(G101:G106)</f>
        <v>4.0000000000000003E-5</v>
      </c>
      <c r="N25" s="618">
        <f>COUNT(G101:G106)</f>
        <v>6</v>
      </c>
      <c r="O25" s="671" t="str">
        <f>C101</f>
        <v>Denmark</v>
      </c>
      <c r="AI25" s="122" t="s">
        <v>527</v>
      </c>
    </row>
    <row r="26" spans="1:35" ht="16" thickBot="1">
      <c r="A26" s="157">
        <v>11374030</v>
      </c>
      <c r="B26" s="124" t="s">
        <v>496</v>
      </c>
      <c r="C26" s="124" t="s">
        <v>464</v>
      </c>
      <c r="D26" s="158" t="s">
        <v>528</v>
      </c>
      <c r="E26" s="124"/>
      <c r="F26" s="124"/>
      <c r="G26" s="159">
        <v>5.3999999999999994E-3</v>
      </c>
      <c r="H26" s="160"/>
      <c r="I26" s="684" t="s">
        <v>529</v>
      </c>
      <c r="J26" s="684"/>
      <c r="K26" s="684"/>
      <c r="L26" s="684"/>
      <c r="M26" s="684"/>
      <c r="N26" s="684"/>
      <c r="O26" s="684"/>
      <c r="AI26" s="122" t="s">
        <v>530</v>
      </c>
    </row>
    <row r="27" spans="1:35" ht="22" customHeight="1">
      <c r="A27" s="146" t="s">
        <v>531</v>
      </c>
      <c r="B27" s="130" t="s">
        <v>496</v>
      </c>
      <c r="C27" s="130" t="s">
        <v>497</v>
      </c>
      <c r="D27" s="33" t="s">
        <v>532</v>
      </c>
      <c r="F27" s="161">
        <v>114095</v>
      </c>
      <c r="G27" s="48">
        <f>F27*10^-6</f>
        <v>0.11409499999999999</v>
      </c>
      <c r="H27" s="671"/>
      <c r="I27" s="132" t="str">
        <f>A108</f>
        <v>10622421</v>
      </c>
      <c r="J27" s="671" t="str">
        <f>D108</f>
        <v>PU leather furniture</v>
      </c>
      <c r="K27" s="133">
        <f>MIN(G108:G119)</f>
        <v>2.0000000000000002E-5</v>
      </c>
      <c r="L27" s="618">
        <f>AVERAGE(G108:G119)</f>
        <v>0.12293833333333333</v>
      </c>
      <c r="M27" s="671">
        <f>MAX(G108:G119)</f>
        <v>0.39200000000000002</v>
      </c>
      <c r="N27" s="671">
        <f>COUNT(G108:G119)</f>
        <v>12</v>
      </c>
      <c r="O27" s="671" t="str">
        <f>C108</f>
        <v>Denmark</v>
      </c>
      <c r="AI27" s="122" t="s">
        <v>533</v>
      </c>
    </row>
    <row r="28" spans="1:35" ht="16.5" customHeight="1">
      <c r="A28" s="162">
        <v>11374030</v>
      </c>
      <c r="B28" s="130" t="s">
        <v>496</v>
      </c>
      <c r="C28" s="130" t="s">
        <v>464</v>
      </c>
      <c r="D28" s="55" t="s">
        <v>534</v>
      </c>
      <c r="E28" s="130"/>
      <c r="F28" s="130"/>
      <c r="G28" s="163">
        <v>0.27599999999999997</v>
      </c>
      <c r="H28" s="160"/>
      <c r="I28" s="148" t="str">
        <f>A120</f>
        <v>10622421</v>
      </c>
      <c r="J28" s="149" t="str">
        <f>D120</f>
        <v>oilcloth</v>
      </c>
      <c r="K28" s="150">
        <f>MIN(G120:G126)</f>
        <v>3.0000000000000001E-5</v>
      </c>
      <c r="L28" s="151">
        <f>AVERAGE(G120:G126)</f>
        <v>0.11847285714285713</v>
      </c>
      <c r="M28" s="152">
        <f>MAX(G120:G126)</f>
        <v>0.253</v>
      </c>
      <c r="N28" s="153">
        <f>COUNT(G120:G126)</f>
        <v>7</v>
      </c>
      <c r="O28" s="149" t="str">
        <f>C120</f>
        <v>Denmark</v>
      </c>
      <c r="AI28" s="122" t="s">
        <v>535</v>
      </c>
    </row>
    <row r="29" spans="1:35" ht="16" thickBot="1">
      <c r="A29" s="162">
        <v>11374030</v>
      </c>
      <c r="B29" s="130" t="s">
        <v>496</v>
      </c>
      <c r="C29" s="130" t="s">
        <v>464</v>
      </c>
      <c r="D29" s="55" t="s">
        <v>536</v>
      </c>
      <c r="F29" s="164"/>
      <c r="G29" s="165">
        <v>4.9999999999999996E-5</v>
      </c>
      <c r="H29" s="166"/>
      <c r="I29" s="682" t="s">
        <v>537</v>
      </c>
      <c r="J29" s="682"/>
      <c r="K29" s="682"/>
      <c r="L29" s="682"/>
      <c r="M29" s="682"/>
      <c r="N29" s="682"/>
      <c r="O29" s="682"/>
      <c r="AI29" s="122" t="s">
        <v>538</v>
      </c>
    </row>
    <row r="30" spans="1:35" ht="15" customHeight="1">
      <c r="A30" s="162">
        <v>11374030</v>
      </c>
      <c r="B30" s="130" t="s">
        <v>496</v>
      </c>
      <c r="C30" s="130" t="s">
        <v>464</v>
      </c>
      <c r="D30" s="55" t="s">
        <v>536</v>
      </c>
      <c r="F30" s="164"/>
      <c r="G30" s="53">
        <v>1E-3</v>
      </c>
      <c r="H30" s="55"/>
      <c r="I30" s="134" t="str">
        <f>A128</f>
        <v>10622421</v>
      </c>
      <c r="J30" s="671" t="str">
        <f>D128</f>
        <v>balance ball</v>
      </c>
      <c r="K30" s="135">
        <f>MIN(G128:G134)</f>
        <v>9.0000000000000002E-6</v>
      </c>
      <c r="L30" s="136">
        <f>AVERAGE(G128:G134)</f>
        <v>0.12725985714285715</v>
      </c>
      <c r="M30" s="137">
        <f>MAX(G128:G134)</f>
        <v>0.442</v>
      </c>
      <c r="N30" s="618">
        <f>COUNT(G128:G134)</f>
        <v>7</v>
      </c>
      <c r="O30" s="671" t="str">
        <f>C128</f>
        <v>Denmark</v>
      </c>
      <c r="AI30" s="122" t="s">
        <v>539</v>
      </c>
    </row>
    <row r="31" spans="1:35" ht="15.5">
      <c r="A31" s="162">
        <v>11374030</v>
      </c>
      <c r="B31" s="130" t="s">
        <v>496</v>
      </c>
      <c r="C31" s="130" t="s">
        <v>464</v>
      </c>
      <c r="D31" s="55" t="s">
        <v>540</v>
      </c>
      <c r="F31" s="164"/>
      <c r="G31" s="163">
        <v>0.16699999999999998</v>
      </c>
      <c r="H31" s="160"/>
      <c r="I31" s="134">
        <f>A135</f>
        <v>11374030</v>
      </c>
      <c r="J31" s="671" t="str">
        <f>D135</f>
        <v>jump rope</v>
      </c>
      <c r="K31" s="135">
        <f>MIN(G135:G136)</f>
        <v>8.4000000000000005E-2</v>
      </c>
      <c r="L31" s="136">
        <f>AVERAGE(G135:G136)</f>
        <v>0.1275</v>
      </c>
      <c r="M31" s="137">
        <f>MAX(G135:G136)</f>
        <v>0.17100000000000001</v>
      </c>
      <c r="N31" s="618">
        <f>COUNT(G135:G136)</f>
        <v>2</v>
      </c>
      <c r="O31" s="671" t="str">
        <f>C135</f>
        <v>Denmark</v>
      </c>
      <c r="AI31" s="122" t="s">
        <v>541</v>
      </c>
    </row>
    <row r="32" spans="1:35" ht="15.5">
      <c r="A32" s="162">
        <v>11374030</v>
      </c>
      <c r="B32" s="130" t="s">
        <v>496</v>
      </c>
      <c r="C32" s="130" t="s">
        <v>464</v>
      </c>
      <c r="D32" s="55" t="s">
        <v>540</v>
      </c>
      <c r="G32" s="163">
        <v>0.27499999999999997</v>
      </c>
      <c r="H32" s="160"/>
      <c r="I32" s="134">
        <f>A137</f>
        <v>11374030</v>
      </c>
      <c r="J32" s="671" t="str">
        <f>D137</f>
        <v>yoga mat</v>
      </c>
      <c r="K32" s="133">
        <f>G137</f>
        <v>6.0000000000000002E-6</v>
      </c>
      <c r="L32" s="618">
        <f>G137</f>
        <v>6.0000000000000002E-6</v>
      </c>
      <c r="M32" s="671">
        <f>G137</f>
        <v>6.0000000000000002E-6</v>
      </c>
      <c r="N32" s="618">
        <v>1</v>
      </c>
      <c r="O32" s="671" t="str">
        <f>C137</f>
        <v>Denmark</v>
      </c>
      <c r="AI32" s="122" t="s">
        <v>542</v>
      </c>
    </row>
    <row r="33" spans="1:35" ht="15.5">
      <c r="A33" s="162">
        <v>11374030</v>
      </c>
      <c r="B33" s="130" t="s">
        <v>496</v>
      </c>
      <c r="C33" s="130" t="s">
        <v>464</v>
      </c>
      <c r="D33" s="55" t="s">
        <v>543</v>
      </c>
      <c r="F33" s="618"/>
      <c r="G33" s="163">
        <v>6.0999999999999999E-2</v>
      </c>
      <c r="H33" s="160"/>
      <c r="I33" s="134">
        <f>A138</f>
        <v>11374030</v>
      </c>
      <c r="J33" s="671" t="str">
        <f>D138</f>
        <v>football</v>
      </c>
      <c r="K33" s="135">
        <f>MIN(G138:G139)</f>
        <v>6.9999999999999999E-6</v>
      </c>
      <c r="L33" s="136">
        <f>AVERAGE(G138:G139)</f>
        <v>0.1075035</v>
      </c>
      <c r="M33" s="137">
        <f>MAX(G138:G139)</f>
        <v>0.215</v>
      </c>
      <c r="N33" s="618">
        <f>COUNT(G138:G139)</f>
        <v>2</v>
      </c>
      <c r="O33" s="671" t="str">
        <f>C138</f>
        <v>Denmark</v>
      </c>
      <c r="AI33" s="122" t="s">
        <v>544</v>
      </c>
    </row>
    <row r="34" spans="1:35" ht="16" thickBot="1">
      <c r="A34" s="162">
        <v>11374030</v>
      </c>
      <c r="B34" s="130" t="s">
        <v>496</v>
      </c>
      <c r="C34" s="130" t="s">
        <v>464</v>
      </c>
      <c r="D34" s="55" t="s">
        <v>543</v>
      </c>
      <c r="G34" s="163">
        <v>0.13600000000000001</v>
      </c>
      <c r="H34" s="160"/>
      <c r="I34" s="682" t="s">
        <v>545</v>
      </c>
      <c r="J34" s="682"/>
      <c r="K34" s="682"/>
      <c r="L34" s="682"/>
      <c r="M34" s="682"/>
      <c r="N34" s="682"/>
      <c r="O34" s="682"/>
    </row>
    <row r="35" spans="1:35" ht="15.5">
      <c r="A35" s="162">
        <v>11374030</v>
      </c>
      <c r="B35" s="130" t="s">
        <v>496</v>
      </c>
      <c r="C35" s="130" t="s">
        <v>464</v>
      </c>
      <c r="D35" s="55" t="s">
        <v>546</v>
      </c>
      <c r="F35" s="164"/>
      <c r="G35" s="53">
        <v>0.11799999999999999</v>
      </c>
      <c r="H35" s="55"/>
      <c r="I35" s="134">
        <f>A141</f>
        <v>11374030</v>
      </c>
      <c r="J35" s="671" t="str">
        <f>D141</f>
        <v>hobby cutting board</v>
      </c>
      <c r="K35" s="135">
        <f>MIN(G141:G142)</f>
        <v>1.2999999999999999E-2</v>
      </c>
      <c r="L35" s="136">
        <f>AVERAGE(G141:G142)</f>
        <v>1.55E-2</v>
      </c>
      <c r="M35" s="137">
        <f>MAX(G141:G142)</f>
        <v>1.7999999999999999E-2</v>
      </c>
      <c r="N35" s="618">
        <f>COUNT(G141:G142)</f>
        <v>2</v>
      </c>
      <c r="O35" s="671" t="str">
        <f>C141</f>
        <v>Denmark</v>
      </c>
    </row>
    <row r="36" spans="1:35" ht="20.149999999999999" customHeight="1" thickBot="1">
      <c r="A36" s="162">
        <v>11374030</v>
      </c>
      <c r="B36" s="130" t="s">
        <v>496</v>
      </c>
      <c r="C36" s="130" t="s">
        <v>464</v>
      </c>
      <c r="D36" s="55" t="s">
        <v>547</v>
      </c>
      <c r="F36" s="618"/>
      <c r="G36" s="163">
        <v>4.7E-2</v>
      </c>
      <c r="H36" s="160"/>
      <c r="I36" s="134" t="str">
        <f>A143</f>
        <v>https://www.ecocenter.org/sites/default/files/2022-04/DS_SPSSoutput_byretailer.pdf</v>
      </c>
      <c r="J36" s="671" t="str">
        <f>D143</f>
        <v>Pencil Pouch</v>
      </c>
      <c r="K36" s="135">
        <f>MIN(G143:G145)</f>
        <v>3.2199999999999998E-3</v>
      </c>
      <c r="L36" s="136">
        <f>AVERAGE(G143:G145)</f>
        <v>6.7813999999999999E-2</v>
      </c>
      <c r="M36" s="137">
        <f>MAX(G143:G145)</f>
        <v>0.13670599999999999</v>
      </c>
      <c r="N36" s="618">
        <f>COUNT(G143:G145)</f>
        <v>3</v>
      </c>
      <c r="O36" s="671" t="str">
        <f>C143</f>
        <v>US</v>
      </c>
    </row>
    <row r="37" spans="1:35" ht="15.5">
      <c r="A37" s="162">
        <v>11374030</v>
      </c>
      <c r="B37" s="130" t="s">
        <v>496</v>
      </c>
      <c r="C37" s="130" t="s">
        <v>464</v>
      </c>
      <c r="D37" s="55" t="s">
        <v>548</v>
      </c>
      <c r="G37" s="163">
        <v>6.0999999999999999E-2</v>
      </c>
      <c r="H37" s="160"/>
      <c r="I37" s="685" t="s">
        <v>526</v>
      </c>
      <c r="J37" s="685"/>
      <c r="K37" s="685"/>
      <c r="L37" s="685"/>
      <c r="M37" s="685"/>
      <c r="N37" s="685"/>
      <c r="O37" s="685"/>
    </row>
    <row r="38" spans="1:35" ht="20.149999999999999" customHeight="1">
      <c r="A38" s="162" t="s">
        <v>549</v>
      </c>
      <c r="B38" s="130" t="s">
        <v>496</v>
      </c>
      <c r="C38" s="130" t="s">
        <v>497</v>
      </c>
      <c r="D38" s="55" t="s">
        <v>548</v>
      </c>
      <c r="G38" s="163">
        <f>2.6/100</f>
        <v>2.6000000000000002E-2</v>
      </c>
      <c r="H38" s="160"/>
      <c r="I38" s="134">
        <f>A26</f>
        <v>11374030</v>
      </c>
      <c r="J38" s="671" t="str">
        <f>D26</f>
        <v>phone charger</v>
      </c>
      <c r="K38" s="164">
        <v>5.3999999999999994E-3</v>
      </c>
      <c r="L38" s="164">
        <f>G26</f>
        <v>5.3999999999999994E-3</v>
      </c>
      <c r="M38" s="164">
        <v>5.3999999999999994E-3</v>
      </c>
      <c r="N38" s="618">
        <v>1</v>
      </c>
      <c r="O38" s="671" t="str">
        <f>C26</f>
        <v>Denmark</v>
      </c>
      <c r="AI38" s="122" t="s">
        <v>550</v>
      </c>
    </row>
    <row r="39" spans="1:35" ht="22.5" customHeight="1">
      <c r="A39" s="162" t="s">
        <v>549</v>
      </c>
      <c r="B39" s="130"/>
      <c r="C39" s="130" t="s">
        <v>497</v>
      </c>
      <c r="D39" s="55" t="s">
        <v>548</v>
      </c>
      <c r="G39" s="163">
        <f>1.3/100</f>
        <v>1.3000000000000001E-2</v>
      </c>
      <c r="H39" s="160"/>
      <c r="I39" s="134" t="str">
        <f>A27</f>
        <v>https://www.ecocenter.org/sites/default/files/2022-04/DS_SPSSoutput_byretailer.pdf</v>
      </c>
      <c r="J39" s="671" t="str">
        <f>D27</f>
        <v>wireless earbuds</v>
      </c>
      <c r="K39" s="133">
        <v>0.11409499999999999</v>
      </c>
      <c r="L39" s="618">
        <f>G27</f>
        <v>0.11409499999999999</v>
      </c>
      <c r="M39" s="671">
        <v>0.11409499999999999</v>
      </c>
      <c r="N39" s="618">
        <v>1</v>
      </c>
      <c r="O39" s="671" t="str">
        <f>C27</f>
        <v>US</v>
      </c>
      <c r="AI39" s="122" t="s">
        <v>551</v>
      </c>
    </row>
    <row r="40" spans="1:35" ht="15.5">
      <c r="A40" s="167">
        <v>6302975</v>
      </c>
      <c r="B40" s="130" t="s">
        <v>496</v>
      </c>
      <c r="C40" s="130" t="s">
        <v>464</v>
      </c>
      <c r="D40" s="55" t="s">
        <v>552</v>
      </c>
      <c r="F40" s="55"/>
      <c r="G40" s="53">
        <v>1.3300000000000001E-4</v>
      </c>
      <c r="H40" s="55"/>
      <c r="I40" s="134">
        <f>A31</f>
        <v>11374030</v>
      </c>
      <c r="J40" s="671" t="str">
        <f>D31</f>
        <v>pet chew toy</v>
      </c>
      <c r="K40" s="135">
        <f>MIN(G31:G32)</f>
        <v>0.16699999999999998</v>
      </c>
      <c r="L40" s="136">
        <f>AVERAGE(G31:G32)</f>
        <v>0.22099999999999997</v>
      </c>
      <c r="M40" s="137">
        <f>MAX(G31:G32)</f>
        <v>0.27499999999999997</v>
      </c>
      <c r="N40" s="618">
        <f>COUNT(G31:G32)</f>
        <v>2</v>
      </c>
      <c r="O40" s="671" t="str">
        <f>C31</f>
        <v>Denmark</v>
      </c>
      <c r="AI40" s="122" t="s">
        <v>553</v>
      </c>
    </row>
    <row r="41" spans="1:35" ht="15.5">
      <c r="A41" s="167">
        <v>6302975</v>
      </c>
      <c r="B41" s="130" t="s">
        <v>496</v>
      </c>
      <c r="C41" s="130" t="s">
        <v>464</v>
      </c>
      <c r="D41" s="55" t="s">
        <v>552</v>
      </c>
      <c r="F41" s="55"/>
      <c r="G41" s="53">
        <v>2.6823E-2</v>
      </c>
      <c r="H41" s="55"/>
      <c r="I41" s="134">
        <f>A33</f>
        <v>11374030</v>
      </c>
      <c r="J41" s="671" t="str">
        <f>D33</f>
        <v>feeding mat</v>
      </c>
      <c r="K41" s="135">
        <f>MIN(G33:G34)</f>
        <v>6.0999999999999999E-2</v>
      </c>
      <c r="L41" s="136">
        <f>AVERAGE(G33:G34)</f>
        <v>9.8500000000000004E-2</v>
      </c>
      <c r="M41" s="137">
        <f>MAX(G33:G34)</f>
        <v>0.13600000000000001</v>
      </c>
      <c r="N41" s="618">
        <f>COUNT(G33:G34)</f>
        <v>2</v>
      </c>
      <c r="O41" s="671" t="str">
        <f>C32</f>
        <v>Denmark</v>
      </c>
    </row>
    <row r="42" spans="1:35" ht="15.5">
      <c r="A42" s="167">
        <v>6302975</v>
      </c>
      <c r="B42" s="130" t="s">
        <v>496</v>
      </c>
      <c r="C42" s="130" t="s">
        <v>464</v>
      </c>
      <c r="D42" s="55" t="s">
        <v>552</v>
      </c>
      <c r="F42" s="55"/>
      <c r="G42" s="53">
        <v>8.0129999999999993E-2</v>
      </c>
      <c r="H42" s="55"/>
      <c r="I42" s="134">
        <f>A40</f>
        <v>6302975</v>
      </c>
      <c r="J42" s="671" t="str">
        <f>D40</f>
        <v>Soap packaging</v>
      </c>
      <c r="K42" s="135">
        <f>MIN(G40:G42)</f>
        <v>1.3300000000000001E-4</v>
      </c>
      <c r="L42" s="136">
        <f>AVERAGE(G40:G42)</f>
        <v>3.5695333333333329E-2</v>
      </c>
      <c r="M42" s="137">
        <f>MAX(G40:G42)</f>
        <v>8.0129999999999993E-2</v>
      </c>
      <c r="N42" s="618">
        <f>COUNT(G40:G42)</f>
        <v>3</v>
      </c>
      <c r="O42" s="671" t="str">
        <f>C40</f>
        <v>Denmark</v>
      </c>
    </row>
    <row r="43" spans="1:35" ht="15.5">
      <c r="A43" s="167">
        <v>6302975</v>
      </c>
      <c r="B43" s="130" t="s">
        <v>496</v>
      </c>
      <c r="C43" s="130" t="s">
        <v>464</v>
      </c>
      <c r="D43" s="55" t="s">
        <v>554</v>
      </c>
      <c r="F43" s="55"/>
      <c r="G43" s="53">
        <v>0.12862499999999999</v>
      </c>
      <c r="H43" s="55"/>
      <c r="I43" s="134">
        <f>A44</f>
        <v>10622425</v>
      </c>
      <c r="J43" s="671" t="s">
        <v>555</v>
      </c>
      <c r="K43" s="135">
        <f>MIN(G44:G45)</f>
        <v>7.000000000000001E-4</v>
      </c>
      <c r="L43" s="136">
        <f>AVERAGE(G44:G45)</f>
        <v>4.0350000000000004E-2</v>
      </c>
      <c r="M43" s="137">
        <f>MAX(G44:G45)</f>
        <v>0.08</v>
      </c>
      <c r="N43" s="618">
        <f>COUNT(G44:G45)</f>
        <v>2</v>
      </c>
      <c r="O43" s="671" t="str">
        <f>C44</f>
        <v>Denmark</v>
      </c>
    </row>
    <row r="44" spans="1:35" ht="18.649999999999999" customHeight="1">
      <c r="A44" s="167">
        <v>10622425</v>
      </c>
      <c r="B44" s="130" t="s">
        <v>496</v>
      </c>
      <c r="C44" s="130" t="s">
        <v>464</v>
      </c>
      <c r="D44" s="55" t="s">
        <v>556</v>
      </c>
      <c r="F44" s="55"/>
      <c r="G44" s="53">
        <v>7.000000000000001E-4</v>
      </c>
      <c r="H44" s="55"/>
      <c r="I44" s="134">
        <f>A51</f>
        <v>683035</v>
      </c>
      <c r="J44" s="671" t="str">
        <f>D51</f>
        <v>PVC gloves</v>
      </c>
      <c r="K44" s="135">
        <f>MIN(G51:G54)</f>
        <v>7.4999999999999997E-2</v>
      </c>
      <c r="L44" s="136">
        <f>AVERAGE(G51:G54)</f>
        <v>0.25174999999999997</v>
      </c>
      <c r="M44" s="137">
        <f>MAX(G51:G54)</f>
        <v>0.41</v>
      </c>
      <c r="N44" s="618">
        <f>COUNT(G51:G54)</f>
        <v>4</v>
      </c>
      <c r="O44" s="671" t="s">
        <v>557</v>
      </c>
    </row>
    <row r="45" spans="1:35" ht="19" customHeight="1">
      <c r="A45" s="167">
        <v>10622425</v>
      </c>
      <c r="B45" s="130" t="s">
        <v>496</v>
      </c>
      <c r="C45" s="130" t="s">
        <v>464</v>
      </c>
      <c r="D45" s="55" t="s">
        <v>556</v>
      </c>
      <c r="F45" s="55"/>
      <c r="G45" s="53">
        <v>0.08</v>
      </c>
      <c r="H45" s="55"/>
      <c r="I45" s="134">
        <f>A55</f>
        <v>11374030</v>
      </c>
      <c r="J45" s="671" t="str">
        <f>D55</f>
        <v>PVC gloves</v>
      </c>
      <c r="K45" s="133">
        <f>G55</f>
        <v>0.375</v>
      </c>
      <c r="L45" s="618">
        <f>G55</f>
        <v>0.375</v>
      </c>
      <c r="M45" s="671">
        <f>G55</f>
        <v>0.375</v>
      </c>
      <c r="N45" s="618">
        <v>1</v>
      </c>
      <c r="O45" s="671" t="str">
        <f>C55</f>
        <v>Denmark</v>
      </c>
    </row>
    <row r="46" spans="1:35" ht="15.5">
      <c r="A46" s="147" t="s">
        <v>510</v>
      </c>
      <c r="B46" s="130" t="s">
        <v>496</v>
      </c>
      <c r="C46" s="130" t="s">
        <v>464</v>
      </c>
      <c r="D46" s="55" t="s">
        <v>558</v>
      </c>
      <c r="F46" s="618"/>
      <c r="G46" s="53">
        <v>1.0000000000000001E-5</v>
      </c>
      <c r="H46" s="55"/>
      <c r="I46" s="134">
        <f>A56</f>
        <v>10622425</v>
      </c>
      <c r="J46" s="671" t="str">
        <f>D56</f>
        <v>work gloves</v>
      </c>
      <c r="K46" s="133">
        <f>G56</f>
        <v>0.26</v>
      </c>
      <c r="L46" s="618">
        <f>G56</f>
        <v>0.26</v>
      </c>
      <c r="M46" s="671">
        <f>G56</f>
        <v>0.26</v>
      </c>
      <c r="N46" s="618">
        <v>1</v>
      </c>
      <c r="O46" s="671" t="str">
        <f>C56</f>
        <v>Denmark</v>
      </c>
    </row>
    <row r="47" spans="1:35" ht="15.5">
      <c r="A47" s="147" t="s">
        <v>510</v>
      </c>
      <c r="B47" s="130" t="s">
        <v>496</v>
      </c>
      <c r="C47" s="130" t="s">
        <v>464</v>
      </c>
      <c r="D47" s="55" t="s">
        <v>558</v>
      </c>
      <c r="F47" s="618"/>
      <c r="G47" s="53">
        <v>2.0000000000000002E-5</v>
      </c>
      <c r="H47" s="55"/>
      <c r="I47" s="134">
        <f>A29</f>
        <v>11374030</v>
      </c>
      <c r="J47" s="671" t="s">
        <v>559</v>
      </c>
      <c r="K47" s="135">
        <f>MIN(G29:G30)</f>
        <v>4.9999999999999996E-5</v>
      </c>
      <c r="L47" s="136">
        <f>AVERAGE(G29:G30)</f>
        <v>5.2499999999999997E-4</v>
      </c>
      <c r="M47" s="137">
        <f>MAX(G29:G30)</f>
        <v>1E-3</v>
      </c>
      <c r="N47" s="618">
        <f>COUNT(G29:G30)</f>
        <v>2</v>
      </c>
      <c r="O47" s="671" t="str">
        <f>C29</f>
        <v>Denmark</v>
      </c>
    </row>
    <row r="48" spans="1:35" ht="15.5">
      <c r="A48" s="147" t="s">
        <v>510</v>
      </c>
      <c r="B48" s="130" t="s">
        <v>496</v>
      </c>
      <c r="C48" s="130" t="s">
        <v>464</v>
      </c>
      <c r="D48" s="55" t="s">
        <v>558</v>
      </c>
      <c r="F48" s="618"/>
      <c r="G48" s="53">
        <v>1.0000000000000001E-5</v>
      </c>
      <c r="H48" s="55"/>
      <c r="I48" s="134">
        <f>A36</f>
        <v>11374030</v>
      </c>
      <c r="J48" s="671" t="s">
        <v>560</v>
      </c>
      <c r="K48" s="133">
        <v>0.27599999999999997</v>
      </c>
      <c r="L48" s="618">
        <f>G36</f>
        <v>4.7E-2</v>
      </c>
      <c r="M48" s="671">
        <v>0.27599999999999997</v>
      </c>
      <c r="N48" s="618">
        <v>1</v>
      </c>
      <c r="O48" s="671" t="str">
        <f>C36</f>
        <v>Denmark</v>
      </c>
    </row>
    <row r="49" spans="1:15" ht="15.5">
      <c r="A49" s="147" t="s">
        <v>510</v>
      </c>
      <c r="B49" s="130" t="s">
        <v>496</v>
      </c>
      <c r="C49" s="130" t="s">
        <v>464</v>
      </c>
      <c r="D49" s="55" t="s">
        <v>558</v>
      </c>
      <c r="F49" s="618"/>
      <c r="G49" s="53">
        <v>3.6999999999999999E-4</v>
      </c>
      <c r="H49" s="55"/>
      <c r="I49" s="134">
        <f>A37</f>
        <v>11374030</v>
      </c>
      <c r="J49" s="671" t="str">
        <f>D37</f>
        <v>garden hose</v>
      </c>
      <c r="K49" s="133">
        <f>G37</f>
        <v>6.0999999999999999E-2</v>
      </c>
      <c r="L49" s="618">
        <f>G37</f>
        <v>6.0999999999999999E-2</v>
      </c>
      <c r="M49" s="671">
        <f>G37</f>
        <v>6.0999999999999999E-2</v>
      </c>
      <c r="N49" s="618">
        <v>1</v>
      </c>
      <c r="O49" s="671" t="str">
        <f>C37</f>
        <v>Denmark</v>
      </c>
    </row>
    <row r="50" spans="1:15" ht="18" customHeight="1">
      <c r="A50" s="147" t="s">
        <v>510</v>
      </c>
      <c r="B50" s="130" t="s">
        <v>496</v>
      </c>
      <c r="C50" s="130" t="s">
        <v>464</v>
      </c>
      <c r="D50" s="55" t="s">
        <v>561</v>
      </c>
      <c r="F50" s="618"/>
      <c r="G50" s="53">
        <v>1.0000000000000001E-5</v>
      </c>
      <c r="H50" s="55"/>
      <c r="I50" s="134" t="str">
        <f>A38</f>
        <v>https://www.ecocenter.org/sites/default/files/2022-11/Garden%20Hose%20Report%20June%2020%202016.pdf</v>
      </c>
      <c r="J50" s="671" t="str">
        <f>D38</f>
        <v>garden hose</v>
      </c>
      <c r="K50" s="135">
        <f>MIN(G38:G39)</f>
        <v>1.3000000000000001E-2</v>
      </c>
      <c r="L50" s="136">
        <f>AVERAGE(G38:G39)</f>
        <v>1.9500000000000003E-2</v>
      </c>
      <c r="M50" s="137">
        <f>MAX(G38:G39)</f>
        <v>2.6000000000000002E-2</v>
      </c>
      <c r="N50" s="618">
        <f>COUNT(G38:G39)</f>
        <v>2</v>
      </c>
      <c r="O50" s="671" t="str">
        <f>C38</f>
        <v>US</v>
      </c>
    </row>
    <row r="51" spans="1:15" ht="25.5" customHeight="1">
      <c r="A51" s="168">
        <v>683035</v>
      </c>
      <c r="B51" s="130" t="s">
        <v>463</v>
      </c>
      <c r="C51" s="130" t="s">
        <v>562</v>
      </c>
      <c r="D51" s="131" t="s">
        <v>563</v>
      </c>
      <c r="E51" s="130" t="s">
        <v>564</v>
      </c>
      <c r="F51" s="130" t="s">
        <v>565</v>
      </c>
      <c r="G51" s="62">
        <f>E51/100</f>
        <v>0.221</v>
      </c>
      <c r="I51" s="134" t="str">
        <f>A57</f>
        <v>https://www.ecocenter.org/sites/default/files/2022-04/DS_SPSSoutput_byretailer.pdf</v>
      </c>
      <c r="J51" s="671" t="str">
        <f>D57</f>
        <v>tub mat</v>
      </c>
      <c r="K51" s="133">
        <f>G57</f>
        <v>1.629E-3</v>
      </c>
      <c r="L51" s="618">
        <f>G57</f>
        <v>1.629E-3</v>
      </c>
      <c r="M51" s="671">
        <f>G57</f>
        <v>1.629E-3</v>
      </c>
      <c r="N51" s="618">
        <v>1</v>
      </c>
      <c r="O51" s="671" t="str">
        <f>C57</f>
        <v>US</v>
      </c>
    </row>
    <row r="52" spans="1:15" ht="13.5" customHeight="1">
      <c r="A52" s="168">
        <v>683035</v>
      </c>
      <c r="B52" s="130" t="s">
        <v>463</v>
      </c>
      <c r="C52" s="130" t="s">
        <v>562</v>
      </c>
      <c r="D52" s="131" t="s">
        <v>563</v>
      </c>
      <c r="E52" s="130" t="s">
        <v>566</v>
      </c>
      <c r="F52" s="130" t="s">
        <v>565</v>
      </c>
      <c r="G52" s="62">
        <f>E52/100</f>
        <v>0.41</v>
      </c>
      <c r="I52" s="134" t="str">
        <f>A58</f>
        <v>https://www.ecocenter.org/sites/default/files/2022-04/DS_SPSSoutput_byretailer.pdf</v>
      </c>
      <c r="J52" s="671" t="str">
        <f>D58</f>
        <v>Bath Tub Appliques</v>
      </c>
      <c r="K52" s="133">
        <f>G58</f>
        <v>6.8848999999999994E-2</v>
      </c>
      <c r="L52" s="618">
        <f>G58</f>
        <v>6.8848999999999994E-2</v>
      </c>
      <c r="M52" s="671">
        <f>G58</f>
        <v>6.8848999999999994E-2</v>
      </c>
      <c r="N52" s="618">
        <v>1</v>
      </c>
      <c r="O52" s="671" t="str">
        <f>C58</f>
        <v>US</v>
      </c>
    </row>
    <row r="53" spans="1:15" ht="16" customHeight="1">
      <c r="A53" s="168">
        <v>683035</v>
      </c>
      <c r="B53" s="130" t="s">
        <v>463</v>
      </c>
      <c r="C53" s="130" t="s">
        <v>562</v>
      </c>
      <c r="D53" s="131" t="s">
        <v>563</v>
      </c>
      <c r="E53" s="130" t="s">
        <v>567</v>
      </c>
      <c r="F53" s="130" t="s">
        <v>565</v>
      </c>
      <c r="G53" s="62">
        <f>E53/100</f>
        <v>0.30099999999999999</v>
      </c>
      <c r="I53" s="134">
        <f>A43</f>
        <v>6302975</v>
      </c>
      <c r="J53" s="671" t="str">
        <f>D43</f>
        <v>bath mats</v>
      </c>
      <c r="K53" s="133">
        <f>G43</f>
        <v>0.12862499999999999</v>
      </c>
      <c r="L53" s="618">
        <f>G43</f>
        <v>0.12862499999999999</v>
      </c>
      <c r="M53" s="671">
        <f>G43</f>
        <v>0.12862499999999999</v>
      </c>
      <c r="N53" s="618">
        <v>1</v>
      </c>
      <c r="O53" s="671" t="str">
        <f>C43</f>
        <v>Denmark</v>
      </c>
    </row>
    <row r="54" spans="1:15" ht="15.5">
      <c r="A54" s="168">
        <v>683035</v>
      </c>
      <c r="B54" s="130" t="s">
        <v>463</v>
      </c>
      <c r="C54" s="130" t="s">
        <v>562</v>
      </c>
      <c r="D54" s="131" t="s">
        <v>563</v>
      </c>
      <c r="E54" s="130" t="s">
        <v>568</v>
      </c>
      <c r="F54" s="130" t="s">
        <v>565</v>
      </c>
      <c r="G54" s="62">
        <f>E54/100</f>
        <v>7.4999999999999997E-2</v>
      </c>
      <c r="I54" s="134" t="str">
        <f>A46</f>
        <v>10622421</v>
      </c>
      <c r="J54" s="671" t="s">
        <v>569</v>
      </c>
      <c r="K54" s="135">
        <f>MIN(G46:G49)</f>
        <v>1.0000000000000001E-5</v>
      </c>
      <c r="L54" s="136">
        <f>AVERAGE(G46:G49)</f>
        <v>1.025E-4</v>
      </c>
      <c r="M54" s="137">
        <f>MAX(G46:G49)</f>
        <v>3.6999999999999999E-4</v>
      </c>
      <c r="N54" s="618">
        <f>COUNT(G46:G49)</f>
        <v>4</v>
      </c>
      <c r="O54" s="671" t="str">
        <f>C46</f>
        <v>Denmark</v>
      </c>
    </row>
    <row r="55" spans="1:15" ht="20.5" customHeight="1">
      <c r="A55" s="162">
        <v>11374030</v>
      </c>
      <c r="B55" s="130" t="s">
        <v>496</v>
      </c>
      <c r="C55" s="130" t="s">
        <v>464</v>
      </c>
      <c r="D55" s="55" t="s">
        <v>563</v>
      </c>
      <c r="F55" s="169"/>
      <c r="G55" s="163">
        <v>0.375</v>
      </c>
      <c r="H55" s="160"/>
      <c r="I55" s="134" t="str">
        <f>A60</f>
        <v>https://www.ecocenter.org/sites/default/files/2022-04/DS_SPSSoutput_byretailer.pdf</v>
      </c>
      <c r="J55" s="671" t="str">
        <f>D60</f>
        <v>vinyl floor runner</v>
      </c>
      <c r="K55" s="133">
        <f>G60</f>
        <v>2.8828999999999997E-2</v>
      </c>
      <c r="L55" s="618">
        <f>G60</f>
        <v>2.8828999999999997E-2</v>
      </c>
      <c r="M55" s="671">
        <f>G60</f>
        <v>2.8828999999999997E-2</v>
      </c>
      <c r="N55" s="618">
        <v>1</v>
      </c>
      <c r="O55" s="671" t="str">
        <f>C60</f>
        <v>US</v>
      </c>
    </row>
    <row r="56" spans="1:15" ht="15" customHeight="1">
      <c r="A56" s="167">
        <v>10622425</v>
      </c>
      <c r="B56" s="130" t="s">
        <v>496</v>
      </c>
      <c r="C56" s="130" t="s">
        <v>464</v>
      </c>
      <c r="D56" s="55" t="s">
        <v>570</v>
      </c>
      <c r="G56" s="53">
        <v>0.26</v>
      </c>
      <c r="H56" s="55"/>
      <c r="I56" s="134" t="str">
        <f>A50</f>
        <v>10622421</v>
      </c>
      <c r="J56" s="671" t="str">
        <f>D50</f>
        <v>Dinner mat</v>
      </c>
      <c r="K56" s="133">
        <f>G50</f>
        <v>1.0000000000000001E-5</v>
      </c>
      <c r="L56" s="618">
        <f>G50</f>
        <v>1.0000000000000001E-5</v>
      </c>
      <c r="M56" s="671">
        <f>G50</f>
        <v>1.0000000000000001E-5</v>
      </c>
      <c r="N56" s="618">
        <v>1</v>
      </c>
      <c r="O56" s="671" t="str">
        <f>C50</f>
        <v>Denmark</v>
      </c>
    </row>
    <row r="57" spans="1:15" ht="17.5" customHeight="1">
      <c r="A57" s="146" t="s">
        <v>531</v>
      </c>
      <c r="B57" s="130" t="s">
        <v>496</v>
      </c>
      <c r="C57" s="130" t="s">
        <v>497</v>
      </c>
      <c r="D57" s="61" t="s">
        <v>571</v>
      </c>
      <c r="F57" s="161">
        <v>1629</v>
      </c>
      <c r="G57" s="48">
        <f t="shared" ref="G57:G59" si="1">F57*10^-6</f>
        <v>1.629E-3</v>
      </c>
      <c r="H57" s="671"/>
      <c r="I57" s="134" t="str">
        <f>A61</f>
        <v>https://www.ecocenter.org/sites/default/files/2022-04/DS_SPSSoutput_byretailer.pdf</v>
      </c>
      <c r="J57" s="671" t="s">
        <v>572</v>
      </c>
      <c r="K57" s="133">
        <f>G61</f>
        <v>0.167129</v>
      </c>
      <c r="L57" s="618">
        <f>G61</f>
        <v>0.167129</v>
      </c>
      <c r="M57" s="671">
        <f>G61</f>
        <v>0.167129</v>
      </c>
      <c r="N57" s="618">
        <v>1</v>
      </c>
      <c r="O57" s="671" t="str">
        <f>C61</f>
        <v>US</v>
      </c>
    </row>
    <row r="58" spans="1:15" ht="16.5" customHeight="1">
      <c r="A58" s="146" t="s">
        <v>531</v>
      </c>
      <c r="B58" s="130" t="s">
        <v>496</v>
      </c>
      <c r="C58" s="130" t="s">
        <v>497</v>
      </c>
      <c r="D58" s="61" t="s">
        <v>573</v>
      </c>
      <c r="F58" s="161">
        <v>68849</v>
      </c>
      <c r="G58" s="48">
        <f>F58*10^-6</f>
        <v>6.8848999999999994E-2</v>
      </c>
      <c r="H58" s="671"/>
      <c r="I58" s="134">
        <f>A28</f>
        <v>11374030</v>
      </c>
      <c r="J58" s="671" t="str">
        <f>D28</f>
        <v>diving goggles</v>
      </c>
      <c r="K58" s="133">
        <f>G58</f>
        <v>6.8848999999999994E-2</v>
      </c>
      <c r="L58" s="618">
        <f>G58</f>
        <v>6.8848999999999994E-2</v>
      </c>
      <c r="M58" s="671">
        <f>G58</f>
        <v>6.8848999999999994E-2</v>
      </c>
      <c r="N58" s="618">
        <v>1</v>
      </c>
      <c r="O58" s="671" t="str">
        <f>C58</f>
        <v>US</v>
      </c>
    </row>
    <row r="59" spans="1:15" ht="16.5" customHeight="1">
      <c r="A59" s="146" t="s">
        <v>531</v>
      </c>
      <c r="B59" s="130" t="s">
        <v>496</v>
      </c>
      <c r="C59" s="130" t="s">
        <v>497</v>
      </c>
      <c r="D59" s="61" t="s">
        <v>574</v>
      </c>
      <c r="F59" s="161">
        <v>15144</v>
      </c>
      <c r="G59" s="48">
        <f t="shared" si="1"/>
        <v>1.5143999999999999E-2</v>
      </c>
      <c r="H59" s="671"/>
      <c r="I59" s="134" t="str">
        <f>A59</f>
        <v>https://www.ecocenter.org/sites/default/files/2022-04/DS_SPSSoutput_byretailer.pdf</v>
      </c>
      <c r="J59" s="671" t="str">
        <f>D59</f>
        <v>Silly Straws</v>
      </c>
      <c r="K59" s="133">
        <f>G59</f>
        <v>1.5143999999999999E-2</v>
      </c>
      <c r="L59" s="618">
        <f>G59</f>
        <v>1.5143999999999999E-2</v>
      </c>
      <c r="M59" s="671">
        <f>G59</f>
        <v>1.5143999999999999E-2</v>
      </c>
      <c r="N59" s="618">
        <v>1</v>
      </c>
      <c r="O59" s="671" t="str">
        <f>C59</f>
        <v>US</v>
      </c>
    </row>
    <row r="60" spans="1:15" ht="16" customHeight="1">
      <c r="A60" s="146" t="s">
        <v>531</v>
      </c>
      <c r="B60" s="130" t="s">
        <v>496</v>
      </c>
      <c r="C60" s="130" t="s">
        <v>497</v>
      </c>
      <c r="D60" s="61" t="s">
        <v>575</v>
      </c>
      <c r="F60" s="161">
        <v>28829</v>
      </c>
      <c r="G60" s="48">
        <f>F60*10^-6</f>
        <v>2.8828999999999997E-2</v>
      </c>
      <c r="H60" s="671"/>
      <c r="I60" s="134">
        <f>A35</f>
        <v>11374030</v>
      </c>
      <c r="J60" s="671" t="str">
        <f>D35</f>
        <v>wall sticker</v>
      </c>
      <c r="K60" s="133">
        <v>0.27599999999999997</v>
      </c>
      <c r="L60" s="618">
        <f>G35</f>
        <v>0.11799999999999999</v>
      </c>
      <c r="M60" s="671">
        <v>0.27599999999999997</v>
      </c>
      <c r="N60" s="618">
        <v>1</v>
      </c>
      <c r="O60" s="671" t="str">
        <f>C35</f>
        <v>Denmark</v>
      </c>
    </row>
    <row r="61" spans="1:15" ht="18.649999999999999" customHeight="1" thickBot="1">
      <c r="A61" s="146" t="s">
        <v>531</v>
      </c>
      <c r="B61" s="130" t="s">
        <v>496</v>
      </c>
      <c r="C61" s="130" t="s">
        <v>497</v>
      </c>
      <c r="D61" s="170" t="s">
        <v>576</v>
      </c>
      <c r="E61" s="90"/>
      <c r="F61" s="171">
        <v>167129</v>
      </c>
      <c r="G61" s="91">
        <f>F61*10^-6</f>
        <v>0.167129</v>
      </c>
      <c r="H61" s="671"/>
      <c r="I61" s="682" t="s">
        <v>577</v>
      </c>
      <c r="J61" s="682"/>
      <c r="K61" s="682"/>
      <c r="L61" s="683"/>
      <c r="M61" s="682"/>
      <c r="N61" s="682"/>
      <c r="O61" s="682"/>
    </row>
    <row r="62" spans="1:15" ht="19" customHeight="1" thickBot="1">
      <c r="A62" s="684" t="s">
        <v>483</v>
      </c>
      <c r="B62" s="684"/>
      <c r="C62" s="684"/>
      <c r="D62" s="684"/>
      <c r="E62" s="684"/>
      <c r="F62" s="684"/>
      <c r="G62" s="684"/>
      <c r="H62" s="117"/>
      <c r="I62" s="671" t="s">
        <v>578</v>
      </c>
      <c r="J62" s="618" t="s">
        <v>579</v>
      </c>
      <c r="K62" s="671">
        <f>G167</f>
        <v>2.6000000000000001E-6</v>
      </c>
      <c r="L62" s="671">
        <f>AVERAGE(G167:G170)</f>
        <v>1.1365000000000001E-4</v>
      </c>
      <c r="M62" s="671">
        <f>G168</f>
        <v>2.5000000000000001E-4</v>
      </c>
      <c r="N62" s="618">
        <v>4</v>
      </c>
      <c r="O62" s="671" t="s">
        <v>464</v>
      </c>
    </row>
    <row r="63" spans="1:15" ht="15.5">
      <c r="A63" s="162">
        <v>11374030</v>
      </c>
      <c r="B63" s="130" t="s">
        <v>496</v>
      </c>
      <c r="C63" s="130" t="s">
        <v>464</v>
      </c>
      <c r="D63" s="55" t="s">
        <v>580</v>
      </c>
      <c r="G63" s="163">
        <v>8.6999999999999994E-2</v>
      </c>
      <c r="H63" s="160"/>
    </row>
    <row r="64" spans="1:15" ht="12.65" customHeight="1" thickBot="1">
      <c r="A64" s="172">
        <v>11374030</v>
      </c>
      <c r="B64" s="139" t="s">
        <v>496</v>
      </c>
      <c r="C64" s="139" t="s">
        <v>464</v>
      </c>
      <c r="D64" s="670" t="s">
        <v>580</v>
      </c>
      <c r="E64" s="90"/>
      <c r="F64" s="173"/>
      <c r="G64" s="174">
        <v>0.128</v>
      </c>
      <c r="H64" s="160"/>
    </row>
    <row r="65" spans="1:8" ht="15" thickBot="1">
      <c r="A65" s="684" t="s">
        <v>490</v>
      </c>
      <c r="B65" s="684"/>
      <c r="C65" s="684"/>
      <c r="D65" s="684"/>
      <c r="E65" s="684"/>
      <c r="F65" s="684"/>
      <c r="G65" s="684"/>
      <c r="H65" s="117"/>
    </row>
    <row r="66" spans="1:8" ht="16.5" customHeight="1" thickBot="1">
      <c r="A66" s="146" t="s">
        <v>531</v>
      </c>
      <c r="B66" s="130" t="s">
        <v>496</v>
      </c>
      <c r="C66" s="130" t="s">
        <v>497</v>
      </c>
      <c r="D66" s="61" t="s">
        <v>581</v>
      </c>
      <c r="F66" s="161">
        <v>136926</v>
      </c>
      <c r="G66" s="671">
        <f>F66*10^-6</f>
        <v>0.13692599999999999</v>
      </c>
      <c r="H66" s="671"/>
    </row>
    <row r="67" spans="1:8" ht="15" thickBot="1">
      <c r="A67" s="684" t="s">
        <v>499</v>
      </c>
      <c r="B67" s="684"/>
      <c r="C67" s="684"/>
      <c r="D67" s="684"/>
      <c r="E67" s="684"/>
      <c r="F67" s="684"/>
      <c r="G67" s="684"/>
      <c r="H67" s="117"/>
    </row>
    <row r="68" spans="1:8" ht="15.5">
      <c r="A68" s="175">
        <v>6301520</v>
      </c>
      <c r="B68" s="124" t="s">
        <v>496</v>
      </c>
      <c r="C68" s="124" t="s">
        <v>464</v>
      </c>
      <c r="D68" s="158" t="s">
        <v>582</v>
      </c>
      <c r="E68" s="45"/>
      <c r="F68" s="176"/>
      <c r="G68" s="177">
        <f>17/100</f>
        <v>0.17</v>
      </c>
      <c r="H68" s="55"/>
    </row>
    <row r="69" spans="1:8" ht="15.5">
      <c r="A69" s="167">
        <v>6301520</v>
      </c>
      <c r="B69" s="130" t="s">
        <v>496</v>
      </c>
      <c r="C69" s="130" t="s">
        <v>464</v>
      </c>
      <c r="D69" s="55" t="s">
        <v>582</v>
      </c>
      <c r="F69" s="618"/>
      <c r="G69" s="53">
        <f>22/100</f>
        <v>0.22</v>
      </c>
      <c r="H69" s="55"/>
    </row>
    <row r="70" spans="1:8" ht="15.5">
      <c r="A70" s="167">
        <v>6301520</v>
      </c>
      <c r="B70" s="130" t="s">
        <v>496</v>
      </c>
      <c r="C70" s="130" t="s">
        <v>464</v>
      </c>
      <c r="D70" s="55" t="s">
        <v>582</v>
      </c>
      <c r="F70" s="618"/>
      <c r="G70" s="53">
        <f>35/100</f>
        <v>0.35</v>
      </c>
      <c r="H70" s="55"/>
    </row>
    <row r="71" spans="1:8" ht="16" thickBot="1">
      <c r="A71" s="178">
        <v>6301520</v>
      </c>
      <c r="B71" s="139" t="s">
        <v>496</v>
      </c>
      <c r="C71" s="139" t="s">
        <v>464</v>
      </c>
      <c r="D71" s="670" t="s">
        <v>582</v>
      </c>
      <c r="E71" s="90"/>
      <c r="F71" s="155"/>
      <c r="G71" s="156">
        <f>44/100</f>
        <v>0.44</v>
      </c>
      <c r="H71" s="55"/>
    </row>
    <row r="72" spans="1:8" ht="15" thickBot="1">
      <c r="A72" s="684" t="s">
        <v>503</v>
      </c>
      <c r="B72" s="684"/>
      <c r="C72" s="684"/>
      <c r="D72" s="684"/>
      <c r="E72" s="684"/>
      <c r="F72" s="684"/>
      <c r="G72" s="684"/>
      <c r="H72" s="117"/>
    </row>
    <row r="73" spans="1:8" ht="15.5">
      <c r="A73" s="175">
        <v>10622425</v>
      </c>
      <c r="B73" s="124" t="s">
        <v>496</v>
      </c>
      <c r="C73" s="124" t="s">
        <v>464</v>
      </c>
      <c r="D73" s="158" t="s">
        <v>583</v>
      </c>
      <c r="E73" s="45"/>
      <c r="F73" s="158"/>
      <c r="G73" s="177">
        <v>1.1999999999999999E-3</v>
      </c>
      <c r="H73" s="55"/>
    </row>
    <row r="74" spans="1:8" ht="15.5">
      <c r="A74" s="167">
        <v>10622425</v>
      </c>
      <c r="B74" s="130" t="s">
        <v>496</v>
      </c>
      <c r="C74" s="130" t="s">
        <v>464</v>
      </c>
      <c r="D74" s="55" t="s">
        <v>583</v>
      </c>
      <c r="G74" s="53">
        <f>6/100</f>
        <v>0.06</v>
      </c>
      <c r="H74" s="55"/>
    </row>
    <row r="75" spans="1:8" ht="15.5">
      <c r="A75" s="167">
        <v>10622425</v>
      </c>
      <c r="B75" s="130" t="s">
        <v>496</v>
      </c>
      <c r="C75" s="130" t="s">
        <v>464</v>
      </c>
      <c r="D75" s="55" t="s">
        <v>583</v>
      </c>
      <c r="F75" s="55"/>
      <c r="G75" s="53">
        <f>8/100</f>
        <v>0.08</v>
      </c>
      <c r="H75" s="55"/>
    </row>
    <row r="76" spans="1:8" ht="15.5">
      <c r="A76" s="167">
        <v>10622425</v>
      </c>
      <c r="B76" s="130" t="s">
        <v>496</v>
      </c>
      <c r="C76" s="130" t="s">
        <v>464</v>
      </c>
      <c r="D76" s="55" t="s">
        <v>583</v>
      </c>
      <c r="F76" s="55"/>
      <c r="G76" s="53">
        <f>9/100</f>
        <v>0.09</v>
      </c>
      <c r="H76" s="55"/>
    </row>
    <row r="77" spans="1:8" ht="16" thickBot="1">
      <c r="A77" s="178">
        <v>10622425</v>
      </c>
      <c r="B77" s="139" t="s">
        <v>496</v>
      </c>
      <c r="C77" s="139" t="s">
        <v>464</v>
      </c>
      <c r="D77" s="670" t="s">
        <v>583</v>
      </c>
      <c r="E77" s="90"/>
      <c r="F77" s="670"/>
      <c r="G77" s="156">
        <v>0.13</v>
      </c>
      <c r="H77" s="55"/>
    </row>
    <row r="78" spans="1:8" ht="14.15" customHeight="1" thickBot="1">
      <c r="A78" s="684" t="s">
        <v>508</v>
      </c>
      <c r="B78" s="684"/>
      <c r="C78" s="684"/>
      <c r="D78" s="684"/>
      <c r="E78" s="684"/>
      <c r="F78" s="684"/>
      <c r="G78" s="684"/>
      <c r="H78" s="117"/>
    </row>
    <row r="79" spans="1:8" ht="15.65" customHeight="1">
      <c r="A79" s="175">
        <v>10622425</v>
      </c>
      <c r="B79" s="124" t="s">
        <v>496</v>
      </c>
      <c r="C79" s="124" t="s">
        <v>464</v>
      </c>
      <c r="D79" s="158" t="s">
        <v>584</v>
      </c>
      <c r="E79" s="45"/>
      <c r="F79" s="158"/>
      <c r="G79" s="177">
        <v>0.14000000000000001</v>
      </c>
      <c r="H79" s="55"/>
    </row>
    <row r="80" spans="1:8" ht="15.5">
      <c r="A80" s="147" t="s">
        <v>510</v>
      </c>
      <c r="B80" s="130" t="s">
        <v>496</v>
      </c>
      <c r="C80" s="130" t="s">
        <v>464</v>
      </c>
      <c r="D80" s="55" t="s">
        <v>585</v>
      </c>
      <c r="F80" s="618"/>
      <c r="G80" s="53">
        <v>3.0000000000000001E-5</v>
      </c>
      <c r="H80" s="55"/>
    </row>
    <row r="81" spans="1:14" ht="15.5">
      <c r="A81" s="147" t="s">
        <v>510</v>
      </c>
      <c r="B81" s="130" t="s">
        <v>496</v>
      </c>
      <c r="C81" s="130" t="s">
        <v>464</v>
      </c>
      <c r="D81" s="55" t="s">
        <v>585</v>
      </c>
      <c r="F81" s="618"/>
      <c r="G81" s="53">
        <v>3.0000000000000001E-5</v>
      </c>
      <c r="H81" s="55"/>
    </row>
    <row r="82" spans="1:14" ht="15.5">
      <c r="A82" s="147" t="s">
        <v>510</v>
      </c>
      <c r="B82" s="130" t="s">
        <v>496</v>
      </c>
      <c r="C82" s="130" t="s">
        <v>464</v>
      </c>
      <c r="D82" s="55" t="s">
        <v>585</v>
      </c>
      <c r="F82" s="618"/>
      <c r="G82" s="53">
        <v>1.4000000000000001E-4</v>
      </c>
      <c r="H82" s="55"/>
    </row>
    <row r="83" spans="1:14" ht="15.5">
      <c r="A83" s="147" t="s">
        <v>510</v>
      </c>
      <c r="B83" s="130" t="s">
        <v>496</v>
      </c>
      <c r="C83" s="130" t="s">
        <v>464</v>
      </c>
      <c r="D83" s="55" t="s">
        <v>585</v>
      </c>
      <c r="F83" s="618"/>
      <c r="G83" s="53">
        <v>1E-4</v>
      </c>
      <c r="H83" s="55"/>
    </row>
    <row r="84" spans="1:14" ht="15.5">
      <c r="A84" s="147" t="s">
        <v>510</v>
      </c>
      <c r="B84" s="130" t="s">
        <v>496</v>
      </c>
      <c r="C84" s="130" t="s">
        <v>464</v>
      </c>
      <c r="D84" s="55" t="s">
        <v>585</v>
      </c>
      <c r="F84" s="618"/>
      <c r="G84" s="53">
        <v>0.23800000000000002</v>
      </c>
      <c r="H84" s="55"/>
    </row>
    <row r="85" spans="1:14" ht="15.5">
      <c r="A85" s="147" t="s">
        <v>510</v>
      </c>
      <c r="B85" s="130" t="s">
        <v>496</v>
      </c>
      <c r="C85" s="130" t="s">
        <v>464</v>
      </c>
      <c r="D85" s="55" t="s">
        <v>585</v>
      </c>
      <c r="F85" s="618"/>
      <c r="G85" s="53">
        <v>2.1999999999999998E-4</v>
      </c>
      <c r="H85" s="55"/>
    </row>
    <row r="86" spans="1:14" ht="15.5">
      <c r="A86" s="147" t="s">
        <v>510</v>
      </c>
      <c r="B86" s="130" t="s">
        <v>496</v>
      </c>
      <c r="C86" s="130" t="s">
        <v>464</v>
      </c>
      <c r="D86" s="55" t="s">
        <v>585</v>
      </c>
      <c r="F86" s="618"/>
      <c r="G86" s="53">
        <v>0.30399999999999999</v>
      </c>
      <c r="H86" s="55"/>
    </row>
    <row r="87" spans="1:14" ht="15.5">
      <c r="A87" s="147" t="s">
        <v>510</v>
      </c>
      <c r="B87" s="130" t="s">
        <v>496</v>
      </c>
      <c r="C87" s="130" t="s">
        <v>464</v>
      </c>
      <c r="D87" s="55" t="s">
        <v>585</v>
      </c>
      <c r="F87" s="618"/>
      <c r="G87" s="53">
        <v>1.4999999999999999E-4</v>
      </c>
      <c r="H87" s="55"/>
    </row>
    <row r="88" spans="1:14" ht="15.5">
      <c r="A88" s="147" t="s">
        <v>510</v>
      </c>
      <c r="B88" s="130" t="s">
        <v>496</v>
      </c>
      <c r="C88" s="130" t="s">
        <v>464</v>
      </c>
      <c r="D88" s="55" t="s">
        <v>585</v>
      </c>
      <c r="F88" s="618"/>
      <c r="G88" s="53">
        <v>8.199999999999999E-2</v>
      </c>
      <c r="H88" s="55"/>
    </row>
    <row r="89" spans="1:14" ht="16" thickBot="1">
      <c r="A89" s="154" t="s">
        <v>510</v>
      </c>
      <c r="B89" s="139" t="s">
        <v>496</v>
      </c>
      <c r="C89" s="139" t="s">
        <v>464</v>
      </c>
      <c r="D89" s="670" t="s">
        <v>585</v>
      </c>
      <c r="E89" s="90"/>
      <c r="F89" s="155"/>
      <c r="G89" s="156">
        <v>0.192</v>
      </c>
      <c r="H89" s="55"/>
    </row>
    <row r="90" spans="1:14" ht="15" thickBot="1">
      <c r="A90" s="684" t="s">
        <v>586</v>
      </c>
      <c r="B90" s="684"/>
      <c r="C90" s="684"/>
      <c r="D90" s="684"/>
      <c r="E90" s="684"/>
      <c r="F90" s="684"/>
      <c r="G90" s="684"/>
      <c r="H90" s="117"/>
    </row>
    <row r="91" spans="1:14" ht="19.5" customHeight="1">
      <c r="A91" s="179">
        <v>11374030</v>
      </c>
      <c r="B91" s="180" t="s">
        <v>496</v>
      </c>
      <c r="C91" s="180" t="s">
        <v>464</v>
      </c>
      <c r="D91" s="181" t="s">
        <v>587</v>
      </c>
      <c r="E91" s="182"/>
      <c r="F91" s="182"/>
      <c r="G91" s="183">
        <v>3.2000000000000001E-2</v>
      </c>
      <c r="H91" s="160"/>
    </row>
    <row r="92" spans="1:14" ht="15.5">
      <c r="A92" s="184">
        <v>11374030</v>
      </c>
      <c r="B92" s="185" t="s">
        <v>496</v>
      </c>
      <c r="C92" s="185" t="s">
        <v>464</v>
      </c>
      <c r="D92" s="186" t="s">
        <v>588</v>
      </c>
      <c r="E92" s="149"/>
      <c r="F92" s="187"/>
      <c r="G92" s="188">
        <v>0.17699999999999999</v>
      </c>
      <c r="H92" s="160"/>
      <c r="I92" s="618"/>
      <c r="J92" s="618"/>
      <c r="K92" s="618"/>
      <c r="L92" s="618"/>
      <c r="M92" s="618"/>
      <c r="N92" s="189"/>
    </row>
    <row r="93" spans="1:14" ht="15.5">
      <c r="A93" s="190">
        <v>6302975</v>
      </c>
      <c r="B93" s="185" t="s">
        <v>496</v>
      </c>
      <c r="C93" s="185" t="s">
        <v>464</v>
      </c>
      <c r="D93" s="186" t="s">
        <v>589</v>
      </c>
      <c r="E93" s="149"/>
      <c r="F93" s="153"/>
      <c r="G93" s="191">
        <v>3.6999999999999999E-4</v>
      </c>
      <c r="H93" s="55"/>
      <c r="N93" s="189"/>
    </row>
    <row r="94" spans="1:14" ht="15.5">
      <c r="A94" s="190">
        <v>6302975</v>
      </c>
      <c r="B94" s="185" t="s">
        <v>496</v>
      </c>
      <c r="C94" s="185" t="s">
        <v>464</v>
      </c>
      <c r="D94" s="186" t="s">
        <v>590</v>
      </c>
      <c r="E94" s="149"/>
      <c r="F94" s="186"/>
      <c r="G94" s="191">
        <v>7.9999999999999993E-4</v>
      </c>
      <c r="H94" s="55"/>
      <c r="I94" s="164"/>
      <c r="J94" s="164"/>
      <c r="K94" s="164"/>
      <c r="L94" s="164"/>
      <c r="M94" s="164"/>
      <c r="N94" s="189"/>
    </row>
    <row r="95" spans="1:14" ht="16" thickBot="1">
      <c r="A95" s="192">
        <v>6302975</v>
      </c>
      <c r="B95" s="193" t="s">
        <v>496</v>
      </c>
      <c r="C95" s="193" t="s">
        <v>464</v>
      </c>
      <c r="D95" s="194" t="s">
        <v>590</v>
      </c>
      <c r="E95" s="195"/>
      <c r="F95" s="194"/>
      <c r="G95" s="196">
        <v>4.9999999999999996E-2</v>
      </c>
      <c r="H95" s="55"/>
    </row>
    <row r="96" spans="1:14" ht="15" thickBot="1">
      <c r="A96" s="684" t="s">
        <v>520</v>
      </c>
      <c r="B96" s="684"/>
      <c r="C96" s="684"/>
      <c r="D96" s="684"/>
      <c r="E96" s="684"/>
      <c r="F96" s="684"/>
      <c r="G96" s="684"/>
      <c r="H96" s="117"/>
    </row>
    <row r="97" spans="1:14" ht="15.5">
      <c r="A97" s="197" t="s">
        <v>510</v>
      </c>
      <c r="B97" s="124" t="s">
        <v>496</v>
      </c>
      <c r="C97" s="124" t="s">
        <v>464</v>
      </c>
      <c r="D97" s="158" t="s">
        <v>591</v>
      </c>
      <c r="E97" s="45"/>
      <c r="F97" s="158"/>
      <c r="G97" s="177">
        <v>3.2499999999999999E-4</v>
      </c>
      <c r="H97" s="55"/>
    </row>
    <row r="98" spans="1:14" ht="15.5">
      <c r="A98" s="147" t="s">
        <v>510</v>
      </c>
      <c r="B98" s="130" t="s">
        <v>496</v>
      </c>
      <c r="C98" s="130" t="s">
        <v>464</v>
      </c>
      <c r="D98" s="55" t="s">
        <v>592</v>
      </c>
      <c r="F98" s="55"/>
      <c r="G98" s="53">
        <v>4.85E-5</v>
      </c>
      <c r="H98" s="55"/>
      <c r="I98" s="55"/>
      <c r="J98" s="55"/>
      <c r="K98" s="55"/>
      <c r="L98" s="55"/>
      <c r="M98" s="55"/>
      <c r="N98" s="189"/>
    </row>
    <row r="99" spans="1:14" ht="16" thickBot="1">
      <c r="A99" s="146" t="s">
        <v>531</v>
      </c>
      <c r="B99" s="130" t="s">
        <v>496</v>
      </c>
      <c r="C99" s="130" t="s">
        <v>497</v>
      </c>
      <c r="D99" s="198" t="s">
        <v>593</v>
      </c>
      <c r="E99" s="90"/>
      <c r="F99" s="171">
        <v>28137</v>
      </c>
      <c r="G99" s="91">
        <f>F99*10^-6</f>
        <v>2.8136999999999999E-2</v>
      </c>
      <c r="H99" s="671"/>
    </row>
    <row r="100" spans="1:14" ht="15" thickBot="1">
      <c r="A100" s="684" t="s">
        <v>524</v>
      </c>
      <c r="B100" s="684"/>
      <c r="C100" s="684"/>
      <c r="D100" s="684"/>
      <c r="E100" s="684"/>
      <c r="F100" s="684"/>
      <c r="G100" s="684"/>
      <c r="H100" s="117"/>
      <c r="I100" s="55"/>
      <c r="J100" s="55"/>
      <c r="K100" s="55"/>
      <c r="L100" s="55"/>
      <c r="M100" s="55"/>
      <c r="N100" s="189"/>
    </row>
    <row r="101" spans="1:14" ht="15.5">
      <c r="A101" s="197" t="s">
        <v>510</v>
      </c>
      <c r="B101" s="124" t="s">
        <v>496</v>
      </c>
      <c r="C101" s="124" t="s">
        <v>464</v>
      </c>
      <c r="D101" s="158" t="s">
        <v>594</v>
      </c>
      <c r="E101" s="45"/>
      <c r="F101" s="158"/>
      <c r="G101" s="177">
        <v>1.0000000000000001E-5</v>
      </c>
      <c r="H101" s="55"/>
    </row>
    <row r="102" spans="1:14" ht="15.5">
      <c r="A102" s="147" t="s">
        <v>510</v>
      </c>
      <c r="B102" s="130" t="s">
        <v>496</v>
      </c>
      <c r="C102" s="130" t="s">
        <v>464</v>
      </c>
      <c r="D102" s="55" t="s">
        <v>594</v>
      </c>
      <c r="F102" s="55"/>
      <c r="G102" s="53">
        <v>1.5000000000000002E-5</v>
      </c>
      <c r="H102" s="55"/>
      <c r="N102" s="189"/>
    </row>
    <row r="103" spans="1:14" ht="15.5">
      <c r="A103" s="147" t="s">
        <v>510</v>
      </c>
      <c r="B103" s="130" t="s">
        <v>496</v>
      </c>
      <c r="C103" s="130" t="s">
        <v>464</v>
      </c>
      <c r="D103" s="55" t="s">
        <v>594</v>
      </c>
      <c r="F103" s="55"/>
      <c r="G103" s="53">
        <v>2.5000000000000001E-5</v>
      </c>
      <c r="H103" s="55"/>
      <c r="I103" s="55"/>
      <c r="J103" s="55"/>
      <c r="K103" s="55"/>
      <c r="L103" s="55"/>
      <c r="M103" s="55"/>
      <c r="N103" s="189"/>
    </row>
    <row r="104" spans="1:14" ht="15.5">
      <c r="A104" s="147" t="s">
        <v>510</v>
      </c>
      <c r="B104" s="130" t="s">
        <v>496</v>
      </c>
      <c r="C104" s="130" t="s">
        <v>464</v>
      </c>
      <c r="D104" s="55" t="s">
        <v>594</v>
      </c>
      <c r="F104" s="618"/>
      <c r="G104" s="53">
        <v>2.5000000000000001E-5</v>
      </c>
      <c r="H104" s="55"/>
      <c r="I104" s="618"/>
      <c r="J104" s="618"/>
      <c r="K104" s="618"/>
      <c r="L104" s="618"/>
      <c r="M104" s="618"/>
      <c r="N104" s="618"/>
    </row>
    <row r="105" spans="1:14" ht="15.5">
      <c r="A105" s="147" t="s">
        <v>510</v>
      </c>
      <c r="B105" s="130" t="s">
        <v>496</v>
      </c>
      <c r="C105" s="130" t="s">
        <v>464</v>
      </c>
      <c r="D105" s="55" t="s">
        <v>594</v>
      </c>
      <c r="F105" s="618"/>
      <c r="G105" s="53">
        <v>3.5000000000000004E-5</v>
      </c>
      <c r="H105" s="55"/>
      <c r="I105" s="618"/>
      <c r="J105" s="618"/>
      <c r="K105" s="618"/>
      <c r="L105" s="618"/>
      <c r="M105" s="618"/>
      <c r="N105" s="618"/>
    </row>
    <row r="106" spans="1:14" ht="16" thickBot="1">
      <c r="A106" s="154" t="s">
        <v>510</v>
      </c>
      <c r="B106" s="139" t="s">
        <v>496</v>
      </c>
      <c r="C106" s="139" t="s">
        <v>464</v>
      </c>
      <c r="D106" s="670" t="s">
        <v>594</v>
      </c>
      <c r="E106" s="90"/>
      <c r="F106" s="155"/>
      <c r="G106" s="156">
        <v>4.0000000000000003E-5</v>
      </c>
      <c r="H106" s="55"/>
      <c r="I106" s="618"/>
      <c r="J106" s="618"/>
      <c r="K106" s="618"/>
      <c r="L106" s="618"/>
      <c r="M106" s="618"/>
      <c r="N106" s="618"/>
    </row>
    <row r="107" spans="1:14" ht="15" thickBot="1">
      <c r="A107" s="684" t="s">
        <v>595</v>
      </c>
      <c r="B107" s="684"/>
      <c r="C107" s="684"/>
      <c r="D107" s="684"/>
      <c r="E107" s="684"/>
      <c r="F107" s="684"/>
      <c r="G107" s="684"/>
      <c r="H107" s="117"/>
    </row>
    <row r="108" spans="1:14" ht="15.5">
      <c r="A108" s="197" t="s">
        <v>510</v>
      </c>
      <c r="B108" s="124" t="s">
        <v>496</v>
      </c>
      <c r="C108" s="124" t="s">
        <v>464</v>
      </c>
      <c r="D108" s="158" t="s">
        <v>596</v>
      </c>
      <c r="E108" s="45"/>
      <c r="F108" s="176"/>
      <c r="G108" s="177">
        <v>2.1000000000000001E-4</v>
      </c>
      <c r="H108" s="55"/>
    </row>
    <row r="109" spans="1:14" ht="15.5">
      <c r="A109" s="147" t="s">
        <v>510</v>
      </c>
      <c r="B109" s="130" t="s">
        <v>496</v>
      </c>
      <c r="C109" s="130" t="s">
        <v>464</v>
      </c>
      <c r="D109" s="55" t="s">
        <v>596</v>
      </c>
      <c r="F109" s="618"/>
      <c r="G109" s="53">
        <v>7.2000000000000008E-2</v>
      </c>
      <c r="H109" s="55"/>
    </row>
    <row r="110" spans="1:14" ht="15.5">
      <c r="A110" s="147" t="s">
        <v>510</v>
      </c>
      <c r="B110" s="130" t="s">
        <v>496</v>
      </c>
      <c r="C110" s="130" t="s">
        <v>464</v>
      </c>
      <c r="D110" s="55" t="s">
        <v>596</v>
      </c>
      <c r="F110" s="618"/>
      <c r="G110" s="53">
        <v>0.217</v>
      </c>
      <c r="H110" s="55"/>
    </row>
    <row r="111" spans="1:14" ht="15.5">
      <c r="A111" s="147" t="s">
        <v>510</v>
      </c>
      <c r="B111" s="130" t="s">
        <v>496</v>
      </c>
      <c r="C111" s="130" t="s">
        <v>464</v>
      </c>
      <c r="D111" s="55" t="s">
        <v>596</v>
      </c>
      <c r="F111" s="618"/>
      <c r="G111" s="53">
        <v>0.39200000000000002</v>
      </c>
      <c r="H111" s="55"/>
    </row>
    <row r="112" spans="1:14" ht="15.5">
      <c r="A112" s="147" t="s">
        <v>510</v>
      </c>
      <c r="B112" s="130" t="s">
        <v>496</v>
      </c>
      <c r="C112" s="130" t="s">
        <v>464</v>
      </c>
      <c r="D112" s="55" t="s">
        <v>596</v>
      </c>
      <c r="F112" s="618"/>
      <c r="G112" s="53">
        <v>2.0000000000000002E-5</v>
      </c>
      <c r="H112" s="55"/>
    </row>
    <row r="113" spans="1:14" ht="15.5">
      <c r="A113" s="147" t="s">
        <v>510</v>
      </c>
      <c r="B113" s="130" t="s">
        <v>496</v>
      </c>
      <c r="C113" s="130" t="s">
        <v>464</v>
      </c>
      <c r="D113" s="55" t="s">
        <v>596</v>
      </c>
      <c r="F113" s="618"/>
      <c r="G113" s="53">
        <v>0.14400000000000002</v>
      </c>
      <c r="H113" s="55"/>
    </row>
    <row r="114" spans="1:14" ht="15.5">
      <c r="A114" s="147" t="s">
        <v>510</v>
      </c>
      <c r="B114" s="130" t="s">
        <v>496</v>
      </c>
      <c r="C114" s="130" t="s">
        <v>464</v>
      </c>
      <c r="D114" s="55" t="s">
        <v>596</v>
      </c>
      <c r="F114" s="618"/>
      <c r="G114" s="53">
        <v>9.8000000000000004E-2</v>
      </c>
      <c r="H114" s="55"/>
    </row>
    <row r="115" spans="1:14" ht="15.5">
      <c r="A115" s="147" t="s">
        <v>510</v>
      </c>
      <c r="B115" s="130" t="s">
        <v>496</v>
      </c>
      <c r="C115" s="130" t="s">
        <v>464</v>
      </c>
      <c r="D115" s="55" t="s">
        <v>596</v>
      </c>
      <c r="F115" s="618"/>
      <c r="G115" s="53">
        <v>0.183</v>
      </c>
      <c r="H115" s="55"/>
      <c r="I115" s="618"/>
      <c r="J115" s="618"/>
      <c r="K115" s="618"/>
      <c r="L115" s="618"/>
      <c r="M115" s="618"/>
      <c r="N115" s="618"/>
    </row>
    <row r="116" spans="1:14" ht="15.5">
      <c r="A116" s="147" t="s">
        <v>510</v>
      </c>
      <c r="B116" s="130" t="s">
        <v>496</v>
      </c>
      <c r="C116" s="130" t="s">
        <v>464</v>
      </c>
      <c r="D116" s="55" t="s">
        <v>596</v>
      </c>
      <c r="F116" s="618"/>
      <c r="G116" s="53">
        <v>0.12</v>
      </c>
      <c r="H116" s="55"/>
      <c r="I116" s="618"/>
      <c r="J116" s="618"/>
      <c r="K116" s="618"/>
      <c r="L116" s="618"/>
      <c r="M116" s="618"/>
      <c r="N116" s="618"/>
    </row>
    <row r="117" spans="1:14" ht="15.5">
      <c r="A117" s="147" t="s">
        <v>510</v>
      </c>
      <c r="B117" s="130" t="s">
        <v>496</v>
      </c>
      <c r="C117" s="130" t="s">
        <v>464</v>
      </c>
      <c r="D117" s="55" t="s">
        <v>596</v>
      </c>
      <c r="F117" s="618"/>
      <c r="G117" s="53">
        <v>0.14599999999999999</v>
      </c>
      <c r="H117" s="55"/>
      <c r="I117" s="618"/>
      <c r="J117" s="618"/>
      <c r="K117" s="618"/>
      <c r="L117" s="618"/>
      <c r="M117" s="618"/>
      <c r="N117" s="618"/>
    </row>
    <row r="118" spans="1:14" ht="15.5">
      <c r="A118" s="147" t="s">
        <v>510</v>
      </c>
      <c r="B118" s="130" t="s">
        <v>496</v>
      </c>
      <c r="C118" s="130" t="s">
        <v>464</v>
      </c>
      <c r="D118" s="55" t="s">
        <v>596</v>
      </c>
      <c r="F118" s="618"/>
      <c r="G118" s="53">
        <v>0.10300000000000001</v>
      </c>
      <c r="H118" s="55"/>
      <c r="I118" s="618"/>
      <c r="J118" s="618"/>
      <c r="K118" s="618"/>
      <c r="L118" s="618"/>
      <c r="M118" s="618"/>
      <c r="N118" s="618"/>
    </row>
    <row r="119" spans="1:14" ht="15.5">
      <c r="A119" s="147" t="s">
        <v>510</v>
      </c>
      <c r="B119" s="130" t="s">
        <v>496</v>
      </c>
      <c r="C119" s="130" t="s">
        <v>464</v>
      </c>
      <c r="D119" s="55" t="s">
        <v>596</v>
      </c>
      <c r="F119" s="618"/>
      <c r="G119" s="53">
        <v>3.0000000000000001E-5</v>
      </c>
      <c r="H119" s="55"/>
      <c r="I119" s="618"/>
      <c r="J119" s="618"/>
      <c r="K119" s="618"/>
      <c r="L119" s="618"/>
      <c r="M119" s="618"/>
      <c r="N119" s="618"/>
    </row>
    <row r="120" spans="1:14" ht="15.5">
      <c r="A120" s="147" t="s">
        <v>510</v>
      </c>
      <c r="B120" s="130" t="s">
        <v>496</v>
      </c>
      <c r="C120" s="130" t="s">
        <v>464</v>
      </c>
      <c r="D120" s="55" t="s">
        <v>597</v>
      </c>
      <c r="F120" s="618"/>
      <c r="G120" s="53">
        <v>0.22399999999999998</v>
      </c>
      <c r="H120" s="55"/>
    </row>
    <row r="121" spans="1:14" ht="15.5">
      <c r="A121" s="147" t="s">
        <v>510</v>
      </c>
      <c r="B121" s="130" t="s">
        <v>496</v>
      </c>
      <c r="C121" s="130" t="s">
        <v>464</v>
      </c>
      <c r="D121" s="55" t="s">
        <v>597</v>
      </c>
      <c r="F121" s="618"/>
      <c r="G121" s="53">
        <v>0.253</v>
      </c>
      <c r="H121" s="55"/>
      <c r="I121" s="618"/>
      <c r="J121" s="618"/>
      <c r="K121" s="618"/>
      <c r="L121" s="618"/>
      <c r="M121" s="618"/>
      <c r="N121" s="618"/>
    </row>
    <row r="122" spans="1:14" ht="15.5">
      <c r="A122" s="147" t="s">
        <v>510</v>
      </c>
      <c r="B122" s="130" t="s">
        <v>496</v>
      </c>
      <c r="C122" s="130" t="s">
        <v>464</v>
      </c>
      <c r="D122" s="55" t="s">
        <v>597</v>
      </c>
      <c r="F122" s="618"/>
      <c r="G122" s="53">
        <v>2.0000000000000001E-4</v>
      </c>
      <c r="H122" s="55"/>
      <c r="I122" s="618"/>
      <c r="J122" s="618"/>
      <c r="K122" s="618"/>
      <c r="L122" s="618"/>
      <c r="M122" s="618"/>
      <c r="N122" s="618"/>
    </row>
    <row r="123" spans="1:14" ht="15.5">
      <c r="A123" s="147" t="s">
        <v>510</v>
      </c>
      <c r="B123" s="130" t="s">
        <v>496</v>
      </c>
      <c r="C123" s="130" t="s">
        <v>464</v>
      </c>
      <c r="D123" s="55" t="s">
        <v>597</v>
      </c>
      <c r="F123" s="618"/>
      <c r="G123" s="53">
        <v>0.13</v>
      </c>
      <c r="H123" s="55"/>
      <c r="I123" s="618"/>
      <c r="J123" s="618"/>
      <c r="K123" s="618"/>
      <c r="L123" s="618"/>
      <c r="M123" s="618"/>
      <c r="N123" s="618"/>
    </row>
    <row r="124" spans="1:14" ht="15.5">
      <c r="A124" s="147" t="s">
        <v>510</v>
      </c>
      <c r="B124" s="130" t="s">
        <v>496</v>
      </c>
      <c r="C124" s="130" t="s">
        <v>464</v>
      </c>
      <c r="D124" s="55" t="s">
        <v>597</v>
      </c>
      <c r="F124" s="618"/>
      <c r="G124" s="53">
        <v>3.0000000000000001E-5</v>
      </c>
      <c r="H124" s="55"/>
    </row>
    <row r="125" spans="1:14" ht="15.5">
      <c r="A125" s="147" t="s">
        <v>510</v>
      </c>
      <c r="B125" s="130" t="s">
        <v>496</v>
      </c>
      <c r="C125" s="130" t="s">
        <v>464</v>
      </c>
      <c r="D125" s="55" t="s">
        <v>597</v>
      </c>
      <c r="F125" s="618"/>
      <c r="G125" s="53">
        <v>8.0000000000000007E-5</v>
      </c>
      <c r="H125" s="55"/>
    </row>
    <row r="126" spans="1:14" ht="15.5">
      <c r="A126" s="147" t="s">
        <v>510</v>
      </c>
      <c r="B126" s="130" t="s">
        <v>496</v>
      </c>
      <c r="C126" s="130" t="s">
        <v>464</v>
      </c>
      <c r="D126" s="55" t="s">
        <v>597</v>
      </c>
      <c r="F126" s="618"/>
      <c r="G126" s="53">
        <v>0.222</v>
      </c>
      <c r="H126" s="55"/>
    </row>
    <row r="127" spans="1:14" ht="15.65" customHeight="1" thickBot="1">
      <c r="A127" s="682" t="s">
        <v>537</v>
      </c>
      <c r="B127" s="682"/>
      <c r="C127" s="682"/>
      <c r="D127" s="682"/>
      <c r="E127" s="682"/>
      <c r="F127" s="682"/>
      <c r="G127" s="682"/>
      <c r="H127" s="117"/>
      <c r="I127" s="618"/>
      <c r="J127" s="618"/>
      <c r="K127" s="618"/>
      <c r="L127" s="618"/>
      <c r="M127" s="618"/>
      <c r="N127" s="618"/>
    </row>
    <row r="128" spans="1:14" ht="15.5">
      <c r="A128" s="197" t="s">
        <v>510</v>
      </c>
      <c r="B128" s="124" t="s">
        <v>496</v>
      </c>
      <c r="C128" s="124" t="s">
        <v>464</v>
      </c>
      <c r="D128" s="158" t="s">
        <v>598</v>
      </c>
      <c r="E128" s="45"/>
      <c r="F128" s="176"/>
      <c r="G128" s="177">
        <v>0.442</v>
      </c>
      <c r="H128" s="55"/>
    </row>
    <row r="129" spans="1:14" ht="15.5">
      <c r="A129" s="147" t="s">
        <v>510</v>
      </c>
      <c r="B129" s="130" t="s">
        <v>496</v>
      </c>
      <c r="C129" s="130" t="s">
        <v>464</v>
      </c>
      <c r="D129" s="55" t="s">
        <v>598</v>
      </c>
      <c r="F129" s="618"/>
      <c r="G129" s="53">
        <v>8.8500000000000002E-3</v>
      </c>
      <c r="H129" s="55"/>
      <c r="I129" s="618"/>
      <c r="J129" s="618"/>
      <c r="K129" s="618"/>
      <c r="L129" s="618"/>
      <c r="M129" s="618"/>
      <c r="N129" s="618"/>
    </row>
    <row r="130" spans="1:14" ht="15.5">
      <c r="A130" s="147" t="s">
        <v>510</v>
      </c>
      <c r="B130" s="130" t="s">
        <v>496</v>
      </c>
      <c r="C130" s="130" t="s">
        <v>464</v>
      </c>
      <c r="D130" s="55" t="s">
        <v>599</v>
      </c>
      <c r="F130" s="618"/>
      <c r="G130" s="53">
        <v>3.6999999999999999E-4</v>
      </c>
      <c r="H130" s="55"/>
      <c r="I130" s="618"/>
      <c r="J130" s="618"/>
      <c r="K130" s="618"/>
      <c r="L130" s="618"/>
      <c r="M130" s="618"/>
      <c r="N130" s="618"/>
    </row>
    <row r="131" spans="1:14" ht="15.5">
      <c r="A131" s="147" t="s">
        <v>510</v>
      </c>
      <c r="B131" s="130" t="s">
        <v>496</v>
      </c>
      <c r="C131" s="130" t="s">
        <v>464</v>
      </c>
      <c r="D131" s="55" t="s">
        <v>600</v>
      </c>
      <c r="F131" s="618"/>
      <c r="G131" s="53">
        <v>9.0000000000000002E-6</v>
      </c>
      <c r="H131" s="55"/>
      <c r="I131" s="618"/>
      <c r="J131" s="618"/>
      <c r="K131" s="618"/>
      <c r="L131" s="618"/>
      <c r="M131" s="618"/>
      <c r="N131" s="618"/>
    </row>
    <row r="132" spans="1:14" ht="15.5">
      <c r="A132" s="147" t="s">
        <v>510</v>
      </c>
      <c r="B132" s="130" t="s">
        <v>496</v>
      </c>
      <c r="C132" s="130" t="s">
        <v>464</v>
      </c>
      <c r="D132" s="55" t="s">
        <v>601</v>
      </c>
      <c r="F132" s="618"/>
      <c r="G132" s="53">
        <v>1.2999999999999999E-4</v>
      </c>
      <c r="H132" s="55"/>
      <c r="I132" s="618"/>
      <c r="J132" s="618"/>
      <c r="K132" s="618"/>
      <c r="L132" s="618"/>
      <c r="M132" s="618"/>
      <c r="N132" s="618"/>
    </row>
    <row r="133" spans="1:14" ht="15.5">
      <c r="A133" s="147" t="s">
        <v>510</v>
      </c>
      <c r="B133" s="130" t="s">
        <v>496</v>
      </c>
      <c r="C133" s="130" t="s">
        <v>464</v>
      </c>
      <c r="D133" s="55" t="s">
        <v>598</v>
      </c>
      <c r="F133" s="618"/>
      <c r="G133" s="53">
        <v>0.439</v>
      </c>
      <c r="H133" s="55"/>
      <c r="I133" s="618"/>
      <c r="J133" s="618"/>
      <c r="K133" s="618"/>
      <c r="L133" s="618"/>
      <c r="M133" s="618"/>
      <c r="N133" s="618"/>
    </row>
    <row r="134" spans="1:14" ht="15.5">
      <c r="A134" s="147" t="s">
        <v>510</v>
      </c>
      <c r="B134" s="130" t="s">
        <v>496</v>
      </c>
      <c r="C134" s="130" t="s">
        <v>464</v>
      </c>
      <c r="D134" s="55" t="s">
        <v>598</v>
      </c>
      <c r="F134" s="618"/>
      <c r="G134" s="53">
        <v>4.6000000000000001E-4</v>
      </c>
      <c r="H134" s="55"/>
      <c r="I134" s="618"/>
      <c r="J134" s="618"/>
      <c r="K134" s="618"/>
      <c r="L134" s="618"/>
      <c r="M134" s="618"/>
      <c r="N134" s="618"/>
    </row>
    <row r="135" spans="1:14" ht="15.5">
      <c r="A135" s="162">
        <v>11374030</v>
      </c>
      <c r="B135" s="130" t="s">
        <v>496</v>
      </c>
      <c r="C135" s="130" t="s">
        <v>464</v>
      </c>
      <c r="D135" s="55" t="s">
        <v>602</v>
      </c>
      <c r="E135" s="130"/>
      <c r="F135" s="130"/>
      <c r="G135" s="53">
        <v>8.4000000000000005E-2</v>
      </c>
      <c r="H135" s="55"/>
    </row>
    <row r="136" spans="1:14" ht="15.5">
      <c r="A136" s="162">
        <v>11374030</v>
      </c>
      <c r="B136" s="130" t="s">
        <v>496</v>
      </c>
      <c r="C136" s="130" t="s">
        <v>464</v>
      </c>
      <c r="D136" s="55" t="s">
        <v>602</v>
      </c>
      <c r="E136" s="101"/>
      <c r="F136" s="199"/>
      <c r="G136" s="53">
        <v>0.17100000000000001</v>
      </c>
      <c r="H136" s="55"/>
    </row>
    <row r="137" spans="1:14" ht="18" customHeight="1">
      <c r="A137" s="162">
        <v>11374030</v>
      </c>
      <c r="B137" s="130" t="s">
        <v>496</v>
      </c>
      <c r="C137" s="130" t="s">
        <v>464</v>
      </c>
      <c r="D137" s="55" t="s">
        <v>603</v>
      </c>
      <c r="G137" s="200">
        <v>6.0000000000000002E-6</v>
      </c>
      <c r="H137" s="201"/>
    </row>
    <row r="138" spans="1:14" ht="15.5">
      <c r="A138" s="162">
        <v>11374030</v>
      </c>
      <c r="B138" s="130" t="s">
        <v>496</v>
      </c>
      <c r="C138" s="130" t="s">
        <v>464</v>
      </c>
      <c r="D138" s="55" t="s">
        <v>604</v>
      </c>
      <c r="F138" s="164"/>
      <c r="G138" s="200">
        <v>6.9999999999999999E-6</v>
      </c>
      <c r="H138" s="201"/>
    </row>
    <row r="139" spans="1:14" ht="15.5">
      <c r="A139" s="162">
        <v>11374030</v>
      </c>
      <c r="B139" s="130" t="s">
        <v>496</v>
      </c>
      <c r="C139" s="130" t="s">
        <v>464</v>
      </c>
      <c r="D139" s="55" t="s">
        <v>604</v>
      </c>
      <c r="F139" s="618"/>
      <c r="G139" s="163">
        <v>0.215</v>
      </c>
      <c r="H139" s="160"/>
      <c r="N139" s="189"/>
    </row>
    <row r="140" spans="1:14" ht="15" thickBot="1">
      <c r="A140" s="682" t="s">
        <v>545</v>
      </c>
      <c r="B140" s="682"/>
      <c r="C140" s="682"/>
      <c r="D140" s="682"/>
      <c r="E140" s="682"/>
      <c r="F140" s="682"/>
      <c r="G140" s="682"/>
      <c r="H140" s="117"/>
    </row>
    <row r="141" spans="1:14" ht="15.5">
      <c r="A141" s="157">
        <v>11374030</v>
      </c>
      <c r="B141" s="124" t="s">
        <v>496</v>
      </c>
      <c r="C141" s="124" t="s">
        <v>464</v>
      </c>
      <c r="D141" s="158" t="s">
        <v>605</v>
      </c>
      <c r="E141" s="45"/>
      <c r="F141" s="202"/>
      <c r="G141" s="159">
        <v>1.2999999999999999E-2</v>
      </c>
      <c r="H141" s="160"/>
    </row>
    <row r="142" spans="1:14" ht="19.5" customHeight="1">
      <c r="A142" s="162">
        <v>11374030</v>
      </c>
      <c r="B142" s="130" t="s">
        <v>496</v>
      </c>
      <c r="C142" s="130" t="s">
        <v>464</v>
      </c>
      <c r="D142" s="55" t="s">
        <v>605</v>
      </c>
      <c r="G142" s="163">
        <v>1.7999999999999999E-2</v>
      </c>
      <c r="H142" s="160"/>
    </row>
    <row r="143" spans="1:14" ht="15.5">
      <c r="A143" s="203" t="s">
        <v>531</v>
      </c>
      <c r="B143" s="130" t="s">
        <v>496</v>
      </c>
      <c r="C143" s="130" t="s">
        <v>497</v>
      </c>
      <c r="D143" s="33" t="s">
        <v>606</v>
      </c>
      <c r="F143" s="161">
        <v>136706</v>
      </c>
      <c r="G143" s="48">
        <f>F143*10^-6</f>
        <v>0.13670599999999999</v>
      </c>
      <c r="H143" s="671"/>
    </row>
    <row r="144" spans="1:14" ht="15.5">
      <c r="A144" s="203" t="s">
        <v>531</v>
      </c>
      <c r="B144" s="130" t="s">
        <v>496</v>
      </c>
      <c r="C144" s="130" t="s">
        <v>497</v>
      </c>
      <c r="D144" s="33" t="s">
        <v>606</v>
      </c>
      <c r="F144" s="161">
        <v>3220</v>
      </c>
      <c r="G144" s="48">
        <f>F144*10^-6</f>
        <v>3.2199999999999998E-3</v>
      </c>
      <c r="H144" s="671"/>
    </row>
    <row r="145" spans="1:14" ht="16" thickBot="1">
      <c r="A145" s="204" t="s">
        <v>531</v>
      </c>
      <c r="B145" s="139" t="s">
        <v>496</v>
      </c>
      <c r="C145" s="139" t="s">
        <v>497</v>
      </c>
      <c r="D145" s="198" t="s">
        <v>606</v>
      </c>
      <c r="E145" s="90"/>
      <c r="F145" s="171">
        <v>63516</v>
      </c>
      <c r="G145" s="91">
        <f>F145*10^-6</f>
        <v>6.3516000000000003E-2</v>
      </c>
      <c r="H145" s="671"/>
    </row>
    <row r="146" spans="1:14" ht="16" customHeight="1" thickBot="1">
      <c r="A146" s="682" t="s">
        <v>505</v>
      </c>
      <c r="B146" s="682"/>
      <c r="C146" s="682"/>
      <c r="D146" s="682"/>
      <c r="E146" s="682"/>
      <c r="F146" s="682"/>
      <c r="G146" s="682"/>
      <c r="H146" s="117"/>
      <c r="N146" s="189"/>
    </row>
    <row r="147" spans="1:14" ht="15.5">
      <c r="A147" s="179">
        <v>11374030</v>
      </c>
      <c r="B147" s="180" t="s">
        <v>496</v>
      </c>
      <c r="C147" s="180" t="s">
        <v>464</v>
      </c>
      <c r="D147" s="181" t="s">
        <v>607</v>
      </c>
      <c r="E147" s="180"/>
      <c r="F147" s="180"/>
      <c r="G147" s="183">
        <v>0.10299999999999999</v>
      </c>
      <c r="H147" s="160"/>
    </row>
    <row r="148" spans="1:14" ht="15.5">
      <c r="A148" s="205">
        <v>2345985</v>
      </c>
      <c r="B148" s="185" t="s">
        <v>463</v>
      </c>
      <c r="C148" s="185" t="s">
        <v>608</v>
      </c>
      <c r="D148" s="206" t="s">
        <v>607</v>
      </c>
      <c r="E148" s="185" t="s">
        <v>609</v>
      </c>
      <c r="F148" s="185" t="s">
        <v>610</v>
      </c>
      <c r="G148" s="207">
        <f>E148*10^-6</f>
        <v>1.4999999999999999E-5</v>
      </c>
      <c r="I148" s="130"/>
      <c r="J148" s="130"/>
      <c r="K148" s="130"/>
      <c r="L148" s="130"/>
      <c r="M148" s="130"/>
      <c r="N148" s="130"/>
    </row>
    <row r="149" spans="1:14" ht="15.5">
      <c r="A149" s="205">
        <v>2345985</v>
      </c>
      <c r="B149" s="185" t="s">
        <v>463</v>
      </c>
      <c r="C149" s="185" t="s">
        <v>608</v>
      </c>
      <c r="D149" s="206" t="s">
        <v>607</v>
      </c>
      <c r="E149" s="185" t="s">
        <v>611</v>
      </c>
      <c r="F149" s="185" t="s">
        <v>610</v>
      </c>
      <c r="G149" s="207">
        <f t="shared" ref="G149:G159" si="2">E149*10^-6</f>
        <v>1.7299999999999999E-2</v>
      </c>
      <c r="I149" s="130"/>
      <c r="J149" s="130"/>
      <c r="K149" s="130"/>
      <c r="L149" s="130"/>
      <c r="M149" s="130"/>
      <c r="N149" s="130"/>
    </row>
    <row r="150" spans="1:14" ht="15.5">
      <c r="A150" s="205">
        <v>2345985</v>
      </c>
      <c r="B150" s="185" t="s">
        <v>463</v>
      </c>
      <c r="C150" s="185" t="s">
        <v>608</v>
      </c>
      <c r="D150" s="206" t="s">
        <v>607</v>
      </c>
      <c r="E150" s="185" t="s">
        <v>612</v>
      </c>
      <c r="F150" s="185" t="s">
        <v>610</v>
      </c>
      <c r="G150" s="207">
        <f t="shared" si="2"/>
        <v>0.432</v>
      </c>
      <c r="I150" s="130"/>
      <c r="J150" s="130"/>
      <c r="K150" s="130"/>
      <c r="L150" s="130"/>
      <c r="M150" s="130"/>
      <c r="N150" s="130"/>
    </row>
    <row r="151" spans="1:14" ht="15.5">
      <c r="A151" s="205">
        <v>2345985</v>
      </c>
      <c r="B151" s="185" t="s">
        <v>463</v>
      </c>
      <c r="C151" s="185" t="s">
        <v>608</v>
      </c>
      <c r="D151" s="206" t="s">
        <v>607</v>
      </c>
      <c r="E151" s="185" t="s">
        <v>613</v>
      </c>
      <c r="F151" s="185" t="s">
        <v>610</v>
      </c>
      <c r="G151" s="207">
        <f t="shared" si="2"/>
        <v>1.4999999999999999E-4</v>
      </c>
      <c r="I151" s="130"/>
      <c r="J151" s="130"/>
      <c r="K151" s="130"/>
      <c r="L151" s="130"/>
      <c r="M151" s="130"/>
      <c r="N151" s="130"/>
    </row>
    <row r="152" spans="1:14" ht="15.5">
      <c r="A152" s="205">
        <v>2345985</v>
      </c>
      <c r="B152" s="185" t="s">
        <v>463</v>
      </c>
      <c r="C152" s="185" t="s">
        <v>608</v>
      </c>
      <c r="D152" s="206" t="s">
        <v>607</v>
      </c>
      <c r="E152" s="185" t="s">
        <v>612</v>
      </c>
      <c r="F152" s="185" t="s">
        <v>610</v>
      </c>
      <c r="G152" s="207">
        <f t="shared" si="2"/>
        <v>0.432</v>
      </c>
      <c r="I152" s="130"/>
      <c r="J152" s="130"/>
      <c r="K152" s="130"/>
      <c r="L152" s="130"/>
      <c r="M152" s="130"/>
      <c r="N152" s="130"/>
    </row>
    <row r="153" spans="1:14" ht="15.5">
      <c r="A153" s="205">
        <v>2345985</v>
      </c>
      <c r="B153" s="185" t="s">
        <v>463</v>
      </c>
      <c r="C153" s="185" t="s">
        <v>608</v>
      </c>
      <c r="D153" s="206" t="s">
        <v>607</v>
      </c>
      <c r="E153" s="185" t="s">
        <v>614</v>
      </c>
      <c r="F153" s="185" t="s">
        <v>610</v>
      </c>
      <c r="G153" s="207">
        <f t="shared" si="2"/>
        <v>0.68599999999999994</v>
      </c>
      <c r="I153" s="130"/>
      <c r="J153" s="130"/>
      <c r="K153" s="130"/>
      <c r="L153" s="130"/>
      <c r="M153" s="130"/>
      <c r="N153" s="130"/>
    </row>
    <row r="154" spans="1:14" ht="15.5">
      <c r="A154" s="205">
        <v>2345985</v>
      </c>
      <c r="B154" s="185" t="s">
        <v>463</v>
      </c>
      <c r="C154" s="185" t="s">
        <v>608</v>
      </c>
      <c r="D154" s="206" t="s">
        <v>607</v>
      </c>
      <c r="E154" s="185" t="s">
        <v>615</v>
      </c>
      <c r="F154" s="185" t="s">
        <v>610</v>
      </c>
      <c r="G154" s="207">
        <f t="shared" si="2"/>
        <v>4.9999999999999996E-5</v>
      </c>
      <c r="I154" s="130"/>
      <c r="J154" s="130"/>
      <c r="K154" s="130"/>
      <c r="L154" s="130"/>
      <c r="M154" s="130"/>
      <c r="N154" s="130"/>
    </row>
    <row r="155" spans="1:14" ht="15.5">
      <c r="A155" s="205">
        <v>2345985</v>
      </c>
      <c r="B155" s="185" t="s">
        <v>463</v>
      </c>
      <c r="C155" s="185" t="s">
        <v>608</v>
      </c>
      <c r="D155" s="206" t="s">
        <v>607</v>
      </c>
      <c r="E155" s="185" t="s">
        <v>615</v>
      </c>
      <c r="F155" s="185" t="s">
        <v>610</v>
      </c>
      <c r="G155" s="207">
        <f t="shared" si="2"/>
        <v>4.9999999999999996E-5</v>
      </c>
      <c r="I155" s="130"/>
      <c r="J155" s="130"/>
      <c r="K155" s="130"/>
      <c r="L155" s="130"/>
      <c r="M155" s="130"/>
      <c r="N155" s="130"/>
    </row>
    <row r="156" spans="1:14" ht="15.5">
      <c r="A156" s="205">
        <v>2345985</v>
      </c>
      <c r="B156" s="185" t="s">
        <v>463</v>
      </c>
      <c r="C156" s="185" t="s">
        <v>608</v>
      </c>
      <c r="D156" s="206" t="s">
        <v>607</v>
      </c>
      <c r="E156" s="185" t="s">
        <v>615</v>
      </c>
      <c r="F156" s="185" t="s">
        <v>610</v>
      </c>
      <c r="G156" s="207">
        <f t="shared" si="2"/>
        <v>4.9999999999999996E-5</v>
      </c>
      <c r="I156" s="130"/>
      <c r="J156" s="130"/>
      <c r="K156" s="130"/>
      <c r="L156" s="130"/>
      <c r="M156" s="130"/>
      <c r="N156" s="130"/>
    </row>
    <row r="157" spans="1:14" ht="15.5">
      <c r="A157" s="205">
        <v>2345985</v>
      </c>
      <c r="B157" s="185" t="s">
        <v>463</v>
      </c>
      <c r="C157" s="185" t="s">
        <v>608</v>
      </c>
      <c r="D157" s="206" t="s">
        <v>607</v>
      </c>
      <c r="E157" s="185" t="s">
        <v>616</v>
      </c>
      <c r="F157" s="185" t="s">
        <v>610</v>
      </c>
      <c r="G157" s="207">
        <f t="shared" si="2"/>
        <v>6.9999999999999994E-5</v>
      </c>
      <c r="N157" s="130"/>
    </row>
    <row r="158" spans="1:14" ht="15.5">
      <c r="A158" s="205">
        <v>2345985</v>
      </c>
      <c r="B158" s="185" t="s">
        <v>463</v>
      </c>
      <c r="C158" s="185" t="s">
        <v>608</v>
      </c>
      <c r="D158" s="206" t="s">
        <v>607</v>
      </c>
      <c r="E158" s="185" t="s">
        <v>617</v>
      </c>
      <c r="F158" s="185" t="s">
        <v>610</v>
      </c>
      <c r="G158" s="207">
        <f t="shared" si="2"/>
        <v>1.7999999999999998E-4</v>
      </c>
      <c r="N158" s="130"/>
    </row>
    <row r="159" spans="1:14" ht="15.5">
      <c r="A159" s="205">
        <v>2345985</v>
      </c>
      <c r="B159" s="185" t="s">
        <v>463</v>
      </c>
      <c r="C159" s="185" t="s">
        <v>608</v>
      </c>
      <c r="D159" s="206" t="s">
        <v>607</v>
      </c>
      <c r="E159" s="185" t="s">
        <v>618</v>
      </c>
      <c r="F159" s="185" t="s">
        <v>610</v>
      </c>
      <c r="G159" s="207">
        <f t="shared" si="2"/>
        <v>8.3999999999999993E-4</v>
      </c>
      <c r="N159" s="130"/>
    </row>
    <row r="160" spans="1:14" ht="15.5">
      <c r="A160" s="205">
        <v>2914652</v>
      </c>
      <c r="B160" s="185" t="s">
        <v>463</v>
      </c>
      <c r="C160" s="185" t="s">
        <v>619</v>
      </c>
      <c r="D160" s="206" t="s">
        <v>607</v>
      </c>
      <c r="E160" s="185" t="s">
        <v>620</v>
      </c>
      <c r="F160" s="185" t="s">
        <v>565</v>
      </c>
      <c r="G160" s="207">
        <f t="shared" ref="G160:G165" si="3">E160/100</f>
        <v>1.9E-2</v>
      </c>
      <c r="N160" s="130"/>
    </row>
    <row r="161" spans="1:14" ht="15.5">
      <c r="A161" s="205">
        <v>2914652</v>
      </c>
      <c r="B161" s="185" t="s">
        <v>463</v>
      </c>
      <c r="C161" s="185" t="s">
        <v>619</v>
      </c>
      <c r="D161" s="206" t="s">
        <v>607</v>
      </c>
      <c r="E161" s="185" t="s">
        <v>621</v>
      </c>
      <c r="F161" s="185" t="s">
        <v>565</v>
      </c>
      <c r="G161" s="207">
        <f t="shared" si="3"/>
        <v>0.2</v>
      </c>
      <c r="N161" s="130"/>
    </row>
    <row r="162" spans="1:14" ht="15.5">
      <c r="A162" s="205">
        <v>2914652</v>
      </c>
      <c r="B162" s="185" t="s">
        <v>463</v>
      </c>
      <c r="C162" s="185" t="s">
        <v>619</v>
      </c>
      <c r="D162" s="206" t="s">
        <v>607</v>
      </c>
      <c r="E162" s="185" t="s">
        <v>622</v>
      </c>
      <c r="F162" s="185" t="s">
        <v>565</v>
      </c>
      <c r="G162" s="207">
        <f t="shared" si="3"/>
        <v>0.247</v>
      </c>
      <c r="N162" s="130"/>
    </row>
    <row r="163" spans="1:14" ht="15.5">
      <c r="A163" s="205">
        <v>2914652</v>
      </c>
      <c r="B163" s="185" t="s">
        <v>463</v>
      </c>
      <c r="C163" s="185" t="s">
        <v>619</v>
      </c>
      <c r="D163" s="206" t="s">
        <v>607</v>
      </c>
      <c r="E163" s="185" t="s">
        <v>623</v>
      </c>
      <c r="F163" s="185" t="s">
        <v>565</v>
      </c>
      <c r="G163" s="207">
        <f t="shared" si="3"/>
        <v>0.25900000000000001</v>
      </c>
      <c r="N163" s="130"/>
    </row>
    <row r="164" spans="1:14" ht="15.5">
      <c r="A164" s="205">
        <v>2914652</v>
      </c>
      <c r="B164" s="185" t="s">
        <v>463</v>
      </c>
      <c r="C164" s="185" t="s">
        <v>619</v>
      </c>
      <c r="D164" s="206" t="s">
        <v>607</v>
      </c>
      <c r="E164" s="185" t="s">
        <v>624</v>
      </c>
      <c r="F164" s="185" t="s">
        <v>565</v>
      </c>
      <c r="G164" s="207">
        <f t="shared" si="3"/>
        <v>0.28000000000000003</v>
      </c>
      <c r="N164" s="130"/>
    </row>
    <row r="165" spans="1:14" ht="16" thickBot="1">
      <c r="A165" s="208">
        <v>2914652</v>
      </c>
      <c r="B165" s="193" t="s">
        <v>463</v>
      </c>
      <c r="C165" s="193" t="s">
        <v>619</v>
      </c>
      <c r="D165" s="209" t="s">
        <v>607</v>
      </c>
      <c r="E165" s="193" t="s">
        <v>625</v>
      </c>
      <c r="F165" s="193" t="s">
        <v>565</v>
      </c>
      <c r="G165" s="210">
        <f t="shared" si="3"/>
        <v>0.31</v>
      </c>
      <c r="N165" s="130"/>
    </row>
    <row r="166" spans="1:14">
      <c r="A166" s="683" t="s">
        <v>577</v>
      </c>
      <c r="B166" s="683"/>
      <c r="C166" s="683"/>
      <c r="D166" s="683"/>
      <c r="E166" s="683"/>
      <c r="F166" s="683"/>
      <c r="G166" s="683"/>
    </row>
    <row r="167" spans="1:14" ht="16" thickBot="1">
      <c r="A167" s="211" t="s">
        <v>578</v>
      </c>
      <c r="B167" s="212" t="s">
        <v>496</v>
      </c>
      <c r="C167" s="212" t="s">
        <v>464</v>
      </c>
      <c r="D167" s="213" t="s">
        <v>438</v>
      </c>
      <c r="E167" s="214">
        <v>2.5999999999999999E-3</v>
      </c>
      <c r="F167" s="215" t="s">
        <v>467</v>
      </c>
      <c r="G167" s="216">
        <f>E167*0.001</f>
        <v>2.6000000000000001E-6</v>
      </c>
      <c r="H167" s="100"/>
      <c r="I167" s="108"/>
      <c r="J167" s="96"/>
      <c r="K167" s="98"/>
    </row>
    <row r="168" spans="1:14" ht="16" thickBot="1">
      <c r="A168" s="217" t="s">
        <v>578</v>
      </c>
      <c r="B168" s="130" t="s">
        <v>496</v>
      </c>
      <c r="C168" s="130" t="s">
        <v>464</v>
      </c>
      <c r="D168" s="218" t="s">
        <v>438</v>
      </c>
      <c r="E168" s="61">
        <v>0.25</v>
      </c>
      <c r="F168" s="104" t="s">
        <v>467</v>
      </c>
      <c r="G168" s="219">
        <f>E168*0.001</f>
        <v>2.5000000000000001E-4</v>
      </c>
      <c r="H168" s="100"/>
      <c r="I168" s="108"/>
      <c r="J168" s="96"/>
      <c r="K168" s="98"/>
    </row>
    <row r="169" spans="1:14" ht="16" thickBot="1">
      <c r="A169" s="217" t="s">
        <v>578</v>
      </c>
      <c r="B169" s="130" t="s">
        <v>496</v>
      </c>
      <c r="C169" s="130" t="s">
        <v>464</v>
      </c>
      <c r="D169" s="218" t="s">
        <v>440</v>
      </c>
      <c r="E169" s="61">
        <v>3.2000000000000001E-2</v>
      </c>
      <c r="F169" s="104" t="s">
        <v>467</v>
      </c>
      <c r="G169" s="219">
        <f>E169*0.001</f>
        <v>3.1999999999999999E-5</v>
      </c>
      <c r="H169" s="100"/>
      <c r="I169" s="108"/>
      <c r="J169" s="96"/>
      <c r="K169" s="98"/>
    </row>
    <row r="170" spans="1:14" ht="15.5">
      <c r="A170" s="220" t="s">
        <v>578</v>
      </c>
      <c r="B170" s="221" t="s">
        <v>496</v>
      </c>
      <c r="C170" s="221" t="s">
        <v>464</v>
      </c>
      <c r="D170" s="222" t="s">
        <v>442</v>
      </c>
      <c r="E170" s="223">
        <v>0.17</v>
      </c>
      <c r="F170" s="224" t="s">
        <v>467</v>
      </c>
      <c r="G170" s="225">
        <f>E170*0.001</f>
        <v>1.7000000000000001E-4</v>
      </c>
      <c r="H170" s="100"/>
      <c r="I170" s="108"/>
    </row>
  </sheetData>
  <sheetProtection sheet="1" objects="1" scenarios="1" formatCells="0" formatColumns="0" formatRows="0" sort="0" autoFilter="0"/>
  <mergeCells count="33">
    <mergeCell ref="I19:O19"/>
    <mergeCell ref="I1:O1"/>
    <mergeCell ref="R1:V1"/>
    <mergeCell ref="A2:G2"/>
    <mergeCell ref="I3:O3"/>
    <mergeCell ref="I5:O5"/>
    <mergeCell ref="I8:O8"/>
    <mergeCell ref="I10:O10"/>
    <mergeCell ref="A11:G11"/>
    <mergeCell ref="I12:O12"/>
    <mergeCell ref="I14:O14"/>
    <mergeCell ref="I16:O16"/>
    <mergeCell ref="A72:G72"/>
    <mergeCell ref="I21:O21"/>
    <mergeCell ref="I24:O24"/>
    <mergeCell ref="A25:G25"/>
    <mergeCell ref="I26:O26"/>
    <mergeCell ref="I29:O29"/>
    <mergeCell ref="I34:O34"/>
    <mergeCell ref="I37:O37"/>
    <mergeCell ref="I61:O61"/>
    <mergeCell ref="A62:G62"/>
    <mergeCell ref="A65:G65"/>
    <mergeCell ref="A67:G67"/>
    <mergeCell ref="A140:G140"/>
    <mergeCell ref="A146:G146"/>
    <mergeCell ref="A166:G166"/>
    <mergeCell ref="A78:G78"/>
    <mergeCell ref="A90:G90"/>
    <mergeCell ref="A96:G96"/>
    <mergeCell ref="A100:G100"/>
    <mergeCell ref="A107:G107"/>
    <mergeCell ref="A127:G127"/>
  </mergeCells>
  <dataValidations count="2">
    <dataValidation type="list" allowBlank="1" showInputMessage="1" showErrorMessage="1" sqref="J167:J169" xr:uid="{55AB1E4F-892F-4955-8B06-E802F335F77D}">
      <formula1>"Yes, No, Unclear"</formula1>
    </dataValidation>
    <dataValidation type="list" allowBlank="1" showInputMessage="1" showErrorMessage="1" sqref="K167:K169" xr:uid="{1586F684-7666-4F92-9EC4-7D46BD299F21}">
      <formula1>"Paste (caulk gun), Paste (putty knife or hand application), Liquid (rolled or brushed on), Liquid (sprayed on), Liquid (added to water), Liquid (poured), Solid, Other"</formula1>
    </dataValidation>
  </dataValidations>
  <hyperlinks>
    <hyperlink ref="A27" r:id="rId1" xr:uid="{72C54A8C-CA0D-4CAF-8033-BC7FCA87F51D}"/>
    <hyperlink ref="A57" r:id="rId2" xr:uid="{890D7CCC-F414-4B38-B3EE-B7E97FF2826C}"/>
    <hyperlink ref="A58" r:id="rId3" xr:uid="{9924BA13-2148-435D-85B5-A3EA13EBD383}"/>
    <hyperlink ref="A59" r:id="rId4" xr:uid="{E907EE0E-721A-44CF-9B6E-5BE7E4CF761C}"/>
    <hyperlink ref="A60" r:id="rId5" xr:uid="{56D9DF19-54F2-498A-8D84-8B345404A971}"/>
    <hyperlink ref="A61" r:id="rId6" xr:uid="{B2DD252E-E4EC-470D-A090-FA6DE7E1C9FE}"/>
    <hyperlink ref="A99" r:id="rId7" xr:uid="{AE90B154-5F8A-4DE9-909C-EFE654F8C122}"/>
    <hyperlink ref="A143:A145" r:id="rId8" display="https://www.ecocenter.org/sites/default/files/2022-04/DS_SPSSoutput_byretailer.pdf" xr:uid="{ECB30755-4224-41AC-B3C0-4906508B59FB}"/>
    <hyperlink ref="A66" r:id="rId9" xr:uid="{F4D9E2BC-6E7D-44B7-A606-D910631BEB7C}"/>
  </hyperlinks>
  <pageMargins left="0.7" right="0.7" top="0.75" bottom="0.75" header="0.3" footer="0.3"/>
  <pageSetup orientation="portrait"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167A7-3348-40FA-A2A8-EBF02A157E74}">
  <sheetPr codeName="Sheet6"/>
  <dimension ref="A1:AT256"/>
  <sheetViews>
    <sheetView zoomScale="80" zoomScaleNormal="80" workbookViewId="0">
      <pane xSplit="5" ySplit="5" topLeftCell="F25" activePane="bottomRight" state="frozen"/>
      <selection pane="topRight" activeCell="O16" sqref="O16:O17"/>
      <selection pane="bottomLeft" activeCell="O16" sqref="O16:O17"/>
      <selection pane="bottomRight"/>
    </sheetView>
  </sheetViews>
  <sheetFormatPr defaultColWidth="24.453125" defaultRowHeight="14.5"/>
  <cols>
    <col min="1" max="1" width="19.54296875" style="227" customWidth="1"/>
    <col min="2" max="2" width="19.453125" style="227" customWidth="1"/>
    <col min="3" max="3" width="23.1796875" style="323" customWidth="1"/>
    <col min="4" max="4" width="13.453125" style="667" customWidth="1"/>
    <col min="5" max="5" width="17.81640625" style="618" customWidth="1"/>
    <col min="6" max="6" width="21.81640625" style="671" customWidth="1"/>
    <col min="7" max="7" width="20" style="229" customWidth="1"/>
    <col min="8" max="8" width="10.81640625" style="229" customWidth="1"/>
    <col min="9" max="9" width="8.453125" style="229" customWidth="1"/>
    <col min="10" max="10" width="5.81640625" style="229" customWidth="1"/>
    <col min="11" max="11" width="5.54296875" style="229" customWidth="1"/>
    <col min="12" max="12" width="18.453125" style="667" customWidth="1"/>
    <col min="13" max="13" width="37.81640625" style="618" customWidth="1"/>
    <col min="14" max="14" width="18.81640625" style="671" customWidth="1"/>
    <col min="15" max="15" width="12.1796875" style="671" customWidth="1"/>
    <col min="16" max="16" width="11.54296875" style="618" customWidth="1"/>
    <col min="17" max="17" width="15.54296875" style="618" customWidth="1"/>
    <col min="18" max="18" width="46.453125" style="618" customWidth="1"/>
    <col min="19" max="19" width="19.453125" style="618" customWidth="1"/>
    <col min="20" max="16384" width="24.453125" style="671"/>
  </cols>
  <sheetData>
    <row r="1" spans="1:21">
      <c r="A1" s="226" t="s">
        <v>1498</v>
      </c>
      <c r="C1" s="228"/>
    </row>
    <row r="2" spans="1:21">
      <c r="A2" s="227" t="s">
        <v>626</v>
      </c>
      <c r="C2" s="228"/>
      <c r="Q2" s="671"/>
    </row>
    <row r="3" spans="1:21">
      <c r="A3" s="227" t="s">
        <v>627</v>
      </c>
      <c r="C3" s="228"/>
    </row>
    <row r="4" spans="1:21" s="617" customFormat="1" ht="29.15" customHeight="1">
      <c r="A4" s="718" t="s">
        <v>460</v>
      </c>
      <c r="B4" s="718" t="s">
        <v>628</v>
      </c>
      <c r="C4" s="720" t="s">
        <v>629</v>
      </c>
      <c r="D4" s="722" t="s">
        <v>445</v>
      </c>
      <c r="E4" s="724" t="s">
        <v>630</v>
      </c>
      <c r="F4" s="701" t="s">
        <v>631</v>
      </c>
      <c r="G4" s="716" t="s">
        <v>632</v>
      </c>
      <c r="H4" s="717" t="s">
        <v>633</v>
      </c>
      <c r="I4" s="717"/>
      <c r="J4" s="717"/>
      <c r="K4" s="717"/>
      <c r="L4" s="716" t="s">
        <v>634</v>
      </c>
      <c r="M4" s="710" t="s">
        <v>635</v>
      </c>
      <c r="N4" s="715" t="s">
        <v>636</v>
      </c>
      <c r="O4" s="711" t="s">
        <v>637</v>
      </c>
      <c r="P4" s="711"/>
      <c r="Q4" s="710" t="s">
        <v>638</v>
      </c>
      <c r="R4" s="710"/>
      <c r="S4" s="711" t="s">
        <v>639</v>
      </c>
    </row>
    <row r="5" spans="1:21" s="667" customFormat="1" ht="58">
      <c r="A5" s="719"/>
      <c r="B5" s="719"/>
      <c r="C5" s="721"/>
      <c r="D5" s="723"/>
      <c r="E5" s="725"/>
      <c r="F5" s="702"/>
      <c r="G5" s="716"/>
      <c r="H5" s="623" t="s">
        <v>640</v>
      </c>
      <c r="I5" s="230" t="s">
        <v>641</v>
      </c>
      <c r="J5" s="230" t="s">
        <v>642</v>
      </c>
      <c r="K5" s="230" t="s">
        <v>643</v>
      </c>
      <c r="L5" s="716"/>
      <c r="M5" s="710"/>
      <c r="N5" s="715"/>
      <c r="O5" s="623" t="s">
        <v>644</v>
      </c>
      <c r="P5" s="620" t="s">
        <v>34</v>
      </c>
      <c r="Q5" s="619" t="s">
        <v>645</v>
      </c>
      <c r="R5" s="619" t="s">
        <v>646</v>
      </c>
      <c r="S5" s="711"/>
    </row>
    <row r="6" spans="1:21" ht="79.5" customHeight="1">
      <c r="A6" s="694" t="s">
        <v>647</v>
      </c>
      <c r="B6" s="694" t="s">
        <v>648</v>
      </c>
      <c r="C6" s="712" t="s">
        <v>649</v>
      </c>
      <c r="D6" s="629" t="s">
        <v>650</v>
      </c>
      <c r="E6" s="231" t="s">
        <v>651</v>
      </c>
      <c r="F6" s="232" t="s">
        <v>652</v>
      </c>
      <c r="G6" s="233" t="s">
        <v>653</v>
      </c>
      <c r="H6" s="234"/>
      <c r="I6" s="233">
        <v>15</v>
      </c>
      <c r="J6" s="233">
        <v>25</v>
      </c>
      <c r="K6" s="233">
        <f>AVERAGE(I6:J6)</f>
        <v>20</v>
      </c>
      <c r="L6" s="234"/>
      <c r="M6" s="235" t="s">
        <v>654</v>
      </c>
      <c r="N6" s="236" t="s">
        <v>655</v>
      </c>
      <c r="O6" s="236" t="s">
        <v>175</v>
      </c>
      <c r="P6" s="235" t="s">
        <v>175</v>
      </c>
      <c r="Q6" s="237" t="s">
        <v>656</v>
      </c>
      <c r="R6" s="235" t="s">
        <v>657</v>
      </c>
      <c r="S6" s="235" t="s">
        <v>658</v>
      </c>
    </row>
    <row r="7" spans="1:21" s="667" customFormat="1" ht="164.15" customHeight="1">
      <c r="A7" s="689"/>
      <c r="B7" s="689"/>
      <c r="C7" s="713"/>
      <c r="D7" s="629" t="s">
        <v>650</v>
      </c>
      <c r="E7" s="234" t="s">
        <v>659</v>
      </c>
      <c r="F7" s="238" t="s">
        <v>660</v>
      </c>
      <c r="G7" s="239" t="s">
        <v>661</v>
      </c>
      <c r="H7" s="239"/>
      <c r="I7" s="234">
        <v>25</v>
      </c>
      <c r="J7" s="234">
        <v>30</v>
      </c>
      <c r="K7" s="234">
        <f>AVERAGE(I7:J7)</f>
        <v>27.5</v>
      </c>
      <c r="L7" s="234"/>
      <c r="M7" s="632" t="s">
        <v>662</v>
      </c>
      <c r="N7" s="236" t="s">
        <v>663</v>
      </c>
      <c r="O7" s="236">
        <v>1.42</v>
      </c>
      <c r="P7" s="632" t="s">
        <v>664</v>
      </c>
      <c r="Q7" s="240" t="s">
        <v>665</v>
      </c>
      <c r="R7" s="632" t="s">
        <v>666</v>
      </c>
      <c r="S7" s="235" t="s">
        <v>658</v>
      </c>
    </row>
    <row r="8" spans="1:21" s="667" customFormat="1" ht="164.15" customHeight="1">
      <c r="A8" s="689"/>
      <c r="B8" s="689"/>
      <c r="C8" s="713"/>
      <c r="D8" s="629" t="s">
        <v>667</v>
      </c>
      <c r="E8" s="632" t="s">
        <v>668</v>
      </c>
      <c r="F8" s="241" t="s">
        <v>669</v>
      </c>
      <c r="G8" s="242" t="s">
        <v>670</v>
      </c>
      <c r="H8" s="239"/>
      <c r="I8" s="234">
        <v>3</v>
      </c>
      <c r="J8" s="234">
        <v>7</v>
      </c>
      <c r="K8" s="234">
        <f>AVERAGE(I8:J8)</f>
        <v>5</v>
      </c>
      <c r="L8" s="234"/>
      <c r="M8" s="632" t="s">
        <v>671</v>
      </c>
      <c r="N8" s="236" t="s">
        <v>655</v>
      </c>
      <c r="O8" s="236">
        <v>1.49</v>
      </c>
      <c r="P8" s="632" t="s">
        <v>664</v>
      </c>
      <c r="Q8" s="240" t="s">
        <v>665</v>
      </c>
      <c r="R8" s="632" t="s">
        <v>672</v>
      </c>
      <c r="S8" s="235" t="s">
        <v>658</v>
      </c>
      <c r="U8" s="667">
        <f>AVERAGE(O7:O9)</f>
        <v>1.3766666666666667</v>
      </c>
    </row>
    <row r="9" spans="1:21" ht="130" customHeight="1">
      <c r="A9" s="690"/>
      <c r="B9" s="690"/>
      <c r="C9" s="714"/>
      <c r="D9" s="629" t="s">
        <v>650</v>
      </c>
      <c r="E9" s="231" t="s">
        <v>673</v>
      </c>
      <c r="F9" s="232" t="s">
        <v>674</v>
      </c>
      <c r="G9" s="233" t="s">
        <v>675</v>
      </c>
      <c r="H9" s="243"/>
      <c r="I9" s="633">
        <v>5</v>
      </c>
      <c r="J9" s="244">
        <v>23</v>
      </c>
      <c r="K9" s="245">
        <f>AVERAGE(I9:J9)</f>
        <v>14</v>
      </c>
      <c r="L9" s="236"/>
      <c r="M9" s="246" t="s">
        <v>676</v>
      </c>
      <c r="N9" s="236" t="s">
        <v>655</v>
      </c>
      <c r="O9" s="236">
        <v>1.22</v>
      </c>
      <c r="P9" s="632" t="s">
        <v>664</v>
      </c>
      <c r="Q9" s="247" t="s">
        <v>677</v>
      </c>
      <c r="R9" s="632" t="s">
        <v>678</v>
      </c>
      <c r="S9" s="235" t="s">
        <v>658</v>
      </c>
    </row>
    <row r="10" spans="1:21" ht="139.5" customHeight="1">
      <c r="A10" s="694" t="s">
        <v>679</v>
      </c>
      <c r="B10" s="694" t="s">
        <v>233</v>
      </c>
      <c r="C10" s="693" t="s">
        <v>680</v>
      </c>
      <c r="D10" s="629" t="s">
        <v>650</v>
      </c>
      <c r="E10" s="248" t="s">
        <v>681</v>
      </c>
      <c r="F10" s="231" t="s">
        <v>682</v>
      </c>
      <c r="G10" s="233" t="s">
        <v>683</v>
      </c>
      <c r="H10" s="233" t="s">
        <v>684</v>
      </c>
      <c r="I10" s="233">
        <v>1</v>
      </c>
      <c r="J10" s="233">
        <v>5</v>
      </c>
      <c r="K10" s="233">
        <v>2.5</v>
      </c>
      <c r="L10" s="234"/>
      <c r="M10" s="246" t="s">
        <v>685</v>
      </c>
      <c r="N10" s="236" t="s">
        <v>663</v>
      </c>
      <c r="O10" s="236">
        <v>1.53</v>
      </c>
      <c r="P10" s="632" t="s">
        <v>664</v>
      </c>
      <c r="Q10" s="632" t="s">
        <v>686</v>
      </c>
      <c r="R10" s="632" t="s">
        <v>687</v>
      </c>
      <c r="S10" s="632" t="s">
        <v>688</v>
      </c>
      <c r="U10" s="671">
        <f>AVERAGE(O10,O12)</f>
        <v>1.35</v>
      </c>
    </row>
    <row r="11" spans="1:21" ht="31" customHeight="1">
      <c r="A11" s="689"/>
      <c r="B11" s="689"/>
      <c r="C11" s="697"/>
      <c r="D11" s="234" t="s">
        <v>650</v>
      </c>
      <c r="E11" s="249" t="s">
        <v>689</v>
      </c>
      <c r="F11" s="231" t="s">
        <v>682</v>
      </c>
      <c r="G11" s="233" t="s">
        <v>414</v>
      </c>
      <c r="H11" s="639"/>
      <c r="I11" s="639">
        <v>1</v>
      </c>
      <c r="J11" s="639">
        <v>5</v>
      </c>
      <c r="K11" s="639">
        <f>AVERAGE(I11:J11)</f>
        <v>3</v>
      </c>
      <c r="L11" s="239"/>
      <c r="M11" s="246" t="s">
        <v>685</v>
      </c>
      <c r="N11" s="236" t="s">
        <v>663</v>
      </c>
      <c r="O11" s="236" t="s">
        <v>175</v>
      </c>
      <c r="P11" s="632"/>
      <c r="Q11" s="632" t="s">
        <v>665</v>
      </c>
      <c r="R11" s="632" t="s">
        <v>687</v>
      </c>
      <c r="S11" s="632" t="s">
        <v>688</v>
      </c>
    </row>
    <row r="12" spans="1:21" ht="33" customHeight="1">
      <c r="A12" s="689"/>
      <c r="B12" s="689"/>
      <c r="C12" s="697"/>
      <c r="D12" s="234" t="s">
        <v>650</v>
      </c>
      <c r="E12" s="249" t="s">
        <v>690</v>
      </c>
      <c r="F12" s="231" t="s">
        <v>669</v>
      </c>
      <c r="G12" s="233" t="s">
        <v>691</v>
      </c>
      <c r="H12" s="639"/>
      <c r="I12" s="639">
        <v>5</v>
      </c>
      <c r="J12" s="639">
        <v>5</v>
      </c>
      <c r="K12" s="639">
        <f>AVERAGE(I12:J12)</f>
        <v>5</v>
      </c>
      <c r="L12" s="239"/>
      <c r="M12" s="246" t="s">
        <v>692</v>
      </c>
      <c r="N12" s="236" t="s">
        <v>663</v>
      </c>
      <c r="O12" s="236">
        <v>1.17</v>
      </c>
      <c r="P12" s="632" t="s">
        <v>664</v>
      </c>
      <c r="Q12" s="632" t="s">
        <v>665</v>
      </c>
      <c r="R12" s="632" t="s">
        <v>687</v>
      </c>
      <c r="S12" s="632" t="s">
        <v>688</v>
      </c>
    </row>
    <row r="13" spans="1:21" ht="87">
      <c r="A13" s="689"/>
      <c r="B13" s="689"/>
      <c r="C13" s="697"/>
      <c r="D13" s="234" t="s">
        <v>650</v>
      </c>
      <c r="E13" s="250" t="s">
        <v>693</v>
      </c>
      <c r="F13" s="231" t="s">
        <v>694</v>
      </c>
      <c r="G13" s="251" t="s">
        <v>695</v>
      </c>
      <c r="H13" s="639"/>
      <c r="I13" s="639">
        <v>10</v>
      </c>
      <c r="J13" s="639">
        <v>15</v>
      </c>
      <c r="K13" s="639">
        <f>AVERAGE(I13:J13)</f>
        <v>12.5</v>
      </c>
      <c r="L13" s="239"/>
      <c r="M13" s="246" t="s">
        <v>696</v>
      </c>
      <c r="N13" s="236" t="s">
        <v>663</v>
      </c>
      <c r="O13" s="236" t="s">
        <v>175</v>
      </c>
      <c r="P13" s="632"/>
      <c r="Q13" s="632" t="s">
        <v>665</v>
      </c>
      <c r="R13" s="632" t="s">
        <v>687</v>
      </c>
      <c r="S13" s="632" t="s">
        <v>688</v>
      </c>
    </row>
    <row r="14" spans="1:21" ht="30.65" customHeight="1">
      <c r="A14" s="689"/>
      <c r="B14" s="689"/>
      <c r="C14" s="698"/>
      <c r="D14" s="632" t="s">
        <v>667</v>
      </c>
      <c r="E14" s="250" t="s">
        <v>697</v>
      </c>
      <c r="F14" s="231" t="s">
        <v>669</v>
      </c>
      <c r="G14" s="252" t="s">
        <v>698</v>
      </c>
      <c r="H14" s="639"/>
      <c r="I14" s="639">
        <v>3</v>
      </c>
      <c r="J14" s="639">
        <v>10</v>
      </c>
      <c r="K14" s="639">
        <f>AVERAGE(I14:J14)</f>
        <v>6.5</v>
      </c>
      <c r="L14" s="239"/>
      <c r="M14" s="246" t="s">
        <v>685</v>
      </c>
      <c r="N14" s="236" t="s">
        <v>663</v>
      </c>
      <c r="O14" s="236" t="s">
        <v>175</v>
      </c>
      <c r="P14" s="632"/>
      <c r="Q14" s="632" t="s">
        <v>665</v>
      </c>
      <c r="R14" s="632" t="s">
        <v>687</v>
      </c>
      <c r="S14" s="632" t="s">
        <v>688</v>
      </c>
    </row>
    <row r="15" spans="1:21" ht="14.5" customHeight="1">
      <c r="A15" s="689"/>
      <c r="B15" s="689"/>
      <c r="C15" s="699" t="s">
        <v>699</v>
      </c>
      <c r="D15" s="239" t="s">
        <v>650</v>
      </c>
      <c r="E15" s="249" t="s">
        <v>700</v>
      </c>
      <c r="F15" s="231" t="s">
        <v>701</v>
      </c>
      <c r="G15" s="253" t="s">
        <v>702</v>
      </c>
      <c r="H15" s="243"/>
      <c r="I15" s="633">
        <v>30</v>
      </c>
      <c r="J15" s="244">
        <v>31</v>
      </c>
      <c r="K15" s="127">
        <v>30.5</v>
      </c>
      <c r="L15" s="239"/>
      <c r="M15" s="632"/>
      <c r="N15" s="239"/>
      <c r="O15" s="239"/>
      <c r="P15" s="632"/>
      <c r="Q15" s="632"/>
      <c r="R15" s="632"/>
      <c r="S15" s="632" t="s">
        <v>703</v>
      </c>
    </row>
    <row r="16" spans="1:21" ht="38.15" customHeight="1">
      <c r="A16" s="689"/>
      <c r="B16" s="689"/>
      <c r="C16" s="700"/>
      <c r="D16" s="632" t="s">
        <v>667</v>
      </c>
      <c r="E16" s="249" t="s">
        <v>700</v>
      </c>
      <c r="F16" s="231" t="s">
        <v>704</v>
      </c>
      <c r="G16" s="253" t="s">
        <v>705</v>
      </c>
      <c r="H16" s="243"/>
      <c r="I16" s="633">
        <v>30</v>
      </c>
      <c r="J16" s="244">
        <v>31</v>
      </c>
      <c r="K16" s="127">
        <v>30.5</v>
      </c>
      <c r="L16" s="239"/>
      <c r="M16" s="632"/>
      <c r="N16" s="239"/>
      <c r="O16" s="239">
        <v>0.98</v>
      </c>
      <c r="P16" s="647" t="s">
        <v>664</v>
      </c>
      <c r="Q16" s="632"/>
      <c r="R16" s="632"/>
      <c r="S16" s="632" t="s">
        <v>703</v>
      </c>
    </row>
    <row r="17" spans="1:20" ht="98.5">
      <c r="A17" s="689"/>
      <c r="B17" s="689"/>
      <c r="C17" s="234" t="s">
        <v>706</v>
      </c>
      <c r="D17" s="239" t="s">
        <v>650</v>
      </c>
      <c r="E17" s="254" t="s">
        <v>707</v>
      </c>
      <c r="F17" s="231" t="s">
        <v>708</v>
      </c>
      <c r="G17" s="233" t="s">
        <v>709</v>
      </c>
      <c r="H17" s="243"/>
      <c r="I17" s="633">
        <v>0.1</v>
      </c>
      <c r="J17" s="244">
        <v>1</v>
      </c>
      <c r="K17" s="245">
        <f>AVERAGE(I17:J17)</f>
        <v>0.55000000000000004</v>
      </c>
      <c r="L17" s="236"/>
      <c r="M17" s="255" t="s">
        <v>710</v>
      </c>
      <c r="N17" s="236"/>
      <c r="O17" s="256" t="s">
        <v>711</v>
      </c>
      <c r="P17" s="647" t="s">
        <v>664</v>
      </c>
      <c r="Q17" s="632" t="s">
        <v>712</v>
      </c>
      <c r="R17" s="632" t="s">
        <v>713</v>
      </c>
      <c r="S17" s="632" t="s">
        <v>714</v>
      </c>
    </row>
    <row r="18" spans="1:20" ht="78" customHeight="1">
      <c r="A18" s="689"/>
      <c r="B18" s="689"/>
      <c r="C18" s="257" t="s">
        <v>715</v>
      </c>
      <c r="D18" s="629" t="s">
        <v>650</v>
      </c>
      <c r="E18" s="232" t="s">
        <v>716</v>
      </c>
      <c r="F18" s="231" t="s">
        <v>717</v>
      </c>
      <c r="G18" s="258" t="s">
        <v>718</v>
      </c>
      <c r="H18" s="258"/>
      <c r="I18" s="258">
        <v>15</v>
      </c>
      <c r="J18" s="258">
        <v>15</v>
      </c>
      <c r="K18" s="258">
        <v>15</v>
      </c>
      <c r="L18" s="259"/>
      <c r="M18" s="630" t="s">
        <v>719</v>
      </c>
      <c r="N18" s="260" t="s">
        <v>663</v>
      </c>
      <c r="O18" s="260">
        <v>1.1000000000000001</v>
      </c>
      <c r="P18" s="630"/>
      <c r="Q18" s="630" t="s">
        <v>720</v>
      </c>
      <c r="R18" s="261" t="s">
        <v>721</v>
      </c>
      <c r="S18" s="630" t="s">
        <v>176</v>
      </c>
    </row>
    <row r="19" spans="1:20" s="667" customFormat="1" ht="137.5" customHeight="1">
      <c r="A19" s="689"/>
      <c r="B19" s="689"/>
      <c r="C19" s="693" t="s">
        <v>722</v>
      </c>
      <c r="D19" s="234" t="s">
        <v>650</v>
      </c>
      <c r="E19" s="234" t="s">
        <v>723</v>
      </c>
      <c r="F19" s="259" t="s">
        <v>724</v>
      </c>
      <c r="G19" s="259" t="s">
        <v>725</v>
      </c>
      <c r="H19" s="259" t="s">
        <v>726</v>
      </c>
      <c r="I19" s="259">
        <v>2</v>
      </c>
      <c r="J19" s="259">
        <v>2</v>
      </c>
      <c r="K19" s="259">
        <v>2</v>
      </c>
      <c r="L19" s="259"/>
      <c r="M19" s="630" t="s">
        <v>727</v>
      </c>
      <c r="N19" s="260" t="s">
        <v>655</v>
      </c>
      <c r="O19" s="667">
        <v>3.8</v>
      </c>
      <c r="P19" s="262" t="s">
        <v>728</v>
      </c>
      <c r="Q19" s="643" t="s">
        <v>729</v>
      </c>
      <c r="R19" s="630" t="s">
        <v>730</v>
      </c>
      <c r="S19" s="630" t="s">
        <v>731</v>
      </c>
    </row>
    <row r="20" spans="1:20" ht="58">
      <c r="A20" s="689"/>
      <c r="B20" s="690"/>
      <c r="C20" s="690"/>
      <c r="D20" s="234" t="s">
        <v>650</v>
      </c>
      <c r="E20" s="231" t="s">
        <v>732</v>
      </c>
      <c r="F20" s="263" t="s">
        <v>733</v>
      </c>
      <c r="G20" s="245" t="s">
        <v>734</v>
      </c>
      <c r="H20" s="245" t="s">
        <v>726</v>
      </c>
      <c r="I20" s="245">
        <v>1</v>
      </c>
      <c r="J20" s="245">
        <v>10</v>
      </c>
      <c r="K20" s="245">
        <v>5</v>
      </c>
      <c r="L20" s="234"/>
      <c r="M20" s="632" t="s">
        <v>735</v>
      </c>
      <c r="N20" s="236" t="s">
        <v>655</v>
      </c>
      <c r="O20" s="236">
        <v>0.9</v>
      </c>
      <c r="P20" s="632" t="s">
        <v>736</v>
      </c>
      <c r="Q20" s="632" t="s">
        <v>737</v>
      </c>
      <c r="R20" s="632" t="s">
        <v>738</v>
      </c>
      <c r="S20" s="632" t="s">
        <v>731</v>
      </c>
    </row>
    <row r="21" spans="1:20" ht="58">
      <c r="A21" s="689"/>
      <c r="B21" s="694" t="s">
        <v>739</v>
      </c>
      <c r="C21" s="264" t="s">
        <v>740</v>
      </c>
      <c r="D21" s="239" t="s">
        <v>741</v>
      </c>
      <c r="E21" s="633" t="s">
        <v>742</v>
      </c>
      <c r="F21" s="127" t="s">
        <v>743</v>
      </c>
      <c r="G21" s="251">
        <v>3.9E-2</v>
      </c>
      <c r="H21" s="639" t="s">
        <v>726</v>
      </c>
      <c r="I21" s="639">
        <v>3.9</v>
      </c>
      <c r="J21" s="639">
        <v>3.9</v>
      </c>
      <c r="K21" s="639">
        <f>AVERAGE(I21:J21)</f>
        <v>3.9</v>
      </c>
      <c r="L21" s="239"/>
      <c r="M21" s="632" t="s">
        <v>744</v>
      </c>
      <c r="N21" s="236" t="s">
        <v>745</v>
      </c>
      <c r="O21" s="236">
        <v>0.95</v>
      </c>
      <c r="P21" s="632" t="s">
        <v>664</v>
      </c>
      <c r="Q21" s="632"/>
      <c r="R21" s="632"/>
      <c r="S21" s="632" t="s">
        <v>703</v>
      </c>
    </row>
    <row r="22" spans="1:20" ht="72.650000000000006" customHeight="1">
      <c r="A22" s="689"/>
      <c r="B22" s="689"/>
      <c r="C22" s="695" t="s">
        <v>746</v>
      </c>
      <c r="D22" s="629" t="s">
        <v>667</v>
      </c>
      <c r="E22" s="628" t="s">
        <v>747</v>
      </c>
      <c r="F22" s="628" t="s">
        <v>748</v>
      </c>
      <c r="G22" s="617" t="s">
        <v>749</v>
      </c>
      <c r="H22" s="632" t="s">
        <v>726</v>
      </c>
      <c r="I22" s="632">
        <v>1</v>
      </c>
      <c r="J22" s="632">
        <v>2.5</v>
      </c>
      <c r="K22" s="632">
        <f>AVERAGE(I22:J22)</f>
        <v>1.75</v>
      </c>
      <c r="L22" s="234"/>
      <c r="M22" s="265" t="s">
        <v>750</v>
      </c>
      <c r="N22" s="236" t="s">
        <v>751</v>
      </c>
      <c r="O22" s="667">
        <v>0.9</v>
      </c>
      <c r="P22" s="632" t="s">
        <v>664</v>
      </c>
      <c r="Q22" s="667" t="s">
        <v>752</v>
      </c>
      <c r="R22" s="667" t="s">
        <v>753</v>
      </c>
      <c r="S22" s="234" t="s">
        <v>658</v>
      </c>
    </row>
    <row r="23" spans="1:20" ht="145">
      <c r="A23" s="689"/>
      <c r="B23" s="689"/>
      <c r="C23" s="696"/>
      <c r="D23" s="629" t="s">
        <v>650</v>
      </c>
      <c r="E23" s="625" t="s">
        <v>754</v>
      </c>
      <c r="F23" s="625" t="s">
        <v>755</v>
      </c>
      <c r="G23" s="266" t="s">
        <v>756</v>
      </c>
      <c r="H23" s="624" t="s">
        <v>726</v>
      </c>
      <c r="I23" s="624">
        <v>1</v>
      </c>
      <c r="J23" s="624">
        <v>5</v>
      </c>
      <c r="K23" s="624">
        <v>2.5</v>
      </c>
      <c r="L23" s="629"/>
      <c r="M23" s="629" t="s">
        <v>757</v>
      </c>
      <c r="N23" s="267" t="s">
        <v>745</v>
      </c>
      <c r="O23" s="642">
        <v>1</v>
      </c>
      <c r="P23" s="629" t="s">
        <v>758</v>
      </c>
      <c r="Q23" s="629" t="s">
        <v>759</v>
      </c>
      <c r="R23" s="629" t="s">
        <v>760</v>
      </c>
      <c r="S23" s="629" t="s">
        <v>658</v>
      </c>
      <c r="T23" s="671">
        <f>AVERAGE(O21:O23)</f>
        <v>0.95000000000000007</v>
      </c>
    </row>
    <row r="24" spans="1:20" ht="73.5" customHeight="1">
      <c r="A24" s="689"/>
      <c r="B24" s="694" t="s">
        <v>761</v>
      </c>
      <c r="C24" s="688" t="s">
        <v>762</v>
      </c>
      <c r="D24" s="234" t="s">
        <v>763</v>
      </c>
      <c r="E24" s="231" t="s">
        <v>764</v>
      </c>
      <c r="F24" s="231" t="s">
        <v>765</v>
      </c>
      <c r="G24" s="245" t="s">
        <v>766</v>
      </c>
      <c r="H24" s="245"/>
      <c r="I24" s="245">
        <v>4</v>
      </c>
      <c r="J24" s="245">
        <v>5</v>
      </c>
      <c r="K24" s="245">
        <f>AVERAGE(I24:J24)</f>
        <v>4.5</v>
      </c>
      <c r="L24" s="632" t="s">
        <v>767</v>
      </c>
      <c r="M24" s="268"/>
      <c r="N24" s="236" t="s">
        <v>173</v>
      </c>
      <c r="O24" s="269">
        <v>1.4</v>
      </c>
      <c r="P24" s="235" t="s">
        <v>664</v>
      </c>
      <c r="Q24" s="270" t="s">
        <v>768</v>
      </c>
      <c r="R24" s="270" t="s">
        <v>768</v>
      </c>
      <c r="S24" s="632" t="s">
        <v>769</v>
      </c>
    </row>
    <row r="25" spans="1:20" ht="43.5">
      <c r="A25" s="689"/>
      <c r="B25" s="689"/>
      <c r="C25" s="689"/>
      <c r="D25" s="629" t="s">
        <v>650</v>
      </c>
      <c r="E25" s="231" t="s">
        <v>770</v>
      </c>
      <c r="F25" s="231" t="s">
        <v>771</v>
      </c>
      <c r="G25" s="233" t="s">
        <v>772</v>
      </c>
      <c r="H25" s="233"/>
      <c r="I25" s="233"/>
      <c r="J25" s="233">
        <v>2</v>
      </c>
      <c r="K25" s="233">
        <v>1</v>
      </c>
      <c r="L25" s="234"/>
      <c r="M25" s="632" t="s">
        <v>773</v>
      </c>
      <c r="N25" s="236" t="s">
        <v>173</v>
      </c>
      <c r="O25" s="269">
        <v>1.4</v>
      </c>
      <c r="P25" s="235" t="s">
        <v>664</v>
      </c>
      <c r="Q25" s="270" t="s">
        <v>768</v>
      </c>
      <c r="R25" s="270" t="s">
        <v>768</v>
      </c>
      <c r="S25" s="632" t="s">
        <v>769</v>
      </c>
    </row>
    <row r="26" spans="1:20" ht="121" customHeight="1">
      <c r="A26" s="689"/>
      <c r="B26" s="689"/>
      <c r="C26" s="690"/>
      <c r="D26" s="234" t="s">
        <v>650</v>
      </c>
      <c r="E26" s="231" t="s">
        <v>774</v>
      </c>
      <c r="F26" s="231" t="s">
        <v>775</v>
      </c>
      <c r="G26" s="233" t="s">
        <v>776</v>
      </c>
      <c r="H26" s="233"/>
      <c r="I26" s="233">
        <v>9.4</v>
      </c>
      <c r="J26" s="233">
        <v>10.199999999999999</v>
      </c>
      <c r="K26" s="233">
        <f>AVERAGE(I26:J26)</f>
        <v>9.8000000000000007</v>
      </c>
      <c r="L26" s="234"/>
      <c r="M26" s="234" t="s">
        <v>777</v>
      </c>
      <c r="N26" s="236" t="s">
        <v>173</v>
      </c>
      <c r="O26" s="269">
        <v>1.4</v>
      </c>
      <c r="P26" s="235" t="s">
        <v>664</v>
      </c>
      <c r="Q26" s="270" t="s">
        <v>768</v>
      </c>
      <c r="R26" s="270" t="s">
        <v>768</v>
      </c>
      <c r="S26" s="234" t="s">
        <v>769</v>
      </c>
    </row>
    <row r="27" spans="1:20" ht="121" customHeight="1">
      <c r="A27" s="689"/>
      <c r="B27" s="689"/>
      <c r="C27" s="271" t="s">
        <v>524</v>
      </c>
      <c r="D27" s="272" t="s">
        <v>778</v>
      </c>
      <c r="E27" s="625" t="s">
        <v>779</v>
      </c>
      <c r="F27" s="625" t="s">
        <v>780</v>
      </c>
      <c r="G27" s="266" t="s">
        <v>781</v>
      </c>
      <c r="H27" s="266"/>
      <c r="I27" s="266">
        <v>23</v>
      </c>
      <c r="J27" s="266">
        <v>26</v>
      </c>
      <c r="K27" s="266">
        <v>24.5</v>
      </c>
      <c r="L27" s="273"/>
      <c r="M27" s="629"/>
      <c r="N27" s="236" t="s">
        <v>173</v>
      </c>
      <c r="O27" s="269">
        <v>1.4</v>
      </c>
      <c r="P27" s="235" t="s">
        <v>664</v>
      </c>
      <c r="Q27" s="270" t="s">
        <v>768</v>
      </c>
      <c r="R27" s="270" t="s">
        <v>768</v>
      </c>
      <c r="S27" s="234" t="s">
        <v>782</v>
      </c>
    </row>
    <row r="28" spans="1:20" s="274" customFormat="1" ht="178.5" customHeight="1">
      <c r="A28" s="689"/>
      <c r="B28" s="690"/>
      <c r="C28" s="231" t="s">
        <v>783</v>
      </c>
      <c r="D28" s="234" t="s">
        <v>784</v>
      </c>
      <c r="E28" s="628" t="s">
        <v>785</v>
      </c>
      <c r="F28" s="231" t="s">
        <v>765</v>
      </c>
      <c r="G28" s="233" t="s">
        <v>786</v>
      </c>
      <c r="H28" s="233"/>
      <c r="I28" s="233"/>
      <c r="J28" s="233">
        <v>15</v>
      </c>
      <c r="K28" s="233"/>
      <c r="L28" s="667" t="s">
        <v>787</v>
      </c>
      <c r="M28" s="632" t="s">
        <v>788</v>
      </c>
      <c r="N28" s="236" t="s">
        <v>173</v>
      </c>
      <c r="O28" s="269">
        <v>1.4</v>
      </c>
      <c r="P28" s="235" t="s">
        <v>664</v>
      </c>
      <c r="Q28" s="270" t="s">
        <v>768</v>
      </c>
      <c r="R28" s="270" t="s">
        <v>768</v>
      </c>
      <c r="S28" s="632" t="s">
        <v>176</v>
      </c>
    </row>
    <row r="29" spans="1:20" ht="21">
      <c r="A29" s="690"/>
      <c r="B29" s="275" t="s">
        <v>218</v>
      </c>
      <c r="C29" s="276" t="s">
        <v>789</v>
      </c>
      <c r="D29" s="236" t="s">
        <v>790</v>
      </c>
      <c r="E29" s="234" t="s">
        <v>791</v>
      </c>
      <c r="F29" s="236" t="s">
        <v>792</v>
      </c>
      <c r="G29" s="245"/>
      <c r="H29" s="245"/>
      <c r="I29" s="245">
        <v>25</v>
      </c>
      <c r="J29" s="245">
        <v>38</v>
      </c>
      <c r="K29" s="639">
        <v>50</v>
      </c>
      <c r="L29" s="239"/>
      <c r="M29" s="633" t="s">
        <v>793</v>
      </c>
      <c r="N29" s="127" t="s">
        <v>173</v>
      </c>
      <c r="O29" s="269">
        <v>1.4</v>
      </c>
      <c r="P29" s="235" t="s">
        <v>664</v>
      </c>
      <c r="Q29" s="270" t="s">
        <v>768</v>
      </c>
      <c r="R29" s="270" t="s">
        <v>768</v>
      </c>
      <c r="S29" s="633" t="s">
        <v>782</v>
      </c>
    </row>
    <row r="30" spans="1:20" s="288" customFormat="1" ht="29">
      <c r="A30" s="277" t="s">
        <v>794</v>
      </c>
      <c r="B30" s="277" t="s">
        <v>795</v>
      </c>
      <c r="C30" s="278" t="s">
        <v>796</v>
      </c>
      <c r="D30" s="279" t="s">
        <v>650</v>
      </c>
      <c r="E30" s="280" t="s">
        <v>797</v>
      </c>
      <c r="F30" s="280" t="s">
        <v>798</v>
      </c>
      <c r="G30" s="281" t="s">
        <v>799</v>
      </c>
      <c r="H30" s="282"/>
      <c r="I30" s="283">
        <v>95</v>
      </c>
      <c r="J30" s="284">
        <v>100</v>
      </c>
      <c r="K30" s="285">
        <f>AVERAGE(I30:J30)</f>
        <v>97.5</v>
      </c>
      <c r="L30" s="286"/>
      <c r="M30" s="287"/>
      <c r="N30" s="286" t="s">
        <v>800</v>
      </c>
      <c r="O30" s="286"/>
      <c r="P30" s="287"/>
      <c r="Q30" s="287"/>
      <c r="R30" s="287"/>
      <c r="S30" s="287" t="s">
        <v>658</v>
      </c>
    </row>
    <row r="31" spans="1:20" s="291" customFormat="1" ht="88" customHeight="1">
      <c r="A31" s="694" t="s">
        <v>801</v>
      </c>
      <c r="B31" s="694" t="s">
        <v>802</v>
      </c>
      <c r="C31" s="706" t="s">
        <v>803</v>
      </c>
      <c r="D31" s="234" t="s">
        <v>784</v>
      </c>
      <c r="E31" s="632" t="s">
        <v>804</v>
      </c>
      <c r="F31" s="234" t="s">
        <v>805</v>
      </c>
      <c r="G31" s="289">
        <v>0.09</v>
      </c>
      <c r="H31" s="233"/>
      <c r="I31" s="233">
        <v>9</v>
      </c>
      <c r="J31" s="233">
        <v>9</v>
      </c>
      <c r="K31" s="233">
        <v>9</v>
      </c>
      <c r="L31" s="290">
        <v>7324294</v>
      </c>
      <c r="M31" s="632" t="s">
        <v>520</v>
      </c>
      <c r="N31" s="234" t="s">
        <v>173</v>
      </c>
      <c r="O31" s="269">
        <v>1.4</v>
      </c>
      <c r="P31" s="235" t="s">
        <v>664</v>
      </c>
      <c r="Q31" s="270" t="s">
        <v>768</v>
      </c>
      <c r="R31" s="270" t="s">
        <v>768</v>
      </c>
      <c r="S31" s="633" t="s">
        <v>782</v>
      </c>
    </row>
    <row r="32" spans="1:20" s="291" customFormat="1" ht="89.5" customHeight="1">
      <c r="A32" s="689"/>
      <c r="B32" s="689"/>
      <c r="C32" s="707"/>
      <c r="D32" s="234" t="s">
        <v>784</v>
      </c>
      <c r="E32" s="632" t="s">
        <v>806</v>
      </c>
      <c r="F32" s="234" t="s">
        <v>805</v>
      </c>
      <c r="G32" s="289">
        <v>0.16</v>
      </c>
      <c r="H32" s="233"/>
      <c r="I32" s="233">
        <v>16</v>
      </c>
      <c r="J32" s="233">
        <v>16</v>
      </c>
      <c r="K32" s="233">
        <v>16</v>
      </c>
      <c r="L32" s="290">
        <v>7324294</v>
      </c>
      <c r="M32" s="632" t="s">
        <v>520</v>
      </c>
      <c r="N32" s="234" t="s">
        <v>173</v>
      </c>
      <c r="O32" s="269">
        <v>1.4</v>
      </c>
      <c r="P32" s="235" t="s">
        <v>664</v>
      </c>
      <c r="Q32" s="270" t="s">
        <v>768</v>
      </c>
      <c r="R32" s="270" t="s">
        <v>768</v>
      </c>
      <c r="S32" s="633" t="s">
        <v>782</v>
      </c>
    </row>
    <row r="33" spans="1:19" s="291" customFormat="1" ht="99.65" customHeight="1">
      <c r="A33" s="689"/>
      <c r="B33" s="689"/>
      <c r="C33" s="708"/>
      <c r="D33" s="234" t="s">
        <v>784</v>
      </c>
      <c r="E33" s="632" t="s">
        <v>807</v>
      </c>
      <c r="F33" s="234" t="s">
        <v>808</v>
      </c>
      <c r="G33" s="289">
        <v>0.09</v>
      </c>
      <c r="H33" s="233"/>
      <c r="I33" s="233">
        <v>9</v>
      </c>
      <c r="J33" s="233">
        <v>9</v>
      </c>
      <c r="K33" s="233">
        <v>9</v>
      </c>
      <c r="L33" s="292">
        <v>11374032</v>
      </c>
      <c r="M33" s="632" t="s">
        <v>520</v>
      </c>
      <c r="N33" s="234" t="s">
        <v>173</v>
      </c>
      <c r="O33" s="269">
        <v>1.4</v>
      </c>
      <c r="P33" s="235" t="s">
        <v>664</v>
      </c>
      <c r="Q33" s="270" t="s">
        <v>768</v>
      </c>
      <c r="R33" s="270" t="s">
        <v>768</v>
      </c>
      <c r="S33" s="633" t="s">
        <v>782</v>
      </c>
    </row>
    <row r="34" spans="1:19" s="254" customFormat="1" ht="34.5" customHeight="1">
      <c r="A34" s="689"/>
      <c r="B34" s="689"/>
      <c r="C34" s="688" t="s">
        <v>809</v>
      </c>
      <c r="D34" s="234" t="s">
        <v>784</v>
      </c>
      <c r="E34" s="231" t="s">
        <v>810</v>
      </c>
      <c r="F34" s="231" t="s">
        <v>765</v>
      </c>
      <c r="G34" s="618" t="s">
        <v>811</v>
      </c>
      <c r="H34" s="233"/>
      <c r="I34" s="233">
        <v>3.5</v>
      </c>
      <c r="J34" s="233">
        <v>22</v>
      </c>
      <c r="K34" s="632">
        <v>21.2</v>
      </c>
      <c r="L34" s="632">
        <v>11374028</v>
      </c>
      <c r="M34" s="632" t="s">
        <v>520</v>
      </c>
      <c r="N34" s="234" t="s">
        <v>173</v>
      </c>
      <c r="O34" s="269">
        <v>1.4</v>
      </c>
      <c r="P34" s="235" t="s">
        <v>664</v>
      </c>
      <c r="Q34" s="270" t="s">
        <v>768</v>
      </c>
      <c r="R34" s="270" t="s">
        <v>768</v>
      </c>
      <c r="S34" s="633" t="s">
        <v>782</v>
      </c>
    </row>
    <row r="35" spans="1:19" s="254" customFormat="1" ht="32.5" customHeight="1">
      <c r="A35" s="689"/>
      <c r="B35" s="689"/>
      <c r="C35" s="689"/>
      <c r="D35" s="234" t="s">
        <v>784</v>
      </c>
      <c r="E35" s="618" t="s">
        <v>812</v>
      </c>
      <c r="F35" s="231" t="s">
        <v>765</v>
      </c>
      <c r="G35" s="618" t="s">
        <v>813</v>
      </c>
      <c r="H35" s="233"/>
      <c r="I35" s="233">
        <v>14</v>
      </c>
      <c r="J35" s="233">
        <v>19</v>
      </c>
      <c r="K35" s="632">
        <v>15.6</v>
      </c>
      <c r="L35" s="632">
        <v>11374028</v>
      </c>
      <c r="M35" s="632" t="s">
        <v>520</v>
      </c>
      <c r="N35" s="234" t="s">
        <v>173</v>
      </c>
      <c r="O35" s="269">
        <v>1.4</v>
      </c>
      <c r="P35" s="235" t="s">
        <v>664</v>
      </c>
      <c r="Q35" s="270" t="s">
        <v>768</v>
      </c>
      <c r="R35" s="270" t="s">
        <v>768</v>
      </c>
      <c r="S35" s="633" t="s">
        <v>782</v>
      </c>
    </row>
    <row r="36" spans="1:19" s="254" customFormat="1" ht="32.5" customHeight="1">
      <c r="A36" s="689"/>
      <c r="B36" s="689"/>
      <c r="C36" s="689"/>
      <c r="D36" s="234" t="s">
        <v>784</v>
      </c>
      <c r="E36" s="618" t="s">
        <v>814</v>
      </c>
      <c r="F36" s="231" t="s">
        <v>765</v>
      </c>
      <c r="G36" s="618" t="s">
        <v>815</v>
      </c>
      <c r="H36" s="233"/>
      <c r="I36" s="233">
        <v>6</v>
      </c>
      <c r="J36" s="233">
        <v>21</v>
      </c>
      <c r="K36" s="632">
        <v>7.3</v>
      </c>
      <c r="L36" s="632">
        <v>11374028</v>
      </c>
      <c r="M36" s="632" t="s">
        <v>520</v>
      </c>
      <c r="N36" s="234" t="s">
        <v>751</v>
      </c>
      <c r="O36" s="269">
        <v>1.4</v>
      </c>
      <c r="P36" s="235" t="s">
        <v>664</v>
      </c>
      <c r="Q36" s="270" t="s">
        <v>768</v>
      </c>
      <c r="R36" s="270" t="s">
        <v>768</v>
      </c>
      <c r="S36" s="633" t="s">
        <v>782</v>
      </c>
    </row>
    <row r="37" spans="1:19" s="254" customFormat="1" ht="32.5" customHeight="1">
      <c r="A37" s="689"/>
      <c r="B37" s="690"/>
      <c r="C37" s="690"/>
      <c r="D37" s="234" t="s">
        <v>784</v>
      </c>
      <c r="E37" s="618" t="s">
        <v>816</v>
      </c>
      <c r="F37" s="231" t="s">
        <v>765</v>
      </c>
      <c r="G37" s="618" t="s">
        <v>817</v>
      </c>
      <c r="H37" s="233"/>
      <c r="I37" s="233">
        <v>7.0000000000000007E-2</v>
      </c>
      <c r="J37" s="233"/>
      <c r="K37" s="632">
        <v>3.5</v>
      </c>
      <c r="L37" s="632">
        <v>11374028</v>
      </c>
      <c r="M37" s="632" t="s">
        <v>520</v>
      </c>
      <c r="N37" s="234" t="s">
        <v>173</v>
      </c>
      <c r="O37" s="269">
        <v>1.4</v>
      </c>
      <c r="P37" s="235" t="s">
        <v>664</v>
      </c>
      <c r="Q37" s="270" t="s">
        <v>768</v>
      </c>
      <c r="R37" s="270" t="s">
        <v>768</v>
      </c>
      <c r="S37" s="633" t="s">
        <v>782</v>
      </c>
    </row>
    <row r="38" spans="1:19" s="254" customFormat="1" ht="42" customHeight="1">
      <c r="A38" s="689"/>
      <c r="B38" s="621" t="s">
        <v>818</v>
      </c>
      <c r="C38" s="271" t="s">
        <v>819</v>
      </c>
      <c r="D38" s="234" t="s">
        <v>784</v>
      </c>
      <c r="E38" s="127" t="s">
        <v>820</v>
      </c>
      <c r="F38" s="231" t="s">
        <v>821</v>
      </c>
      <c r="G38" s="618" t="s">
        <v>822</v>
      </c>
      <c r="H38" s="233"/>
      <c r="I38" s="233">
        <v>20</v>
      </c>
      <c r="J38" s="233">
        <v>25</v>
      </c>
      <c r="K38" s="632">
        <f>AVERAGE(I38:J38)</f>
        <v>22.5</v>
      </c>
      <c r="L38" s="632">
        <v>11374029</v>
      </c>
      <c r="M38" s="234"/>
      <c r="N38" s="236" t="s">
        <v>173</v>
      </c>
      <c r="O38" s="269">
        <v>1.4</v>
      </c>
      <c r="P38" s="235" t="s">
        <v>664</v>
      </c>
      <c r="Q38" s="270" t="s">
        <v>768</v>
      </c>
      <c r="R38" s="270" t="s">
        <v>768</v>
      </c>
      <c r="S38" s="234" t="s">
        <v>703</v>
      </c>
    </row>
    <row r="39" spans="1:19" ht="77.5" customHeight="1">
      <c r="A39" s="689"/>
      <c r="B39" s="621" t="s">
        <v>823</v>
      </c>
      <c r="C39" s="231" t="s">
        <v>824</v>
      </c>
      <c r="D39" s="234" t="s">
        <v>763</v>
      </c>
      <c r="E39" s="231" t="s">
        <v>825</v>
      </c>
      <c r="F39" s="231" t="s">
        <v>765</v>
      </c>
      <c r="G39" s="233" t="s">
        <v>826</v>
      </c>
      <c r="H39" s="233"/>
      <c r="I39" s="233">
        <v>30</v>
      </c>
      <c r="J39" s="233">
        <v>40</v>
      </c>
      <c r="K39" s="632">
        <f>AVERAGE(I39:J39)</f>
        <v>35</v>
      </c>
      <c r="L39" s="632" t="s">
        <v>767</v>
      </c>
      <c r="M39" s="234"/>
      <c r="N39" s="236" t="s">
        <v>173</v>
      </c>
      <c r="O39" s="269">
        <v>1.4</v>
      </c>
      <c r="P39" s="235" t="s">
        <v>664</v>
      </c>
      <c r="Q39" s="270" t="s">
        <v>768</v>
      </c>
      <c r="R39" s="270" t="s">
        <v>768</v>
      </c>
      <c r="S39" s="234" t="s">
        <v>176</v>
      </c>
    </row>
    <row r="40" spans="1:19" ht="77.5" customHeight="1">
      <c r="A40" s="689"/>
      <c r="B40" s="621" t="s">
        <v>827</v>
      </c>
      <c r="C40" s="626" t="s">
        <v>828</v>
      </c>
      <c r="D40" s="234" t="s">
        <v>829</v>
      </c>
      <c r="E40" s="231" t="s">
        <v>830</v>
      </c>
      <c r="F40" s="231" t="s">
        <v>831</v>
      </c>
      <c r="G40" s="233" t="s">
        <v>832</v>
      </c>
      <c r="H40" s="233"/>
      <c r="I40" s="239">
        <v>0.06</v>
      </c>
      <c r="J40" s="239">
        <v>6.36</v>
      </c>
      <c r="K40" s="239">
        <v>2.23</v>
      </c>
      <c r="L40" s="632"/>
      <c r="M40" s="234"/>
      <c r="N40" s="236"/>
      <c r="O40" s="269"/>
      <c r="P40" s="235"/>
      <c r="Q40" s="270"/>
      <c r="R40" s="270"/>
      <c r="S40" s="234" t="s">
        <v>833</v>
      </c>
    </row>
    <row r="41" spans="1:19" ht="56.15" customHeight="1">
      <c r="A41" s="689"/>
      <c r="B41" s="694" t="s">
        <v>834</v>
      </c>
      <c r="C41" s="688" t="s">
        <v>835</v>
      </c>
      <c r="D41" s="234" t="s">
        <v>763</v>
      </c>
      <c r="E41" s="231" t="s">
        <v>836</v>
      </c>
      <c r="F41" s="231" t="s">
        <v>765</v>
      </c>
      <c r="G41" s="233" t="s">
        <v>837</v>
      </c>
      <c r="H41" s="233"/>
      <c r="I41" s="233">
        <v>25</v>
      </c>
      <c r="J41" s="233">
        <v>35</v>
      </c>
      <c r="K41" s="233">
        <f>AVERAGE(I41:J41)</f>
        <v>30</v>
      </c>
      <c r="L41" s="632" t="s">
        <v>767</v>
      </c>
      <c r="M41" s="234"/>
      <c r="N41" s="236" t="s">
        <v>173</v>
      </c>
      <c r="O41" s="269">
        <v>1.4</v>
      </c>
      <c r="P41" s="235" t="s">
        <v>664</v>
      </c>
      <c r="Q41" s="270" t="s">
        <v>768</v>
      </c>
      <c r="R41" s="270" t="s">
        <v>768</v>
      </c>
      <c r="S41" s="234" t="s">
        <v>833</v>
      </c>
    </row>
    <row r="42" spans="1:19" ht="43.5">
      <c r="A42" s="689"/>
      <c r="B42" s="690"/>
      <c r="C42" s="690"/>
      <c r="D42" s="629" t="s">
        <v>650</v>
      </c>
      <c r="E42" s="231" t="s">
        <v>838</v>
      </c>
      <c r="F42" s="231" t="s">
        <v>839</v>
      </c>
      <c r="G42" s="233" t="s">
        <v>840</v>
      </c>
      <c r="H42" s="233"/>
      <c r="I42" s="233">
        <v>16</v>
      </c>
      <c r="J42" s="233">
        <v>16</v>
      </c>
      <c r="K42" s="233">
        <f>AVERAGE(I42:J42)</f>
        <v>16</v>
      </c>
      <c r="L42" s="234"/>
      <c r="M42" s="234" t="s">
        <v>841</v>
      </c>
      <c r="N42" s="236" t="s">
        <v>173</v>
      </c>
      <c r="O42" s="269">
        <v>1.4</v>
      </c>
      <c r="P42" s="235" t="s">
        <v>664</v>
      </c>
      <c r="Q42" s="270" t="s">
        <v>768</v>
      </c>
      <c r="R42" s="270" t="s">
        <v>768</v>
      </c>
      <c r="S42" s="632" t="s">
        <v>833</v>
      </c>
    </row>
    <row r="43" spans="1:19" ht="14.5" customHeight="1">
      <c r="A43" s="690"/>
      <c r="B43" s="622" t="s">
        <v>842</v>
      </c>
      <c r="C43" s="627" t="s">
        <v>843</v>
      </c>
      <c r="D43" s="629"/>
      <c r="E43" s="231"/>
      <c r="F43" s="231"/>
      <c r="G43" s="233"/>
      <c r="H43" s="233"/>
      <c r="I43" s="233"/>
      <c r="J43" s="233"/>
      <c r="K43" s="233"/>
      <c r="L43" s="234"/>
      <c r="M43" s="234"/>
      <c r="N43" s="236"/>
      <c r="O43" s="269"/>
      <c r="P43" s="235"/>
      <c r="Q43" s="270"/>
      <c r="R43" s="270"/>
      <c r="S43" s="632"/>
    </row>
    <row r="44" spans="1:19" ht="29">
      <c r="A44" s="703" t="s">
        <v>844</v>
      </c>
      <c r="B44" s="703" t="s">
        <v>845</v>
      </c>
      <c r="C44" s="709" t="s">
        <v>846</v>
      </c>
      <c r="D44" s="239" t="s">
        <v>650</v>
      </c>
      <c r="E44" s="234" t="s">
        <v>847</v>
      </c>
      <c r="F44" s="234" t="s">
        <v>848</v>
      </c>
      <c r="G44" s="234" t="s">
        <v>849</v>
      </c>
      <c r="H44" s="293"/>
      <c r="I44" s="294">
        <v>15</v>
      </c>
      <c r="J44" s="244">
        <v>40</v>
      </c>
      <c r="K44" s="236">
        <f>AVERAGE(I44:J44)</f>
        <v>27.5</v>
      </c>
      <c r="L44" s="236"/>
      <c r="M44" s="633" t="s">
        <v>850</v>
      </c>
      <c r="N44" s="236" t="s">
        <v>800</v>
      </c>
      <c r="O44" s="632">
        <v>1.04</v>
      </c>
      <c r="P44" s="632" t="s">
        <v>664</v>
      </c>
      <c r="Q44" s="632" t="s">
        <v>851</v>
      </c>
      <c r="R44" s="632" t="s">
        <v>852</v>
      </c>
      <c r="S44" s="632" t="s">
        <v>853</v>
      </c>
    </row>
    <row r="45" spans="1:19" ht="29">
      <c r="A45" s="697"/>
      <c r="B45" s="697"/>
      <c r="C45" s="709"/>
      <c r="D45" s="239" t="s">
        <v>650</v>
      </c>
      <c r="E45" s="234" t="s">
        <v>854</v>
      </c>
      <c r="F45" s="234" t="s">
        <v>855</v>
      </c>
      <c r="G45" s="234" t="s">
        <v>856</v>
      </c>
      <c r="H45" s="293"/>
      <c r="I45" s="294">
        <v>10</v>
      </c>
      <c r="J45" s="244">
        <v>30</v>
      </c>
      <c r="K45" s="236">
        <f>AVERAGE(I45:J45)</f>
        <v>20</v>
      </c>
      <c r="L45" s="236"/>
      <c r="M45" s="633" t="s">
        <v>850</v>
      </c>
      <c r="N45" s="236" t="s">
        <v>800</v>
      </c>
      <c r="O45" s="236">
        <v>1.1399999999999999</v>
      </c>
      <c r="P45" s="632" t="s">
        <v>664</v>
      </c>
      <c r="Q45" s="632" t="s">
        <v>851</v>
      </c>
      <c r="R45" s="632" t="s">
        <v>857</v>
      </c>
      <c r="S45" s="632" t="s">
        <v>853</v>
      </c>
    </row>
    <row r="46" spans="1:19" ht="58">
      <c r="A46" s="697"/>
      <c r="B46" s="697"/>
      <c r="C46" s="709"/>
      <c r="D46" s="632" t="s">
        <v>667</v>
      </c>
      <c r="E46" s="234" t="s">
        <v>858</v>
      </c>
      <c r="F46" s="234" t="s">
        <v>859</v>
      </c>
      <c r="G46" s="234" t="s">
        <v>860</v>
      </c>
      <c r="H46" s="293"/>
      <c r="I46" s="294">
        <v>25</v>
      </c>
      <c r="J46" s="244">
        <v>25</v>
      </c>
      <c r="K46" s="236">
        <f>AVERAGE(I46:J46)</f>
        <v>25</v>
      </c>
      <c r="L46" s="236"/>
      <c r="M46" s="633" t="s">
        <v>850</v>
      </c>
      <c r="N46" s="236" t="s">
        <v>800</v>
      </c>
      <c r="O46" s="236">
        <v>1.01</v>
      </c>
      <c r="P46" s="632" t="s">
        <v>664</v>
      </c>
      <c r="Q46" s="632" t="s">
        <v>851</v>
      </c>
      <c r="R46" s="632" t="s">
        <v>861</v>
      </c>
      <c r="S46" s="632" t="s">
        <v>853</v>
      </c>
    </row>
    <row r="47" spans="1:19" ht="29">
      <c r="A47" s="697"/>
      <c r="B47" s="697"/>
      <c r="C47" s="709"/>
      <c r="D47" s="239" t="s">
        <v>650</v>
      </c>
      <c r="E47" s="234" t="s">
        <v>862</v>
      </c>
      <c r="F47" s="234" t="s">
        <v>863</v>
      </c>
      <c r="G47" s="234" t="s">
        <v>864</v>
      </c>
      <c r="H47" s="293"/>
      <c r="I47" s="294">
        <v>10</v>
      </c>
      <c r="J47" s="244">
        <v>10</v>
      </c>
      <c r="K47" s="236">
        <f>AVERAGE(I47:J47)</f>
        <v>10</v>
      </c>
      <c r="L47" s="236"/>
      <c r="M47" s="633" t="s">
        <v>850</v>
      </c>
      <c r="N47" s="236" t="s">
        <v>800</v>
      </c>
      <c r="O47" s="236" t="s">
        <v>175</v>
      </c>
      <c r="P47" s="632" t="s">
        <v>664</v>
      </c>
      <c r="Q47" s="632" t="s">
        <v>851</v>
      </c>
      <c r="R47" s="632" t="s">
        <v>865</v>
      </c>
      <c r="S47" s="632" t="s">
        <v>853</v>
      </c>
    </row>
    <row r="48" spans="1:19" s="300" customFormat="1" ht="29">
      <c r="A48" s="689"/>
      <c r="B48" s="689"/>
      <c r="C48" s="691" t="s">
        <v>866</v>
      </c>
      <c r="D48" s="295" t="s">
        <v>829</v>
      </c>
      <c r="E48" s="296" t="s">
        <v>867</v>
      </c>
      <c r="F48" s="296" t="s">
        <v>868</v>
      </c>
      <c r="G48" s="297" t="s">
        <v>869</v>
      </c>
      <c r="H48" s="298"/>
      <c r="I48" s="297">
        <v>0.1</v>
      </c>
      <c r="J48" s="297">
        <v>70</v>
      </c>
      <c r="K48" s="297">
        <v>47.7</v>
      </c>
      <c r="L48" s="235">
        <v>11374030</v>
      </c>
      <c r="M48" s="299" t="s">
        <v>870</v>
      </c>
      <c r="N48" s="269" t="s">
        <v>173</v>
      </c>
      <c r="O48" s="269">
        <v>1.4</v>
      </c>
      <c r="P48" s="235" t="s">
        <v>664</v>
      </c>
      <c r="Q48" s="270" t="s">
        <v>768</v>
      </c>
      <c r="R48" s="270" t="s">
        <v>768</v>
      </c>
      <c r="S48" s="235" t="s">
        <v>768</v>
      </c>
    </row>
    <row r="49" spans="1:46" s="300" customFormat="1" ht="87">
      <c r="A49" s="689"/>
      <c r="B49" s="690"/>
      <c r="C49" s="692"/>
      <c r="D49" s="295" t="s">
        <v>871</v>
      </c>
      <c r="E49" s="301" t="s">
        <v>872</v>
      </c>
      <c r="F49" s="301" t="s">
        <v>868</v>
      </c>
      <c r="G49" s="302" t="s">
        <v>873</v>
      </c>
      <c r="H49" s="303"/>
      <c r="I49" s="304">
        <f>22*0.0001</f>
        <v>2.2000000000000001E-3</v>
      </c>
      <c r="J49" s="302">
        <f>90*0.0001</f>
        <v>9.0000000000000011E-3</v>
      </c>
      <c r="K49" s="304">
        <f>AVERAGE(I49:J49)</f>
        <v>5.6000000000000008E-3</v>
      </c>
      <c r="L49" s="235" t="s">
        <v>874</v>
      </c>
      <c r="M49" s="299" t="s">
        <v>870</v>
      </c>
      <c r="N49" s="269" t="s">
        <v>173</v>
      </c>
      <c r="O49" s="269">
        <v>1.4</v>
      </c>
      <c r="P49" s="235" t="s">
        <v>664</v>
      </c>
      <c r="Q49" s="270" t="s">
        <v>768</v>
      </c>
      <c r="R49" s="270" t="s">
        <v>768</v>
      </c>
      <c r="S49" s="235" t="s">
        <v>768</v>
      </c>
    </row>
    <row r="50" spans="1:46" s="667" customFormat="1" ht="124.5" customHeight="1">
      <c r="A50" s="689"/>
      <c r="B50" s="694" t="s">
        <v>875</v>
      </c>
    </row>
    <row r="51" spans="1:46" ht="29">
      <c r="A51" s="689"/>
      <c r="B51" s="689"/>
      <c r="C51" s="305" t="s">
        <v>876</v>
      </c>
      <c r="D51" s="295" t="s">
        <v>829</v>
      </c>
      <c r="E51" s="231" t="s">
        <v>580</v>
      </c>
      <c r="F51" s="231" t="s">
        <v>765</v>
      </c>
      <c r="G51" s="306">
        <v>3.7</v>
      </c>
      <c r="H51" s="245"/>
      <c r="I51" s="245">
        <v>3.7</v>
      </c>
      <c r="J51" s="245">
        <v>3.7</v>
      </c>
      <c r="K51" s="245">
        <v>3.7</v>
      </c>
      <c r="L51" s="632"/>
      <c r="M51" s="632"/>
      <c r="N51" s="236" t="s">
        <v>173</v>
      </c>
      <c r="O51" s="269">
        <v>1.4</v>
      </c>
      <c r="P51" s="235" t="s">
        <v>664</v>
      </c>
      <c r="Q51" s="270" t="s">
        <v>768</v>
      </c>
      <c r="R51" s="270" t="s">
        <v>768</v>
      </c>
      <c r="S51" s="632" t="s">
        <v>877</v>
      </c>
    </row>
    <row r="52" spans="1:46" ht="108.5">
      <c r="A52" s="689"/>
      <c r="B52" s="690"/>
      <c r="C52" s="305" t="s">
        <v>473</v>
      </c>
      <c r="D52" s="295" t="s">
        <v>829</v>
      </c>
      <c r="E52" s="231" t="s">
        <v>473</v>
      </c>
      <c r="F52" s="231" t="s">
        <v>868</v>
      </c>
      <c r="G52" s="307" t="s">
        <v>878</v>
      </c>
      <c r="H52" s="245"/>
      <c r="I52" s="245">
        <v>0.1</v>
      </c>
      <c r="J52" s="245">
        <v>39</v>
      </c>
      <c r="K52" s="245">
        <v>15.9</v>
      </c>
      <c r="L52" s="632"/>
      <c r="M52" s="632"/>
      <c r="N52" s="236"/>
      <c r="O52" s="269"/>
      <c r="P52" s="235"/>
      <c r="Q52" s="270"/>
      <c r="R52" s="270"/>
      <c r="S52" s="632"/>
    </row>
    <row r="53" spans="1:46" ht="72.5">
      <c r="A53" s="689"/>
      <c r="B53" s="694" t="s">
        <v>504</v>
      </c>
      <c r="C53" s="308" t="s">
        <v>879</v>
      </c>
      <c r="D53" s="234" t="s">
        <v>763</v>
      </c>
      <c r="E53" s="231" t="s">
        <v>879</v>
      </c>
      <c r="F53" s="231" t="s">
        <v>765</v>
      </c>
      <c r="G53" s="233" t="s">
        <v>880</v>
      </c>
      <c r="H53" s="245"/>
      <c r="I53" s="245">
        <v>30</v>
      </c>
      <c r="J53" s="245">
        <v>30</v>
      </c>
      <c r="K53" s="245">
        <v>30</v>
      </c>
      <c r="L53" s="632" t="s">
        <v>767</v>
      </c>
      <c r="M53" s="632"/>
      <c r="N53" s="236" t="s">
        <v>173</v>
      </c>
      <c r="O53" s="269">
        <v>1.4</v>
      </c>
      <c r="P53" s="235" t="s">
        <v>664</v>
      </c>
      <c r="Q53" s="270" t="s">
        <v>768</v>
      </c>
      <c r="R53" s="270" t="s">
        <v>768</v>
      </c>
      <c r="S53" s="632" t="s">
        <v>881</v>
      </c>
    </row>
    <row r="54" spans="1:46" ht="29">
      <c r="A54" s="689"/>
      <c r="B54" s="689"/>
      <c r="C54" s="704" t="s">
        <v>882</v>
      </c>
      <c r="D54" s="235" t="s">
        <v>829</v>
      </c>
      <c r="E54" s="231" t="s">
        <v>505</v>
      </c>
      <c r="F54" s="263" t="s">
        <v>792</v>
      </c>
      <c r="G54" s="233"/>
      <c r="H54" s="233"/>
      <c r="I54" s="233">
        <v>13</v>
      </c>
      <c r="J54" s="233">
        <v>30</v>
      </c>
      <c r="K54" s="233">
        <v>39</v>
      </c>
      <c r="L54" s="309">
        <v>679870</v>
      </c>
      <c r="M54" s="632"/>
      <c r="N54" s="236" t="s">
        <v>173</v>
      </c>
      <c r="O54" s="269">
        <v>1.4</v>
      </c>
      <c r="P54" s="235" t="s">
        <v>664</v>
      </c>
      <c r="Q54" s="270" t="s">
        <v>768</v>
      </c>
      <c r="R54" s="270" t="s">
        <v>768</v>
      </c>
      <c r="S54" s="632" t="s">
        <v>883</v>
      </c>
    </row>
    <row r="55" spans="1:46" ht="29">
      <c r="A55" s="689"/>
      <c r="B55" s="689"/>
      <c r="C55" s="705"/>
      <c r="D55" s="235" t="s">
        <v>829</v>
      </c>
      <c r="E55" s="231" t="s">
        <v>505</v>
      </c>
      <c r="F55" s="263" t="s">
        <v>792</v>
      </c>
      <c r="G55" s="233"/>
      <c r="H55" s="233"/>
      <c r="I55" s="233">
        <v>41.9</v>
      </c>
      <c r="J55" s="233">
        <v>41.9</v>
      </c>
      <c r="K55" s="233">
        <v>41.9</v>
      </c>
      <c r="L55" s="309">
        <v>6592592</v>
      </c>
      <c r="M55" s="632"/>
      <c r="N55" s="236" t="s">
        <v>173</v>
      </c>
      <c r="O55" s="269">
        <v>1.4</v>
      </c>
      <c r="P55" s="235" t="s">
        <v>664</v>
      </c>
      <c r="Q55" s="270" t="s">
        <v>768</v>
      </c>
      <c r="R55" s="270" t="s">
        <v>768</v>
      </c>
      <c r="S55" s="632" t="s">
        <v>883</v>
      </c>
    </row>
    <row r="56" spans="1:46">
      <c r="A56" s="690"/>
      <c r="B56" s="690"/>
      <c r="C56" s="308" t="s">
        <v>884</v>
      </c>
      <c r="D56" s="236" t="s">
        <v>885</v>
      </c>
      <c r="E56" s="234" t="s">
        <v>886</v>
      </c>
      <c r="F56" s="310" t="s">
        <v>886</v>
      </c>
      <c r="G56" s="233">
        <v>0.1</v>
      </c>
      <c r="H56" s="233"/>
      <c r="I56" s="233">
        <v>0.1</v>
      </c>
      <c r="J56" s="233">
        <v>0.1</v>
      </c>
      <c r="K56" s="233">
        <v>0.1</v>
      </c>
      <c r="L56" s="234"/>
      <c r="M56" s="632"/>
      <c r="N56" s="236" t="s">
        <v>173</v>
      </c>
      <c r="O56" s="269">
        <v>1.4</v>
      </c>
      <c r="P56" s="235" t="s">
        <v>664</v>
      </c>
      <c r="Q56" s="270" t="s">
        <v>768</v>
      </c>
      <c r="R56" s="270" t="s">
        <v>768</v>
      </c>
      <c r="S56" s="632" t="s">
        <v>731</v>
      </c>
    </row>
    <row r="57" spans="1:46" ht="29">
      <c r="A57" s="311" t="s">
        <v>887</v>
      </c>
      <c r="B57" s="311" t="s">
        <v>888</v>
      </c>
      <c r="C57" s="271" t="s">
        <v>889</v>
      </c>
      <c r="D57" s="234" t="s">
        <v>829</v>
      </c>
      <c r="E57" s="312" t="s">
        <v>889</v>
      </c>
      <c r="F57" s="264" t="s">
        <v>792</v>
      </c>
      <c r="G57" s="313">
        <v>0.5</v>
      </c>
      <c r="H57" s="639"/>
      <c r="I57" s="639">
        <v>50</v>
      </c>
      <c r="J57" s="312">
        <v>50</v>
      </c>
      <c r="K57" s="312">
        <v>50</v>
      </c>
      <c r="L57" s="314">
        <v>6302197</v>
      </c>
      <c r="M57" s="315" t="s">
        <v>889</v>
      </c>
      <c r="N57" s="236" t="s">
        <v>173</v>
      </c>
      <c r="O57" s="269">
        <v>1.4</v>
      </c>
      <c r="P57" s="235" t="s">
        <v>664</v>
      </c>
      <c r="Q57" s="270" t="s">
        <v>768</v>
      </c>
      <c r="R57" s="270" t="s">
        <v>768</v>
      </c>
      <c r="S57" s="316"/>
      <c r="T57" s="317"/>
      <c r="U57" s="317"/>
      <c r="V57" s="317"/>
      <c r="W57" s="317"/>
      <c r="X57" s="317"/>
      <c r="Y57" s="317"/>
      <c r="Z57" s="317"/>
      <c r="AA57" s="317"/>
      <c r="AB57" s="317"/>
      <c r="AC57" s="317"/>
      <c r="AD57" s="317"/>
      <c r="AE57" s="317"/>
      <c r="AF57" s="317"/>
      <c r="AG57" s="317"/>
      <c r="AH57" s="317"/>
      <c r="AI57" s="317"/>
      <c r="AJ57" s="317"/>
      <c r="AK57" s="317"/>
      <c r="AL57" s="317"/>
      <c r="AM57" s="317"/>
      <c r="AN57" s="317"/>
      <c r="AO57" s="317"/>
      <c r="AP57" s="317"/>
      <c r="AQ57" s="317"/>
      <c r="AR57" s="317"/>
      <c r="AS57" s="317"/>
      <c r="AT57" s="317"/>
    </row>
    <row r="58" spans="1:46" ht="164.5" customHeight="1">
      <c r="A58" s="694" t="s">
        <v>679</v>
      </c>
      <c r="B58" s="694" t="s">
        <v>890</v>
      </c>
      <c r="C58" s="688" t="s">
        <v>891</v>
      </c>
      <c r="D58" s="234" t="s">
        <v>650</v>
      </c>
      <c r="E58" s="231" t="s">
        <v>892</v>
      </c>
      <c r="F58" s="263" t="s">
        <v>669</v>
      </c>
      <c r="G58" s="245" t="s">
        <v>869</v>
      </c>
      <c r="H58" s="245"/>
      <c r="I58" s="245"/>
      <c r="J58" s="245"/>
      <c r="K58" s="245"/>
      <c r="L58" s="234"/>
      <c r="M58" s="632" t="s">
        <v>893</v>
      </c>
      <c r="N58" s="236" t="s">
        <v>173</v>
      </c>
      <c r="O58" s="269">
        <v>1.4</v>
      </c>
      <c r="P58" s="235" t="s">
        <v>664</v>
      </c>
      <c r="Q58" s="270" t="s">
        <v>768</v>
      </c>
      <c r="R58" s="270" t="s">
        <v>768</v>
      </c>
      <c r="S58" s="632" t="s">
        <v>768</v>
      </c>
    </row>
    <row r="59" spans="1:46" ht="29">
      <c r="A59" s="689"/>
      <c r="B59" s="689"/>
      <c r="C59" s="689"/>
      <c r="D59" s="234" t="s">
        <v>650</v>
      </c>
      <c r="E59" s="231" t="s">
        <v>894</v>
      </c>
      <c r="F59" s="231" t="s">
        <v>895</v>
      </c>
      <c r="G59" s="233" t="s">
        <v>896</v>
      </c>
      <c r="H59" s="233"/>
      <c r="I59" s="233">
        <v>14</v>
      </c>
      <c r="J59" s="233">
        <v>14</v>
      </c>
      <c r="K59" s="233">
        <v>14</v>
      </c>
      <c r="L59" s="234"/>
      <c r="M59" s="632"/>
      <c r="N59" s="236" t="s">
        <v>173</v>
      </c>
      <c r="O59" s="269">
        <v>1.4</v>
      </c>
      <c r="P59" s="235" t="s">
        <v>664</v>
      </c>
      <c r="Q59" s="270" t="s">
        <v>768</v>
      </c>
      <c r="R59" s="270" t="s">
        <v>768</v>
      </c>
      <c r="S59" s="632" t="s">
        <v>768</v>
      </c>
    </row>
    <row r="60" spans="1:46" ht="58">
      <c r="A60" s="689"/>
      <c r="B60" s="689"/>
      <c r="C60" s="689"/>
      <c r="D60" s="629" t="s">
        <v>650</v>
      </c>
      <c r="E60" s="231" t="s">
        <v>897</v>
      </c>
      <c r="F60" s="263" t="s">
        <v>669</v>
      </c>
      <c r="G60" s="245" t="s">
        <v>869</v>
      </c>
      <c r="H60" s="245"/>
      <c r="I60" s="245"/>
      <c r="J60" s="245"/>
      <c r="K60" s="245"/>
      <c r="L60" s="234"/>
      <c r="M60" s="632" t="s">
        <v>898</v>
      </c>
      <c r="N60" s="236" t="s">
        <v>173</v>
      </c>
      <c r="O60" s="269">
        <v>1.4</v>
      </c>
      <c r="P60" s="235" t="s">
        <v>664</v>
      </c>
      <c r="Q60" s="270" t="s">
        <v>768</v>
      </c>
      <c r="R60" s="270" t="s">
        <v>768</v>
      </c>
      <c r="S60" s="632" t="s">
        <v>768</v>
      </c>
    </row>
    <row r="61" spans="1:46" ht="101.5">
      <c r="A61" s="690"/>
      <c r="B61" s="690"/>
      <c r="C61" s="689"/>
      <c r="D61" s="234" t="s">
        <v>650</v>
      </c>
      <c r="E61" s="231" t="s">
        <v>899</v>
      </c>
      <c r="F61" s="263" t="s">
        <v>669</v>
      </c>
      <c r="G61" s="245" t="s">
        <v>900</v>
      </c>
      <c r="H61" s="245"/>
      <c r="I61" s="245">
        <v>3</v>
      </c>
      <c r="J61" s="245">
        <v>3</v>
      </c>
      <c r="K61" s="245">
        <v>3</v>
      </c>
      <c r="L61" s="234"/>
      <c r="M61" s="632" t="s">
        <v>898</v>
      </c>
      <c r="N61" s="236" t="s">
        <v>173</v>
      </c>
      <c r="O61" s="269">
        <v>1.4</v>
      </c>
      <c r="P61" s="235" t="s">
        <v>664</v>
      </c>
      <c r="Q61" s="270" t="s">
        <v>768</v>
      </c>
      <c r="R61" s="270" t="s">
        <v>768</v>
      </c>
      <c r="S61" s="632" t="s">
        <v>768</v>
      </c>
    </row>
    <row r="62" spans="1:46" ht="87" hidden="1" customHeight="1">
      <c r="A62" s="275" t="s">
        <v>801</v>
      </c>
      <c r="B62" s="275" t="s">
        <v>901</v>
      </c>
      <c r="C62" s="689"/>
      <c r="D62" s="234" t="s">
        <v>763</v>
      </c>
      <c r="E62" s="633" t="s">
        <v>902</v>
      </c>
      <c r="F62" s="231" t="s">
        <v>765</v>
      </c>
      <c r="G62" s="639" t="s">
        <v>903</v>
      </c>
      <c r="H62" s="639"/>
      <c r="I62" s="632">
        <v>30</v>
      </c>
      <c r="J62" s="632">
        <v>35</v>
      </c>
      <c r="K62" s="632">
        <f>AVERAGE(I62:J62)</f>
        <v>32.5</v>
      </c>
      <c r="L62" s="632" t="s">
        <v>767</v>
      </c>
      <c r="M62" s="632"/>
      <c r="N62" s="236" t="s">
        <v>173</v>
      </c>
      <c r="O62" s="269">
        <v>1.4</v>
      </c>
      <c r="P62" s="235" t="s">
        <v>664</v>
      </c>
      <c r="Q62" s="270" t="s">
        <v>768</v>
      </c>
      <c r="R62" s="270" t="s">
        <v>768</v>
      </c>
      <c r="S62" s="632" t="s">
        <v>768</v>
      </c>
    </row>
    <row r="63" spans="1:46" s="300" customFormat="1" ht="43.5" hidden="1" customHeight="1">
      <c r="A63" s="275" t="s">
        <v>844</v>
      </c>
      <c r="B63" s="275" t="s">
        <v>904</v>
      </c>
      <c r="C63" s="689"/>
      <c r="D63" s="234" t="s">
        <v>763</v>
      </c>
      <c r="E63" s="301" t="s">
        <v>905</v>
      </c>
      <c r="F63" s="231" t="s">
        <v>765</v>
      </c>
      <c r="G63" s="302" t="s">
        <v>906</v>
      </c>
      <c r="H63" s="302"/>
      <c r="I63" s="302">
        <v>0.1</v>
      </c>
      <c r="J63" s="302">
        <v>0.1</v>
      </c>
      <c r="K63" s="233">
        <f>AVERAGE(I63:J63)</f>
        <v>0.1</v>
      </c>
      <c r="L63" s="632" t="s">
        <v>767</v>
      </c>
      <c r="M63" s="235"/>
      <c r="N63" s="236" t="s">
        <v>173</v>
      </c>
      <c r="O63" s="269">
        <v>1.4</v>
      </c>
      <c r="P63" s="235" t="s">
        <v>664</v>
      </c>
      <c r="Q63" s="270" t="s">
        <v>768</v>
      </c>
      <c r="R63" s="270" t="s">
        <v>768</v>
      </c>
      <c r="S63" s="632" t="s">
        <v>768</v>
      </c>
    </row>
    <row r="64" spans="1:46" ht="29">
      <c r="A64" s="688" t="s">
        <v>844</v>
      </c>
      <c r="B64" s="688" t="s">
        <v>875</v>
      </c>
      <c r="C64" s="689"/>
      <c r="D64" s="234" t="s">
        <v>829</v>
      </c>
      <c r="E64" s="316" t="s">
        <v>907</v>
      </c>
      <c r="F64" s="263"/>
      <c r="G64" s="316" t="s">
        <v>908</v>
      </c>
      <c r="H64" s="245"/>
      <c r="I64" s="245">
        <v>0.9</v>
      </c>
      <c r="J64" s="245">
        <v>30</v>
      </c>
      <c r="K64" s="639">
        <f>AVERAGE(I64:J64)</f>
        <v>15.45</v>
      </c>
      <c r="L64" s="318">
        <v>10622425</v>
      </c>
      <c r="M64" s="633" t="s">
        <v>909</v>
      </c>
      <c r="N64" s="236" t="s">
        <v>173</v>
      </c>
      <c r="O64" s="269">
        <v>1.4</v>
      </c>
      <c r="P64" s="235" t="s">
        <v>664</v>
      </c>
      <c r="Q64" s="270" t="s">
        <v>768</v>
      </c>
      <c r="R64" s="270" t="s">
        <v>768</v>
      </c>
      <c r="S64" s="632" t="s">
        <v>768</v>
      </c>
    </row>
    <row r="65" spans="1:46" ht="29">
      <c r="A65" s="689"/>
      <c r="B65" s="689"/>
      <c r="C65" s="689"/>
      <c r="D65" s="234" t="s">
        <v>829</v>
      </c>
      <c r="E65" s="316" t="s">
        <v>907</v>
      </c>
      <c r="F65" s="263"/>
      <c r="G65" s="319">
        <v>7.3999999999999996E-2</v>
      </c>
      <c r="H65" s="245"/>
      <c r="I65" s="245">
        <v>7.4</v>
      </c>
      <c r="J65" s="245">
        <v>7.4</v>
      </c>
      <c r="K65" s="639">
        <f>AVERAGE(I65:J65)</f>
        <v>7.4</v>
      </c>
      <c r="L65" s="314">
        <v>11374030</v>
      </c>
      <c r="M65" s="633" t="s">
        <v>909</v>
      </c>
      <c r="N65" s="236" t="s">
        <v>173</v>
      </c>
      <c r="O65" s="269">
        <v>1.4</v>
      </c>
      <c r="P65" s="235" t="s">
        <v>664</v>
      </c>
      <c r="Q65" s="270" t="s">
        <v>768</v>
      </c>
      <c r="R65" s="270" t="s">
        <v>768</v>
      </c>
      <c r="S65" s="632" t="s">
        <v>768</v>
      </c>
    </row>
    <row r="66" spans="1:46" ht="29">
      <c r="A66" s="689"/>
      <c r="B66" s="689"/>
      <c r="C66" s="689"/>
      <c r="D66" s="234" t="s">
        <v>829</v>
      </c>
      <c r="E66" s="316" t="s">
        <v>910</v>
      </c>
      <c r="F66" s="127"/>
      <c r="G66" s="316" t="s">
        <v>911</v>
      </c>
      <c r="H66" s="639"/>
      <c r="I66" s="639">
        <v>0.4</v>
      </c>
      <c r="J66" s="639">
        <v>7.48</v>
      </c>
      <c r="K66" s="639">
        <f>AVERAGE(0.4, 0.4, 0.13, 7.48)</f>
        <v>2.1025</v>
      </c>
      <c r="L66" s="314">
        <v>683035</v>
      </c>
      <c r="M66" s="633" t="s">
        <v>912</v>
      </c>
      <c r="N66" s="236" t="s">
        <v>173</v>
      </c>
      <c r="O66" s="269">
        <v>1.4</v>
      </c>
      <c r="P66" s="235" t="s">
        <v>664</v>
      </c>
      <c r="Q66" s="270" t="s">
        <v>768</v>
      </c>
      <c r="R66" s="270" t="s">
        <v>768</v>
      </c>
      <c r="S66" s="632" t="s">
        <v>768</v>
      </c>
    </row>
    <row r="67" spans="1:46" ht="29">
      <c r="A67" s="689"/>
      <c r="B67" s="689"/>
      <c r="C67" s="689"/>
      <c r="D67" s="234" t="s">
        <v>829</v>
      </c>
      <c r="E67" s="316" t="s">
        <v>913</v>
      </c>
      <c r="F67" s="127"/>
      <c r="G67" s="319">
        <v>2.9000000000000001E-2</v>
      </c>
      <c r="H67" s="639"/>
      <c r="I67" s="639">
        <v>2.9</v>
      </c>
      <c r="J67" s="639">
        <v>2.9</v>
      </c>
      <c r="K67" s="639">
        <f>AVERAGE(I67:J67)</f>
        <v>2.9</v>
      </c>
      <c r="L67" s="314">
        <v>11374030</v>
      </c>
      <c r="M67" s="633"/>
      <c r="N67" s="236" t="s">
        <v>173</v>
      </c>
      <c r="O67" s="269">
        <v>1.4</v>
      </c>
      <c r="P67" s="235" t="s">
        <v>664</v>
      </c>
      <c r="Q67" s="270" t="s">
        <v>768</v>
      </c>
      <c r="R67" s="270" t="s">
        <v>768</v>
      </c>
      <c r="S67" s="632" t="s">
        <v>768</v>
      </c>
    </row>
    <row r="68" spans="1:46" ht="29">
      <c r="A68" s="689"/>
      <c r="B68" s="689"/>
      <c r="C68" s="689"/>
      <c r="D68" s="234" t="s">
        <v>829</v>
      </c>
      <c r="E68" s="316" t="s">
        <v>914</v>
      </c>
      <c r="F68" s="127"/>
      <c r="G68" s="319">
        <v>2.2700000000000001E-2</v>
      </c>
      <c r="H68" s="639"/>
      <c r="I68" s="639">
        <v>2.27</v>
      </c>
      <c r="J68" s="639">
        <v>2.27</v>
      </c>
      <c r="K68" s="639">
        <f>AVERAGE(I68:J68)</f>
        <v>2.27</v>
      </c>
      <c r="L68" s="314">
        <v>11374030</v>
      </c>
      <c r="M68" s="633" t="s">
        <v>915</v>
      </c>
      <c r="N68" s="236" t="s">
        <v>173</v>
      </c>
      <c r="O68" s="269">
        <v>1.4</v>
      </c>
      <c r="P68" s="235" t="s">
        <v>664</v>
      </c>
      <c r="Q68" s="270" t="s">
        <v>768</v>
      </c>
      <c r="R68" s="270" t="s">
        <v>768</v>
      </c>
      <c r="S68" s="632" t="s">
        <v>768</v>
      </c>
    </row>
    <row r="69" spans="1:46" ht="29">
      <c r="A69" s="689"/>
      <c r="B69" s="689"/>
      <c r="C69" s="689"/>
      <c r="D69" s="234" t="s">
        <v>829</v>
      </c>
      <c r="E69" s="316" t="s">
        <v>916</v>
      </c>
      <c r="F69" s="127"/>
      <c r="G69" s="319">
        <v>1.4E-2</v>
      </c>
      <c r="H69" s="639"/>
      <c r="I69" s="639">
        <v>1.4</v>
      </c>
      <c r="J69" s="639">
        <v>1.4</v>
      </c>
      <c r="K69" s="639">
        <f>AVERAGE(I69:J69)</f>
        <v>1.4</v>
      </c>
      <c r="L69" s="314">
        <v>10622425</v>
      </c>
      <c r="M69" s="633" t="s">
        <v>917</v>
      </c>
      <c r="N69" s="236" t="s">
        <v>173</v>
      </c>
      <c r="O69" s="269">
        <v>1.4</v>
      </c>
      <c r="P69" s="235" t="s">
        <v>664</v>
      </c>
      <c r="Q69" s="270" t="s">
        <v>768</v>
      </c>
      <c r="R69" s="270" t="s">
        <v>768</v>
      </c>
      <c r="S69" s="632" t="s">
        <v>768</v>
      </c>
    </row>
    <row r="70" spans="1:46" ht="29">
      <c r="A70" s="689"/>
      <c r="B70" s="689"/>
      <c r="C70" s="689"/>
      <c r="D70" s="234" t="s">
        <v>829</v>
      </c>
      <c r="E70" s="316" t="s">
        <v>918</v>
      </c>
      <c r="F70" s="127"/>
      <c r="G70" s="319">
        <v>0.218</v>
      </c>
      <c r="H70" s="639"/>
      <c r="I70" s="639">
        <v>21.8</v>
      </c>
      <c r="J70" s="639">
        <v>21.8</v>
      </c>
      <c r="K70" s="639">
        <f>AVERAGE(I70:J70)</f>
        <v>21.8</v>
      </c>
      <c r="L70" s="314">
        <v>11374030</v>
      </c>
      <c r="M70" s="320" t="s">
        <v>919</v>
      </c>
      <c r="N70" s="236" t="s">
        <v>173</v>
      </c>
      <c r="O70" s="269">
        <v>1.4</v>
      </c>
      <c r="P70" s="235" t="s">
        <v>664</v>
      </c>
      <c r="Q70" s="270" t="s">
        <v>768</v>
      </c>
      <c r="R70" s="270" t="s">
        <v>768</v>
      </c>
      <c r="S70" s="632" t="s">
        <v>768</v>
      </c>
      <c r="T70" s="317"/>
      <c r="U70" s="317"/>
      <c r="V70" s="317"/>
      <c r="W70" s="317"/>
      <c r="X70" s="317"/>
      <c r="Y70" s="317"/>
      <c r="Z70" s="317"/>
      <c r="AA70" s="317"/>
      <c r="AB70" s="317"/>
      <c r="AC70" s="317"/>
      <c r="AD70" s="317"/>
      <c r="AE70" s="317"/>
      <c r="AF70" s="317"/>
      <c r="AG70" s="317"/>
      <c r="AH70" s="317"/>
      <c r="AI70" s="317"/>
      <c r="AJ70" s="317"/>
      <c r="AK70" s="317"/>
      <c r="AL70" s="317"/>
      <c r="AM70" s="317"/>
      <c r="AN70" s="317"/>
      <c r="AO70" s="317"/>
      <c r="AP70" s="317"/>
      <c r="AQ70" s="317"/>
      <c r="AR70" s="317"/>
      <c r="AS70" s="317"/>
      <c r="AT70" s="317"/>
    </row>
    <row r="71" spans="1:46">
      <c r="A71" s="689"/>
      <c r="B71" s="689"/>
      <c r="C71" s="689"/>
      <c r="D71" s="234"/>
      <c r="E71" s="316"/>
      <c r="F71" s="127"/>
      <c r="G71" s="319"/>
      <c r="H71" s="639"/>
      <c r="I71" s="639"/>
      <c r="J71" s="639"/>
      <c r="K71" s="639"/>
      <c r="L71" s="314"/>
      <c r="M71" s="320"/>
      <c r="N71" s="236"/>
      <c r="O71" s="269"/>
      <c r="P71" s="235"/>
      <c r="Q71" s="270"/>
      <c r="R71" s="270"/>
      <c r="S71" s="632"/>
      <c r="T71" s="317"/>
      <c r="U71" s="317"/>
      <c r="V71" s="317"/>
      <c r="W71" s="317"/>
      <c r="X71" s="317"/>
      <c r="Y71" s="317"/>
      <c r="Z71" s="317"/>
      <c r="AA71" s="317"/>
      <c r="AB71" s="317"/>
      <c r="AC71" s="317"/>
      <c r="AD71" s="317"/>
      <c r="AE71" s="317"/>
      <c r="AF71" s="317"/>
      <c r="AG71" s="317"/>
      <c r="AH71" s="317"/>
      <c r="AI71" s="317"/>
      <c r="AJ71" s="317"/>
      <c r="AK71" s="317"/>
      <c r="AL71" s="317"/>
      <c r="AM71" s="317"/>
      <c r="AN71" s="317"/>
      <c r="AO71" s="317"/>
      <c r="AP71" s="317"/>
      <c r="AQ71" s="317"/>
      <c r="AR71" s="317"/>
      <c r="AS71" s="317"/>
      <c r="AT71" s="317"/>
    </row>
    <row r="72" spans="1:46" ht="39">
      <c r="A72" s="689"/>
      <c r="B72" s="690"/>
      <c r="C72" s="689"/>
      <c r="D72" s="234" t="s">
        <v>829</v>
      </c>
      <c r="E72" s="316" t="s">
        <v>920</v>
      </c>
      <c r="F72" s="127"/>
      <c r="G72" s="316" t="s">
        <v>921</v>
      </c>
      <c r="H72" s="639"/>
      <c r="I72" s="639">
        <v>29.4</v>
      </c>
      <c r="J72" s="639">
        <v>30.6</v>
      </c>
      <c r="K72" s="639">
        <f>AVERAGE(I72:J72)</f>
        <v>30</v>
      </c>
      <c r="L72" s="314">
        <v>11374030</v>
      </c>
      <c r="M72" s="633" t="s">
        <v>922</v>
      </c>
      <c r="N72" s="236" t="s">
        <v>173</v>
      </c>
      <c r="O72" s="269">
        <v>1.4</v>
      </c>
      <c r="P72" s="235" t="s">
        <v>664</v>
      </c>
      <c r="Q72" s="270" t="s">
        <v>768</v>
      </c>
      <c r="R72" s="270" t="s">
        <v>768</v>
      </c>
      <c r="S72" s="632" t="s">
        <v>768</v>
      </c>
    </row>
    <row r="73" spans="1:46" ht="29">
      <c r="A73" s="689"/>
      <c r="B73" s="321" t="s">
        <v>845</v>
      </c>
      <c r="C73" s="689"/>
      <c r="D73" s="234" t="s">
        <v>829</v>
      </c>
      <c r="E73" s="316" t="s">
        <v>923</v>
      </c>
      <c r="F73" s="127"/>
      <c r="G73" s="316" t="s">
        <v>924</v>
      </c>
      <c r="H73" s="639"/>
      <c r="I73" s="639">
        <v>1.4</v>
      </c>
      <c r="J73" s="639">
        <v>1.6</v>
      </c>
      <c r="K73" s="639">
        <f>AVERAGE(I73:J73)</f>
        <v>1.5</v>
      </c>
      <c r="L73" s="314">
        <v>11374030</v>
      </c>
      <c r="M73" s="633" t="s">
        <v>925</v>
      </c>
      <c r="N73" s="236" t="s">
        <v>173</v>
      </c>
      <c r="O73" s="269">
        <v>1.4</v>
      </c>
      <c r="P73" s="235" t="s">
        <v>664</v>
      </c>
      <c r="Q73" s="270" t="s">
        <v>768</v>
      </c>
      <c r="R73" s="270" t="s">
        <v>768</v>
      </c>
      <c r="S73" s="632" t="s">
        <v>768</v>
      </c>
    </row>
    <row r="74" spans="1:46" ht="29">
      <c r="A74" s="690"/>
      <c r="B74" s="321" t="s">
        <v>926</v>
      </c>
      <c r="C74" s="690"/>
      <c r="D74" s="234" t="s">
        <v>829</v>
      </c>
      <c r="E74" s="316" t="s">
        <v>927</v>
      </c>
      <c r="F74" s="127"/>
      <c r="G74" s="316" t="s">
        <v>928</v>
      </c>
      <c r="H74" s="639"/>
      <c r="I74" s="639">
        <v>8.75</v>
      </c>
      <c r="J74" s="639">
        <v>10</v>
      </c>
      <c r="K74" s="639">
        <f>AVERAGE(I74:J74)</f>
        <v>9.375</v>
      </c>
      <c r="L74" s="314">
        <v>6302975</v>
      </c>
      <c r="M74" s="633" t="s">
        <v>929</v>
      </c>
      <c r="N74" s="236" t="s">
        <v>173</v>
      </c>
      <c r="O74" s="269">
        <v>1.4</v>
      </c>
      <c r="P74" s="235" t="s">
        <v>664</v>
      </c>
      <c r="Q74" s="270" t="s">
        <v>768</v>
      </c>
      <c r="R74" s="270" t="s">
        <v>768</v>
      </c>
      <c r="S74" s="632" t="s">
        <v>768</v>
      </c>
    </row>
    <row r="75" spans="1:46" ht="116">
      <c r="C75" s="274"/>
      <c r="D75" s="234" t="s">
        <v>829</v>
      </c>
      <c r="E75" s="233" t="s">
        <v>930</v>
      </c>
      <c r="F75" s="629" t="s">
        <v>650</v>
      </c>
      <c r="G75" s="632" t="s">
        <v>931</v>
      </c>
      <c r="H75" s="236" t="s">
        <v>669</v>
      </c>
      <c r="I75" s="234" t="s">
        <v>932</v>
      </c>
      <c r="J75" s="234"/>
      <c r="K75" s="234">
        <v>0.5</v>
      </c>
      <c r="L75" s="234">
        <v>3</v>
      </c>
      <c r="M75" s="234">
        <f>AVERAGE(K75:L75)</f>
        <v>1.75</v>
      </c>
      <c r="N75" s="234"/>
      <c r="O75" s="632" t="s">
        <v>933</v>
      </c>
      <c r="P75" s="236" t="s">
        <v>173</v>
      </c>
      <c r="Q75" s="269">
        <v>1.4</v>
      </c>
      <c r="R75" s="235" t="s">
        <v>664</v>
      </c>
      <c r="S75" s="270" t="s">
        <v>768</v>
      </c>
      <c r="T75" s="270" t="s">
        <v>768</v>
      </c>
      <c r="U75" s="632" t="s">
        <v>768</v>
      </c>
      <c r="V75" s="317"/>
      <c r="W75" s="317"/>
      <c r="X75" s="317"/>
      <c r="Y75" s="317"/>
      <c r="Z75" s="317"/>
      <c r="AA75" s="317"/>
      <c r="AB75" s="317"/>
      <c r="AC75" s="317"/>
      <c r="AD75" s="317"/>
      <c r="AE75" s="317"/>
      <c r="AF75" s="317"/>
      <c r="AG75" s="317"/>
      <c r="AH75" s="317"/>
      <c r="AI75" s="317"/>
      <c r="AJ75" s="317"/>
      <c r="AK75" s="317"/>
      <c r="AL75" s="317"/>
      <c r="AM75" s="317"/>
      <c r="AN75" s="317"/>
      <c r="AO75" s="317"/>
      <c r="AP75" s="317"/>
      <c r="AQ75" s="317"/>
      <c r="AR75" s="317"/>
      <c r="AS75" s="317"/>
      <c r="AT75" s="317"/>
    </row>
    <row r="76" spans="1:46">
      <c r="C76" s="274"/>
      <c r="J76" s="317"/>
      <c r="K76" s="317"/>
      <c r="L76" s="322"/>
      <c r="M76" s="317"/>
      <c r="N76" s="317"/>
      <c r="O76" s="317"/>
      <c r="P76" s="317"/>
      <c r="Q76" s="317"/>
      <c r="R76" s="317"/>
      <c r="S76" s="317"/>
      <c r="T76" s="317"/>
      <c r="U76" s="317"/>
      <c r="V76" s="317"/>
      <c r="W76" s="317"/>
      <c r="X76" s="317"/>
      <c r="Y76" s="317"/>
      <c r="Z76" s="317"/>
      <c r="AA76" s="317"/>
      <c r="AB76" s="317"/>
      <c r="AC76" s="317"/>
      <c r="AD76" s="317"/>
      <c r="AE76" s="317"/>
      <c r="AF76" s="317"/>
      <c r="AG76" s="317"/>
      <c r="AH76" s="317"/>
      <c r="AI76" s="317"/>
      <c r="AJ76" s="317"/>
      <c r="AK76" s="317"/>
      <c r="AL76" s="317"/>
      <c r="AM76" s="317"/>
      <c r="AN76" s="317"/>
      <c r="AO76" s="317"/>
      <c r="AP76" s="317"/>
      <c r="AQ76" s="317"/>
      <c r="AR76" s="317"/>
      <c r="AS76" s="317"/>
      <c r="AT76" s="317"/>
    </row>
    <row r="77" spans="1:46">
      <c r="C77" s="274"/>
      <c r="J77" s="317"/>
      <c r="K77" s="317"/>
      <c r="L77" s="322"/>
      <c r="M77" s="317"/>
      <c r="N77" s="317"/>
      <c r="O77" s="317"/>
      <c r="P77" s="317"/>
      <c r="Q77" s="317"/>
      <c r="R77" s="317"/>
      <c r="S77" s="317"/>
      <c r="T77" s="317"/>
      <c r="U77" s="317"/>
      <c r="V77" s="317"/>
      <c r="W77" s="317"/>
      <c r="X77" s="317"/>
      <c r="Y77" s="317"/>
      <c r="Z77" s="317"/>
      <c r="AA77" s="317"/>
      <c r="AB77" s="317"/>
      <c r="AC77" s="317"/>
      <c r="AD77" s="317"/>
      <c r="AE77" s="317"/>
      <c r="AF77" s="317"/>
      <c r="AG77" s="317"/>
      <c r="AH77" s="317"/>
      <c r="AI77" s="317"/>
      <c r="AJ77" s="317"/>
      <c r="AK77" s="317"/>
      <c r="AL77" s="317"/>
      <c r="AM77" s="317"/>
      <c r="AN77" s="317"/>
      <c r="AO77" s="317"/>
      <c r="AP77" s="317"/>
      <c r="AQ77" s="317"/>
      <c r="AR77" s="317"/>
      <c r="AS77" s="317"/>
      <c r="AT77" s="317"/>
    </row>
    <row r="78" spans="1:46">
      <c r="C78" s="274"/>
      <c r="J78" s="317"/>
      <c r="K78" s="317"/>
      <c r="L78" s="322"/>
      <c r="M78" s="317"/>
      <c r="N78" s="317"/>
      <c r="O78" s="317"/>
      <c r="P78" s="317"/>
      <c r="Q78" s="317"/>
      <c r="R78" s="317"/>
      <c r="S78" s="317"/>
      <c r="T78" s="317"/>
      <c r="U78" s="317"/>
      <c r="V78" s="317"/>
      <c r="W78" s="317"/>
      <c r="X78" s="317"/>
      <c r="Y78" s="317"/>
      <c r="Z78" s="317"/>
      <c r="AA78" s="317"/>
      <c r="AB78" s="317"/>
      <c r="AC78" s="317"/>
      <c r="AD78" s="317"/>
      <c r="AE78" s="317"/>
      <c r="AF78" s="317"/>
      <c r="AG78" s="317"/>
      <c r="AH78" s="317"/>
      <c r="AI78" s="317"/>
      <c r="AJ78" s="317"/>
      <c r="AK78" s="317"/>
      <c r="AL78" s="317"/>
      <c r="AM78" s="317"/>
      <c r="AN78" s="317"/>
      <c r="AO78" s="317"/>
      <c r="AP78" s="317"/>
      <c r="AQ78" s="317"/>
      <c r="AR78" s="317"/>
      <c r="AS78" s="317"/>
      <c r="AT78" s="317"/>
    </row>
    <row r="79" spans="1:46">
      <c r="C79" s="274"/>
      <c r="J79" s="317"/>
      <c r="K79" s="317"/>
      <c r="L79" s="322"/>
      <c r="M79" s="317"/>
      <c r="N79" s="317"/>
      <c r="O79" s="317"/>
      <c r="P79" s="317"/>
      <c r="Q79" s="317"/>
      <c r="R79" s="317"/>
      <c r="S79" s="317"/>
      <c r="T79" s="317"/>
      <c r="U79" s="317"/>
      <c r="V79" s="317"/>
      <c r="W79" s="317"/>
      <c r="X79" s="317"/>
      <c r="Y79" s="317"/>
      <c r="Z79" s="317"/>
      <c r="AA79" s="317"/>
      <c r="AB79" s="317"/>
      <c r="AC79" s="317"/>
      <c r="AD79" s="317"/>
      <c r="AE79" s="317"/>
      <c r="AF79" s="317"/>
      <c r="AG79" s="317"/>
      <c r="AH79" s="317"/>
      <c r="AI79" s="317"/>
      <c r="AJ79" s="317"/>
      <c r="AK79" s="317"/>
      <c r="AL79" s="317"/>
      <c r="AM79" s="317"/>
      <c r="AN79" s="317"/>
      <c r="AO79" s="317"/>
      <c r="AP79" s="317"/>
      <c r="AQ79" s="317"/>
      <c r="AR79" s="317"/>
      <c r="AS79" s="317"/>
      <c r="AT79" s="317"/>
    </row>
    <row r="80" spans="1:46">
      <c r="C80" s="274"/>
      <c r="J80" s="317"/>
      <c r="K80" s="317"/>
      <c r="L80" s="322"/>
      <c r="M80" s="317"/>
      <c r="N80" s="317"/>
      <c r="O80" s="317"/>
      <c r="P80" s="317"/>
      <c r="Q80" s="317"/>
      <c r="R80" s="317"/>
      <c r="S80" s="317"/>
      <c r="T80" s="317"/>
      <c r="U80" s="317"/>
      <c r="V80" s="317"/>
      <c r="W80" s="317"/>
      <c r="X80" s="317"/>
      <c r="Y80" s="317"/>
      <c r="Z80" s="317"/>
      <c r="AA80" s="317"/>
      <c r="AB80" s="317"/>
      <c r="AC80" s="317"/>
      <c r="AD80" s="317"/>
      <c r="AE80" s="317"/>
      <c r="AF80" s="317"/>
      <c r="AG80" s="317"/>
      <c r="AH80" s="317"/>
      <c r="AI80" s="317"/>
      <c r="AJ80" s="317"/>
      <c r="AK80" s="317"/>
      <c r="AL80" s="317"/>
      <c r="AM80" s="317"/>
      <c r="AN80" s="317"/>
      <c r="AO80" s="317"/>
      <c r="AP80" s="317"/>
      <c r="AQ80" s="317"/>
      <c r="AR80" s="317"/>
      <c r="AS80" s="317"/>
      <c r="AT80" s="317"/>
    </row>
    <row r="81" spans="3:46">
      <c r="C81" s="274"/>
      <c r="J81" s="317"/>
      <c r="K81" s="317"/>
      <c r="L81" s="322"/>
      <c r="M81" s="317"/>
      <c r="N81" s="317"/>
      <c r="O81" s="317"/>
      <c r="P81" s="317"/>
      <c r="Q81" s="317"/>
      <c r="R81" s="317"/>
      <c r="S81" s="317"/>
      <c r="T81" s="317"/>
      <c r="U81" s="317"/>
      <c r="V81" s="317"/>
      <c r="W81" s="317"/>
      <c r="X81" s="317"/>
      <c r="Y81" s="317"/>
      <c r="Z81" s="317"/>
      <c r="AA81" s="317"/>
      <c r="AB81" s="317"/>
      <c r="AC81" s="317"/>
      <c r="AD81" s="317"/>
      <c r="AE81" s="317"/>
      <c r="AF81" s="317"/>
      <c r="AG81" s="317"/>
      <c r="AH81" s="317"/>
      <c r="AI81" s="317"/>
      <c r="AJ81" s="317"/>
      <c r="AK81" s="317"/>
      <c r="AL81" s="317"/>
      <c r="AM81" s="317"/>
      <c r="AN81" s="317"/>
      <c r="AO81" s="317"/>
      <c r="AP81" s="317"/>
      <c r="AQ81" s="317"/>
      <c r="AR81" s="317"/>
      <c r="AS81" s="317"/>
      <c r="AT81" s="317"/>
    </row>
    <row r="82" spans="3:46">
      <c r="C82" s="274"/>
      <c r="J82" s="317"/>
      <c r="K82" s="317"/>
      <c r="L82" s="322"/>
      <c r="M82" s="317"/>
      <c r="N82" s="317"/>
      <c r="O82" s="317"/>
      <c r="P82" s="317"/>
      <c r="Q82" s="317"/>
      <c r="R82" s="317"/>
      <c r="S82" s="317"/>
      <c r="T82" s="317"/>
      <c r="U82" s="317"/>
      <c r="V82" s="317"/>
      <c r="W82" s="317"/>
      <c r="X82" s="317"/>
      <c r="Y82" s="317"/>
      <c r="Z82" s="317"/>
      <c r="AA82" s="317"/>
      <c r="AB82" s="317"/>
      <c r="AC82" s="317"/>
      <c r="AD82" s="317"/>
      <c r="AE82" s="317"/>
      <c r="AF82" s="317"/>
      <c r="AG82" s="317"/>
      <c r="AH82" s="317"/>
      <c r="AI82" s="317"/>
      <c r="AJ82" s="317"/>
      <c r="AK82" s="317"/>
      <c r="AL82" s="317"/>
      <c r="AM82" s="317"/>
      <c r="AN82" s="317"/>
      <c r="AO82" s="317"/>
      <c r="AP82" s="317"/>
      <c r="AQ82" s="317"/>
      <c r="AR82" s="317"/>
      <c r="AS82" s="317"/>
      <c r="AT82" s="317"/>
    </row>
    <row r="83" spans="3:46">
      <c r="C83" s="274"/>
    </row>
    <row r="84" spans="3:46">
      <c r="C84" s="274"/>
    </row>
    <row r="85" spans="3:46">
      <c r="C85" s="274"/>
    </row>
    <row r="86" spans="3:46">
      <c r="C86" s="274"/>
    </row>
    <row r="87" spans="3:46">
      <c r="C87" s="274"/>
    </row>
    <row r="88" spans="3:46">
      <c r="C88" s="274"/>
    </row>
    <row r="89" spans="3:46">
      <c r="C89" s="274"/>
    </row>
    <row r="90" spans="3:46">
      <c r="C90" s="274"/>
    </row>
    <row r="91" spans="3:46">
      <c r="C91" s="274"/>
    </row>
    <row r="92" spans="3:46">
      <c r="C92" s="274"/>
    </row>
    <row r="93" spans="3:46">
      <c r="C93" s="274"/>
    </row>
    <row r="94" spans="3:46">
      <c r="C94" s="274"/>
    </row>
    <row r="95" spans="3:46">
      <c r="C95" s="274"/>
    </row>
    <row r="96" spans="3:46">
      <c r="C96" s="274"/>
    </row>
    <row r="97" spans="1:46">
      <c r="C97" s="274"/>
    </row>
    <row r="98" spans="1:46" s="667" customFormat="1">
      <c r="A98" s="227"/>
      <c r="B98" s="227"/>
      <c r="C98" s="274"/>
      <c r="E98" s="618"/>
      <c r="F98" s="671"/>
      <c r="G98" s="229"/>
      <c r="H98" s="229"/>
      <c r="I98" s="229"/>
      <c r="J98" s="229"/>
      <c r="K98" s="229"/>
      <c r="M98" s="618"/>
      <c r="N98" s="671"/>
      <c r="O98" s="671"/>
      <c r="P98" s="618"/>
      <c r="Q98" s="618"/>
      <c r="R98" s="618"/>
      <c r="S98" s="618"/>
      <c r="T98" s="671"/>
      <c r="U98" s="671"/>
      <c r="V98" s="671"/>
      <c r="W98" s="671"/>
      <c r="X98" s="671"/>
      <c r="Y98" s="671"/>
      <c r="Z98" s="671"/>
      <c r="AA98" s="671"/>
      <c r="AB98" s="671"/>
      <c r="AC98" s="671"/>
      <c r="AD98" s="671"/>
      <c r="AE98" s="671"/>
      <c r="AF98" s="671"/>
      <c r="AG98" s="671"/>
      <c r="AH98" s="671"/>
      <c r="AI98" s="671"/>
      <c r="AJ98" s="671"/>
      <c r="AK98" s="671"/>
      <c r="AL98" s="671"/>
      <c r="AM98" s="671"/>
      <c r="AN98" s="671"/>
      <c r="AO98" s="671"/>
      <c r="AP98" s="671"/>
      <c r="AQ98" s="671"/>
      <c r="AR98" s="671"/>
      <c r="AS98" s="671"/>
      <c r="AT98" s="671"/>
    </row>
    <row r="99" spans="1:46" s="667" customFormat="1">
      <c r="A99" s="227"/>
      <c r="B99" s="227"/>
      <c r="C99" s="274"/>
      <c r="E99" s="618"/>
      <c r="F99" s="671"/>
      <c r="G99" s="229"/>
      <c r="H99" s="229"/>
      <c r="I99" s="229"/>
      <c r="J99" s="229"/>
      <c r="K99" s="229"/>
      <c r="M99" s="618"/>
      <c r="N99" s="671"/>
      <c r="O99" s="671"/>
      <c r="P99" s="618"/>
      <c r="Q99" s="618"/>
      <c r="R99" s="618"/>
      <c r="S99" s="618"/>
      <c r="T99" s="671"/>
      <c r="U99" s="671"/>
      <c r="V99" s="671"/>
      <c r="W99" s="671"/>
      <c r="X99" s="671"/>
      <c r="Y99" s="671"/>
      <c r="Z99" s="671"/>
      <c r="AA99" s="671"/>
      <c r="AB99" s="671"/>
      <c r="AC99" s="671"/>
      <c r="AD99" s="671"/>
      <c r="AE99" s="671"/>
      <c r="AF99" s="671"/>
      <c r="AG99" s="671"/>
      <c r="AH99" s="671"/>
      <c r="AI99" s="671"/>
      <c r="AJ99" s="671"/>
      <c r="AK99" s="671"/>
      <c r="AL99" s="671"/>
      <c r="AM99" s="671"/>
      <c r="AN99" s="671"/>
      <c r="AO99" s="671"/>
      <c r="AP99" s="671"/>
      <c r="AQ99" s="671"/>
      <c r="AR99" s="671"/>
      <c r="AS99" s="671"/>
      <c r="AT99" s="671"/>
    </row>
    <row r="100" spans="1:46" s="667" customFormat="1">
      <c r="A100" s="227"/>
      <c r="B100" s="227"/>
      <c r="C100" s="274"/>
      <c r="E100" s="618"/>
      <c r="F100" s="671"/>
      <c r="G100" s="229"/>
      <c r="H100" s="229"/>
      <c r="I100" s="229"/>
      <c r="J100" s="229"/>
      <c r="K100" s="229"/>
      <c r="M100" s="618"/>
      <c r="N100" s="671"/>
      <c r="O100" s="671"/>
      <c r="P100" s="618"/>
      <c r="Q100" s="618"/>
      <c r="R100" s="618"/>
      <c r="S100" s="618"/>
      <c r="T100" s="671"/>
      <c r="U100" s="671"/>
      <c r="V100" s="671"/>
      <c r="W100" s="671"/>
      <c r="X100" s="671"/>
      <c r="Y100" s="671"/>
      <c r="Z100" s="671"/>
      <c r="AA100" s="671"/>
      <c r="AB100" s="671"/>
      <c r="AC100" s="671"/>
      <c r="AD100" s="671"/>
      <c r="AE100" s="671"/>
      <c r="AF100" s="671"/>
      <c r="AG100" s="671"/>
      <c r="AH100" s="671"/>
      <c r="AI100" s="671"/>
      <c r="AJ100" s="671"/>
      <c r="AK100" s="671"/>
      <c r="AL100" s="671"/>
      <c r="AM100" s="671"/>
      <c r="AN100" s="671"/>
      <c r="AO100" s="671"/>
      <c r="AP100" s="671"/>
      <c r="AQ100" s="671"/>
      <c r="AR100" s="671"/>
      <c r="AS100" s="671"/>
      <c r="AT100" s="671"/>
    </row>
    <row r="101" spans="1:46" s="667" customFormat="1">
      <c r="A101" s="227"/>
      <c r="B101" s="227"/>
      <c r="C101" s="274"/>
      <c r="E101" s="618"/>
      <c r="F101" s="671"/>
      <c r="G101" s="229"/>
      <c r="H101" s="229"/>
      <c r="I101" s="229"/>
      <c r="J101" s="229"/>
      <c r="K101" s="229"/>
      <c r="M101" s="618"/>
      <c r="N101" s="671"/>
      <c r="O101" s="671"/>
      <c r="P101" s="618"/>
      <c r="Q101" s="618"/>
      <c r="R101" s="618"/>
      <c r="S101" s="618"/>
      <c r="T101" s="671"/>
      <c r="U101" s="671"/>
      <c r="V101" s="671"/>
      <c r="W101" s="671"/>
      <c r="X101" s="671"/>
      <c r="Y101" s="671"/>
      <c r="Z101" s="671"/>
      <c r="AA101" s="671"/>
      <c r="AB101" s="671"/>
      <c r="AC101" s="671"/>
      <c r="AD101" s="671"/>
      <c r="AE101" s="671"/>
      <c r="AF101" s="671"/>
      <c r="AG101" s="671"/>
      <c r="AH101" s="671"/>
      <c r="AI101" s="671"/>
      <c r="AJ101" s="671"/>
      <c r="AK101" s="671"/>
      <c r="AL101" s="671"/>
      <c r="AM101" s="671"/>
      <c r="AN101" s="671"/>
      <c r="AO101" s="671"/>
      <c r="AP101" s="671"/>
      <c r="AQ101" s="671"/>
      <c r="AR101" s="671"/>
      <c r="AS101" s="671"/>
      <c r="AT101" s="671"/>
    </row>
    <row r="102" spans="1:46" s="667" customFormat="1">
      <c r="A102" s="227"/>
      <c r="B102" s="227"/>
      <c r="C102" s="274"/>
      <c r="E102" s="618"/>
      <c r="F102" s="671"/>
      <c r="G102" s="229"/>
      <c r="H102" s="229"/>
      <c r="I102" s="229"/>
      <c r="J102" s="229"/>
      <c r="K102" s="229"/>
      <c r="M102" s="618"/>
      <c r="N102" s="671"/>
      <c r="O102" s="671"/>
      <c r="P102" s="618"/>
      <c r="Q102" s="618"/>
      <c r="R102" s="618"/>
      <c r="S102" s="618"/>
      <c r="T102" s="671"/>
      <c r="U102" s="671"/>
      <c r="V102" s="671"/>
      <c r="W102" s="671"/>
      <c r="X102" s="671"/>
      <c r="Y102" s="671"/>
      <c r="Z102" s="671"/>
      <c r="AA102" s="671"/>
      <c r="AB102" s="671"/>
      <c r="AC102" s="671"/>
      <c r="AD102" s="671"/>
      <c r="AE102" s="671"/>
      <c r="AF102" s="671"/>
      <c r="AG102" s="671"/>
      <c r="AH102" s="671"/>
      <c r="AI102" s="671"/>
      <c r="AJ102" s="671"/>
      <c r="AK102" s="671"/>
      <c r="AL102" s="671"/>
      <c r="AM102" s="671"/>
      <c r="AN102" s="671"/>
      <c r="AO102" s="671"/>
      <c r="AP102" s="671"/>
      <c r="AQ102" s="671"/>
      <c r="AR102" s="671"/>
      <c r="AS102" s="671"/>
      <c r="AT102" s="671"/>
    </row>
    <row r="103" spans="1:46" s="667" customFormat="1">
      <c r="A103" s="227"/>
      <c r="B103" s="227"/>
      <c r="C103" s="274"/>
      <c r="E103" s="618"/>
      <c r="F103" s="671"/>
      <c r="G103" s="229"/>
      <c r="H103" s="229"/>
      <c r="I103" s="229"/>
      <c r="J103" s="229"/>
      <c r="K103" s="229"/>
      <c r="M103" s="618"/>
      <c r="N103" s="671"/>
      <c r="O103" s="671"/>
      <c r="P103" s="618"/>
      <c r="Q103" s="618"/>
      <c r="R103" s="618"/>
      <c r="S103" s="618"/>
      <c r="T103" s="671"/>
      <c r="U103" s="671"/>
      <c r="V103" s="671"/>
      <c r="W103" s="671"/>
      <c r="X103" s="671"/>
      <c r="Y103" s="671"/>
      <c r="Z103" s="671"/>
      <c r="AA103" s="671"/>
      <c r="AB103" s="671"/>
      <c r="AC103" s="671"/>
      <c r="AD103" s="671"/>
      <c r="AE103" s="671"/>
      <c r="AF103" s="671"/>
      <c r="AG103" s="671"/>
      <c r="AH103" s="671"/>
      <c r="AI103" s="671"/>
      <c r="AJ103" s="671"/>
      <c r="AK103" s="671"/>
      <c r="AL103" s="671"/>
      <c r="AM103" s="671"/>
      <c r="AN103" s="671"/>
      <c r="AO103" s="671"/>
      <c r="AP103" s="671"/>
      <c r="AQ103" s="671"/>
      <c r="AR103" s="671"/>
      <c r="AS103" s="671"/>
      <c r="AT103" s="671"/>
    </row>
    <row r="104" spans="1:46" s="667" customFormat="1">
      <c r="A104" s="227"/>
      <c r="B104" s="227"/>
      <c r="C104" s="274"/>
      <c r="E104" s="618"/>
      <c r="F104" s="671"/>
      <c r="G104" s="229"/>
      <c r="H104" s="229"/>
      <c r="I104" s="229"/>
      <c r="J104" s="229"/>
      <c r="K104" s="229"/>
      <c r="M104" s="618"/>
      <c r="N104" s="671"/>
      <c r="O104" s="671"/>
      <c r="P104" s="618"/>
      <c r="Q104" s="618"/>
      <c r="R104" s="618"/>
      <c r="S104" s="618"/>
      <c r="T104" s="671"/>
      <c r="U104" s="671"/>
      <c r="V104" s="671"/>
      <c r="W104" s="671"/>
      <c r="X104" s="671"/>
      <c r="Y104" s="671"/>
      <c r="Z104" s="671"/>
      <c r="AA104" s="671"/>
      <c r="AB104" s="671"/>
      <c r="AC104" s="671"/>
      <c r="AD104" s="671"/>
      <c r="AE104" s="671"/>
      <c r="AF104" s="671"/>
      <c r="AG104" s="671"/>
      <c r="AH104" s="671"/>
      <c r="AI104" s="671"/>
      <c r="AJ104" s="671"/>
      <c r="AK104" s="671"/>
      <c r="AL104" s="671"/>
      <c r="AM104" s="671"/>
      <c r="AN104" s="671"/>
      <c r="AO104" s="671"/>
      <c r="AP104" s="671"/>
      <c r="AQ104" s="671"/>
      <c r="AR104" s="671"/>
      <c r="AS104" s="671"/>
      <c r="AT104" s="671"/>
    </row>
    <row r="105" spans="1:46" s="667" customFormat="1">
      <c r="A105" s="227"/>
      <c r="B105" s="227"/>
      <c r="C105" s="274"/>
      <c r="E105" s="618"/>
      <c r="F105" s="671"/>
      <c r="G105" s="229"/>
      <c r="H105" s="229"/>
      <c r="I105" s="229"/>
      <c r="J105" s="229"/>
      <c r="K105" s="229"/>
      <c r="M105" s="618"/>
      <c r="N105" s="671"/>
      <c r="O105" s="671"/>
      <c r="P105" s="618"/>
      <c r="Q105" s="618"/>
      <c r="R105" s="618"/>
      <c r="S105" s="618"/>
      <c r="T105" s="671"/>
      <c r="U105" s="671"/>
      <c r="V105" s="671"/>
      <c r="W105" s="671"/>
      <c r="X105" s="671"/>
      <c r="Y105" s="671"/>
      <c r="Z105" s="671"/>
      <c r="AA105" s="671"/>
      <c r="AB105" s="671"/>
      <c r="AC105" s="671"/>
      <c r="AD105" s="671"/>
      <c r="AE105" s="671"/>
      <c r="AF105" s="671"/>
      <c r="AG105" s="671"/>
      <c r="AH105" s="671"/>
      <c r="AI105" s="671"/>
      <c r="AJ105" s="671"/>
      <c r="AK105" s="671"/>
      <c r="AL105" s="671"/>
      <c r="AM105" s="671"/>
      <c r="AN105" s="671"/>
      <c r="AO105" s="671"/>
      <c r="AP105" s="671"/>
      <c r="AQ105" s="671"/>
      <c r="AR105" s="671"/>
      <c r="AS105" s="671"/>
      <c r="AT105" s="671"/>
    </row>
    <row r="106" spans="1:46" s="667" customFormat="1">
      <c r="A106" s="227"/>
      <c r="B106" s="227"/>
      <c r="C106" s="274"/>
      <c r="E106" s="618"/>
      <c r="F106" s="671"/>
      <c r="G106" s="229"/>
      <c r="H106" s="229"/>
      <c r="I106" s="229"/>
      <c r="J106" s="229"/>
      <c r="K106" s="229"/>
      <c r="M106" s="618"/>
      <c r="N106" s="671"/>
      <c r="O106" s="671"/>
      <c r="P106" s="618"/>
      <c r="Q106" s="618"/>
      <c r="R106" s="618"/>
      <c r="S106" s="618"/>
      <c r="T106" s="671"/>
      <c r="U106" s="671"/>
      <c r="V106" s="671"/>
      <c r="W106" s="671"/>
      <c r="X106" s="671"/>
      <c r="Y106" s="671"/>
      <c r="Z106" s="671"/>
      <c r="AA106" s="671"/>
      <c r="AB106" s="671"/>
      <c r="AC106" s="671"/>
      <c r="AD106" s="671"/>
      <c r="AE106" s="671"/>
      <c r="AF106" s="671"/>
      <c r="AG106" s="671"/>
      <c r="AH106" s="671"/>
      <c r="AI106" s="671"/>
      <c r="AJ106" s="671"/>
      <c r="AK106" s="671"/>
      <c r="AL106" s="671"/>
      <c r="AM106" s="671"/>
      <c r="AN106" s="671"/>
      <c r="AO106" s="671"/>
      <c r="AP106" s="671"/>
      <c r="AQ106" s="671"/>
      <c r="AR106" s="671"/>
      <c r="AS106" s="671"/>
      <c r="AT106" s="671"/>
    </row>
    <row r="107" spans="1:46" s="667" customFormat="1">
      <c r="A107" s="227"/>
      <c r="B107" s="227"/>
      <c r="C107" s="274"/>
      <c r="E107" s="618"/>
      <c r="F107" s="671"/>
      <c r="G107" s="229"/>
      <c r="H107" s="229"/>
      <c r="I107" s="229"/>
      <c r="J107" s="229"/>
      <c r="K107" s="229"/>
      <c r="M107" s="618"/>
      <c r="N107" s="671"/>
      <c r="O107" s="671"/>
      <c r="P107" s="618"/>
      <c r="Q107" s="618"/>
      <c r="R107" s="618"/>
      <c r="S107" s="618"/>
      <c r="T107" s="671"/>
      <c r="U107" s="671"/>
      <c r="V107" s="671"/>
      <c r="W107" s="671"/>
      <c r="X107" s="671"/>
      <c r="Y107" s="671"/>
      <c r="Z107" s="671"/>
      <c r="AA107" s="671"/>
      <c r="AB107" s="671"/>
      <c r="AC107" s="671"/>
      <c r="AD107" s="671"/>
      <c r="AE107" s="671"/>
      <c r="AF107" s="671"/>
      <c r="AG107" s="671"/>
      <c r="AH107" s="671"/>
      <c r="AI107" s="671"/>
      <c r="AJ107" s="671"/>
      <c r="AK107" s="671"/>
      <c r="AL107" s="671"/>
      <c r="AM107" s="671"/>
      <c r="AN107" s="671"/>
      <c r="AO107" s="671"/>
      <c r="AP107" s="671"/>
      <c r="AQ107" s="671"/>
      <c r="AR107" s="671"/>
      <c r="AS107" s="671"/>
      <c r="AT107" s="671"/>
    </row>
    <row r="108" spans="1:46" s="667" customFormat="1">
      <c r="A108" s="227"/>
      <c r="B108" s="227"/>
      <c r="C108" s="274"/>
      <c r="E108" s="618"/>
      <c r="F108" s="671"/>
      <c r="G108" s="229"/>
      <c r="H108" s="229"/>
      <c r="I108" s="229"/>
      <c r="J108" s="229"/>
      <c r="K108" s="229"/>
      <c r="M108" s="618"/>
      <c r="N108" s="671"/>
      <c r="O108" s="671"/>
      <c r="P108" s="618"/>
      <c r="Q108" s="618"/>
      <c r="R108" s="618"/>
      <c r="S108" s="618"/>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row>
    <row r="109" spans="1:46" s="667" customFormat="1">
      <c r="A109" s="227"/>
      <c r="B109" s="227"/>
      <c r="C109" s="274"/>
      <c r="E109" s="618"/>
      <c r="F109" s="671"/>
      <c r="G109" s="229"/>
      <c r="H109" s="229"/>
      <c r="I109" s="229"/>
      <c r="J109" s="229"/>
      <c r="K109" s="229"/>
      <c r="M109" s="618"/>
      <c r="N109" s="671"/>
      <c r="O109" s="671"/>
      <c r="P109" s="618"/>
      <c r="Q109" s="618"/>
      <c r="R109" s="618"/>
      <c r="S109" s="618"/>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row>
    <row r="110" spans="1:46" s="667" customFormat="1">
      <c r="A110" s="227"/>
      <c r="B110" s="227"/>
      <c r="C110" s="274"/>
      <c r="E110" s="618"/>
      <c r="F110" s="671"/>
      <c r="G110" s="229"/>
      <c r="H110" s="229"/>
      <c r="I110" s="229"/>
      <c r="J110" s="229"/>
      <c r="K110" s="229"/>
      <c r="M110" s="618"/>
      <c r="N110" s="671"/>
      <c r="O110" s="671"/>
      <c r="P110" s="618"/>
      <c r="Q110" s="618"/>
      <c r="R110" s="618"/>
      <c r="S110" s="618"/>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row>
    <row r="111" spans="1:46" s="667" customFormat="1">
      <c r="A111" s="227"/>
      <c r="B111" s="227"/>
      <c r="C111" s="274"/>
      <c r="E111" s="618"/>
      <c r="F111" s="671"/>
      <c r="G111" s="229"/>
      <c r="H111" s="229"/>
      <c r="I111" s="229"/>
      <c r="J111" s="229"/>
      <c r="K111" s="229"/>
      <c r="M111" s="618"/>
      <c r="N111" s="671"/>
      <c r="O111" s="671"/>
      <c r="P111" s="618"/>
      <c r="Q111" s="618"/>
      <c r="R111" s="618"/>
      <c r="S111" s="618"/>
      <c r="T111" s="671"/>
      <c r="U111" s="671"/>
      <c r="V111" s="671"/>
      <c r="W111" s="671"/>
      <c r="X111" s="671"/>
      <c r="Y111" s="671"/>
      <c r="Z111" s="671"/>
      <c r="AA111" s="671"/>
      <c r="AB111" s="671"/>
      <c r="AC111" s="671"/>
      <c r="AD111" s="671"/>
      <c r="AE111" s="671"/>
      <c r="AF111" s="671"/>
      <c r="AG111" s="671"/>
      <c r="AH111" s="671"/>
      <c r="AI111" s="671"/>
      <c r="AJ111" s="671"/>
      <c r="AK111" s="671"/>
      <c r="AL111" s="671"/>
      <c r="AM111" s="671"/>
      <c r="AN111" s="671"/>
      <c r="AO111" s="671"/>
      <c r="AP111" s="671"/>
      <c r="AQ111" s="671"/>
      <c r="AR111" s="671"/>
      <c r="AS111" s="671"/>
      <c r="AT111" s="671"/>
    </row>
    <row r="112" spans="1:46" s="667" customFormat="1">
      <c r="A112" s="227"/>
      <c r="B112" s="227"/>
      <c r="C112" s="274"/>
      <c r="E112" s="618"/>
      <c r="F112" s="671"/>
      <c r="G112" s="229"/>
      <c r="H112" s="229"/>
      <c r="I112" s="229"/>
      <c r="J112" s="229"/>
      <c r="K112" s="229"/>
      <c r="M112" s="618"/>
      <c r="N112" s="671"/>
      <c r="O112" s="671"/>
      <c r="P112" s="618"/>
      <c r="Q112" s="618"/>
      <c r="R112" s="618"/>
      <c r="S112" s="618"/>
      <c r="T112" s="671"/>
      <c r="U112" s="671"/>
      <c r="V112" s="671"/>
      <c r="W112" s="671"/>
      <c r="X112" s="671"/>
      <c r="Y112" s="671"/>
      <c r="Z112" s="671"/>
      <c r="AA112" s="671"/>
      <c r="AB112" s="671"/>
      <c r="AC112" s="671"/>
      <c r="AD112" s="671"/>
      <c r="AE112" s="671"/>
      <c r="AF112" s="671"/>
      <c r="AG112" s="671"/>
      <c r="AH112" s="671"/>
      <c r="AI112" s="671"/>
      <c r="AJ112" s="671"/>
      <c r="AK112" s="671"/>
      <c r="AL112" s="671"/>
      <c r="AM112" s="671"/>
      <c r="AN112" s="671"/>
      <c r="AO112" s="671"/>
      <c r="AP112" s="671"/>
      <c r="AQ112" s="671"/>
      <c r="AR112" s="671"/>
      <c r="AS112" s="671"/>
      <c r="AT112" s="671"/>
    </row>
    <row r="113" spans="1:46" s="667" customFormat="1">
      <c r="A113" s="227"/>
      <c r="B113" s="227"/>
      <c r="C113" s="274"/>
      <c r="E113" s="618"/>
      <c r="F113" s="671"/>
      <c r="G113" s="229"/>
      <c r="H113" s="229"/>
      <c r="I113" s="229"/>
      <c r="J113" s="229"/>
      <c r="K113" s="229"/>
      <c r="M113" s="618"/>
      <c r="N113" s="671"/>
      <c r="O113" s="671"/>
      <c r="P113" s="618"/>
      <c r="Q113" s="618"/>
      <c r="R113" s="618"/>
      <c r="S113" s="618"/>
      <c r="T113" s="671"/>
      <c r="U113" s="671"/>
      <c r="V113" s="671"/>
      <c r="W113" s="671"/>
      <c r="X113" s="671"/>
      <c r="Y113" s="671"/>
      <c r="Z113" s="671"/>
      <c r="AA113" s="671"/>
      <c r="AB113" s="671"/>
      <c r="AC113" s="671"/>
      <c r="AD113" s="671"/>
      <c r="AE113" s="671"/>
      <c r="AF113" s="671"/>
      <c r="AG113" s="671"/>
      <c r="AH113" s="671"/>
      <c r="AI113" s="671"/>
      <c r="AJ113" s="671"/>
      <c r="AK113" s="671"/>
      <c r="AL113" s="671"/>
      <c r="AM113" s="671"/>
      <c r="AN113" s="671"/>
      <c r="AO113" s="671"/>
      <c r="AP113" s="671"/>
      <c r="AQ113" s="671"/>
      <c r="AR113" s="671"/>
      <c r="AS113" s="671"/>
      <c r="AT113" s="671"/>
    </row>
    <row r="114" spans="1:46" s="667" customFormat="1">
      <c r="A114" s="227"/>
      <c r="B114" s="227"/>
      <c r="C114" s="274"/>
      <c r="E114" s="618"/>
      <c r="F114" s="671"/>
      <c r="G114" s="229"/>
      <c r="H114" s="229"/>
      <c r="I114" s="229"/>
      <c r="J114" s="229"/>
      <c r="K114" s="229"/>
      <c r="M114" s="618"/>
      <c r="N114" s="671"/>
      <c r="O114" s="671"/>
      <c r="P114" s="618"/>
      <c r="Q114" s="618"/>
      <c r="R114" s="618"/>
      <c r="S114" s="618"/>
      <c r="T114" s="671"/>
      <c r="U114" s="671"/>
      <c r="V114" s="671"/>
      <c r="W114" s="671"/>
      <c r="X114" s="671"/>
      <c r="Y114" s="671"/>
      <c r="Z114" s="671"/>
      <c r="AA114" s="671"/>
      <c r="AB114" s="671"/>
      <c r="AC114" s="671"/>
      <c r="AD114" s="671"/>
      <c r="AE114" s="671"/>
      <c r="AF114" s="671"/>
      <c r="AG114" s="671"/>
      <c r="AH114" s="671"/>
      <c r="AI114" s="671"/>
      <c r="AJ114" s="671"/>
      <c r="AK114" s="671"/>
      <c r="AL114" s="671"/>
      <c r="AM114" s="671"/>
      <c r="AN114" s="671"/>
      <c r="AO114" s="671"/>
      <c r="AP114" s="671"/>
      <c r="AQ114" s="671"/>
      <c r="AR114" s="671"/>
      <c r="AS114" s="671"/>
      <c r="AT114" s="671"/>
    </row>
    <row r="115" spans="1:46" s="667" customFormat="1">
      <c r="A115" s="227"/>
      <c r="B115" s="227"/>
      <c r="C115" s="274"/>
      <c r="E115" s="618"/>
      <c r="F115" s="671"/>
      <c r="G115" s="229"/>
      <c r="H115" s="229"/>
      <c r="I115" s="229"/>
      <c r="J115" s="229"/>
      <c r="K115" s="229"/>
      <c r="M115" s="618"/>
      <c r="N115" s="671"/>
      <c r="O115" s="671"/>
      <c r="P115" s="618"/>
      <c r="Q115" s="618"/>
      <c r="R115" s="618"/>
      <c r="S115" s="618"/>
      <c r="T115" s="671"/>
      <c r="U115" s="671"/>
      <c r="V115" s="671"/>
      <c r="W115" s="671"/>
      <c r="X115" s="671"/>
      <c r="Y115" s="671"/>
      <c r="Z115" s="671"/>
      <c r="AA115" s="671"/>
      <c r="AB115" s="671"/>
      <c r="AC115" s="671"/>
      <c r="AD115" s="671"/>
      <c r="AE115" s="671"/>
      <c r="AF115" s="671"/>
      <c r="AG115" s="671"/>
      <c r="AH115" s="671"/>
      <c r="AI115" s="671"/>
      <c r="AJ115" s="671"/>
      <c r="AK115" s="671"/>
      <c r="AL115" s="671"/>
      <c r="AM115" s="671"/>
      <c r="AN115" s="671"/>
      <c r="AO115" s="671"/>
      <c r="AP115" s="671"/>
      <c r="AQ115" s="671"/>
      <c r="AR115" s="671"/>
      <c r="AS115" s="671"/>
      <c r="AT115" s="671"/>
    </row>
    <row r="116" spans="1:46" s="667" customFormat="1">
      <c r="A116" s="227"/>
      <c r="B116" s="227"/>
      <c r="C116" s="274"/>
      <c r="E116" s="618"/>
      <c r="F116" s="671"/>
      <c r="G116" s="229"/>
      <c r="H116" s="229"/>
      <c r="I116" s="229"/>
      <c r="J116" s="229"/>
      <c r="K116" s="229"/>
      <c r="M116" s="618"/>
      <c r="N116" s="671"/>
      <c r="O116" s="671"/>
      <c r="P116" s="618"/>
      <c r="Q116" s="618"/>
      <c r="R116" s="618"/>
      <c r="S116" s="618"/>
      <c r="T116" s="671"/>
      <c r="U116" s="671"/>
      <c r="V116" s="671"/>
      <c r="W116" s="671"/>
      <c r="X116" s="671"/>
      <c r="Y116" s="671"/>
      <c r="Z116" s="671"/>
      <c r="AA116" s="671"/>
      <c r="AB116" s="671"/>
      <c r="AC116" s="671"/>
      <c r="AD116" s="671"/>
      <c r="AE116" s="671"/>
      <c r="AF116" s="671"/>
      <c r="AG116" s="671"/>
      <c r="AH116" s="671"/>
      <c r="AI116" s="671"/>
      <c r="AJ116" s="671"/>
      <c r="AK116" s="671"/>
      <c r="AL116" s="671"/>
      <c r="AM116" s="671"/>
      <c r="AN116" s="671"/>
      <c r="AO116" s="671"/>
      <c r="AP116" s="671"/>
      <c r="AQ116" s="671"/>
      <c r="AR116" s="671"/>
      <c r="AS116" s="671"/>
      <c r="AT116" s="671"/>
    </row>
    <row r="117" spans="1:46" s="667" customFormat="1">
      <c r="A117" s="227"/>
      <c r="B117" s="227"/>
      <c r="C117" s="274"/>
      <c r="E117" s="618"/>
      <c r="F117" s="671"/>
      <c r="G117" s="229"/>
      <c r="H117" s="229"/>
      <c r="I117" s="229"/>
      <c r="J117" s="229"/>
      <c r="K117" s="229"/>
      <c r="M117" s="618"/>
      <c r="N117" s="671"/>
      <c r="O117" s="671"/>
      <c r="P117" s="618"/>
      <c r="Q117" s="618"/>
      <c r="R117" s="618"/>
      <c r="S117" s="618"/>
      <c r="T117" s="671"/>
      <c r="U117" s="671"/>
      <c r="V117" s="671"/>
      <c r="W117" s="671"/>
      <c r="X117" s="671"/>
      <c r="Y117" s="671"/>
      <c r="Z117" s="671"/>
      <c r="AA117" s="671"/>
      <c r="AB117" s="671"/>
      <c r="AC117" s="671"/>
      <c r="AD117" s="671"/>
      <c r="AE117" s="671"/>
      <c r="AF117" s="671"/>
      <c r="AG117" s="671"/>
      <c r="AH117" s="671"/>
      <c r="AI117" s="671"/>
      <c r="AJ117" s="671"/>
      <c r="AK117" s="671"/>
      <c r="AL117" s="671"/>
      <c r="AM117" s="671"/>
      <c r="AN117" s="671"/>
      <c r="AO117" s="671"/>
      <c r="AP117" s="671"/>
      <c r="AQ117" s="671"/>
      <c r="AR117" s="671"/>
      <c r="AS117" s="671"/>
      <c r="AT117" s="671"/>
    </row>
    <row r="118" spans="1:46" s="667" customFormat="1">
      <c r="A118" s="227"/>
      <c r="B118" s="227"/>
      <c r="C118" s="274"/>
      <c r="E118" s="618"/>
      <c r="F118" s="671"/>
      <c r="G118" s="229"/>
      <c r="H118" s="229"/>
      <c r="I118" s="229"/>
      <c r="J118" s="229"/>
      <c r="K118" s="229"/>
      <c r="M118" s="618"/>
      <c r="N118" s="671"/>
      <c r="O118" s="671"/>
      <c r="P118" s="618"/>
      <c r="Q118" s="618"/>
      <c r="R118" s="618"/>
      <c r="S118" s="618"/>
      <c r="T118" s="671"/>
      <c r="U118" s="671"/>
      <c r="V118" s="671"/>
      <c r="W118" s="671"/>
      <c r="X118" s="671"/>
      <c r="Y118" s="671"/>
      <c r="Z118" s="671"/>
      <c r="AA118" s="671"/>
      <c r="AB118" s="671"/>
      <c r="AC118" s="671"/>
      <c r="AD118" s="671"/>
      <c r="AE118" s="671"/>
      <c r="AF118" s="671"/>
      <c r="AG118" s="671"/>
      <c r="AH118" s="671"/>
      <c r="AI118" s="671"/>
      <c r="AJ118" s="671"/>
      <c r="AK118" s="671"/>
      <c r="AL118" s="671"/>
      <c r="AM118" s="671"/>
      <c r="AN118" s="671"/>
      <c r="AO118" s="671"/>
      <c r="AP118" s="671"/>
      <c r="AQ118" s="671"/>
      <c r="AR118" s="671"/>
      <c r="AS118" s="671"/>
      <c r="AT118" s="671"/>
    </row>
    <row r="119" spans="1:46" s="667" customFormat="1">
      <c r="A119" s="227"/>
      <c r="B119" s="227"/>
      <c r="C119" s="274"/>
      <c r="E119" s="618"/>
      <c r="F119" s="671"/>
      <c r="G119" s="229"/>
      <c r="H119" s="229"/>
      <c r="I119" s="229"/>
      <c r="J119" s="229"/>
      <c r="K119" s="229"/>
      <c r="M119" s="618"/>
      <c r="N119" s="671"/>
      <c r="O119" s="671"/>
      <c r="P119" s="618"/>
      <c r="Q119" s="618"/>
      <c r="R119" s="618"/>
      <c r="S119" s="618"/>
      <c r="T119" s="671"/>
      <c r="U119" s="671"/>
      <c r="V119" s="671"/>
      <c r="W119" s="671"/>
      <c r="X119" s="671"/>
      <c r="Y119" s="671"/>
      <c r="Z119" s="671"/>
      <c r="AA119" s="671"/>
      <c r="AB119" s="671"/>
      <c r="AC119" s="671"/>
      <c r="AD119" s="671"/>
      <c r="AE119" s="671"/>
      <c r="AF119" s="671"/>
      <c r="AG119" s="671"/>
      <c r="AH119" s="671"/>
      <c r="AI119" s="671"/>
      <c r="AJ119" s="671"/>
      <c r="AK119" s="671"/>
      <c r="AL119" s="671"/>
      <c r="AM119" s="671"/>
      <c r="AN119" s="671"/>
      <c r="AO119" s="671"/>
      <c r="AP119" s="671"/>
      <c r="AQ119" s="671"/>
      <c r="AR119" s="671"/>
      <c r="AS119" s="671"/>
      <c r="AT119" s="671"/>
    </row>
    <row r="120" spans="1:46" s="667" customFormat="1">
      <c r="A120" s="227"/>
      <c r="B120" s="227"/>
      <c r="C120" s="274"/>
      <c r="E120" s="618"/>
      <c r="F120" s="671"/>
      <c r="G120" s="229"/>
      <c r="H120" s="229"/>
      <c r="I120" s="229"/>
      <c r="J120" s="229"/>
      <c r="K120" s="229"/>
      <c r="M120" s="618"/>
      <c r="N120" s="671"/>
      <c r="O120" s="671"/>
      <c r="P120" s="618"/>
      <c r="Q120" s="618"/>
      <c r="R120" s="618"/>
      <c r="S120" s="618"/>
      <c r="T120" s="671"/>
      <c r="U120" s="671"/>
      <c r="V120" s="671"/>
      <c r="W120" s="671"/>
      <c r="X120" s="671"/>
      <c r="Y120" s="671"/>
      <c r="Z120" s="671"/>
      <c r="AA120" s="671"/>
      <c r="AB120" s="671"/>
      <c r="AC120" s="671"/>
      <c r="AD120" s="671"/>
      <c r="AE120" s="671"/>
      <c r="AF120" s="671"/>
      <c r="AG120" s="671"/>
      <c r="AH120" s="671"/>
      <c r="AI120" s="671"/>
      <c r="AJ120" s="671"/>
      <c r="AK120" s="671"/>
      <c r="AL120" s="671"/>
      <c r="AM120" s="671"/>
      <c r="AN120" s="671"/>
      <c r="AO120" s="671"/>
      <c r="AP120" s="671"/>
      <c r="AQ120" s="671"/>
      <c r="AR120" s="671"/>
      <c r="AS120" s="671"/>
      <c r="AT120" s="671"/>
    </row>
    <row r="121" spans="1:46" s="667" customFormat="1">
      <c r="A121" s="227"/>
      <c r="B121" s="227"/>
      <c r="C121" s="274"/>
      <c r="E121" s="618"/>
      <c r="F121" s="671"/>
      <c r="G121" s="229"/>
      <c r="H121" s="229"/>
      <c r="I121" s="229"/>
      <c r="J121" s="229"/>
      <c r="K121" s="229"/>
      <c r="M121" s="618"/>
      <c r="N121" s="671"/>
      <c r="O121" s="671"/>
      <c r="P121" s="618"/>
      <c r="Q121" s="618"/>
      <c r="R121" s="618"/>
      <c r="S121" s="618"/>
      <c r="T121" s="671"/>
      <c r="U121" s="671"/>
      <c r="V121" s="671"/>
      <c r="W121" s="671"/>
      <c r="X121" s="671"/>
      <c r="Y121" s="671"/>
      <c r="Z121" s="671"/>
      <c r="AA121" s="671"/>
      <c r="AB121" s="671"/>
      <c r="AC121" s="671"/>
      <c r="AD121" s="671"/>
      <c r="AE121" s="671"/>
      <c r="AF121" s="671"/>
      <c r="AG121" s="671"/>
      <c r="AH121" s="671"/>
      <c r="AI121" s="671"/>
      <c r="AJ121" s="671"/>
      <c r="AK121" s="671"/>
      <c r="AL121" s="671"/>
      <c r="AM121" s="671"/>
      <c r="AN121" s="671"/>
      <c r="AO121" s="671"/>
      <c r="AP121" s="671"/>
      <c r="AQ121" s="671"/>
      <c r="AR121" s="671"/>
      <c r="AS121" s="671"/>
      <c r="AT121" s="671"/>
    </row>
    <row r="122" spans="1:46" s="667" customFormat="1">
      <c r="A122" s="227"/>
      <c r="B122" s="227"/>
      <c r="C122" s="274"/>
      <c r="E122" s="618"/>
      <c r="F122" s="671"/>
      <c r="G122" s="229"/>
      <c r="H122" s="229"/>
      <c r="I122" s="229"/>
      <c r="J122" s="229"/>
      <c r="K122" s="229"/>
      <c r="M122" s="618"/>
      <c r="N122" s="671"/>
      <c r="O122" s="671"/>
      <c r="P122" s="618"/>
      <c r="Q122" s="618"/>
      <c r="R122" s="618"/>
      <c r="S122" s="618"/>
      <c r="T122" s="671"/>
      <c r="U122" s="671"/>
      <c r="V122" s="671"/>
      <c r="W122" s="671"/>
      <c r="X122" s="671"/>
      <c r="Y122" s="671"/>
      <c r="Z122" s="671"/>
      <c r="AA122" s="671"/>
      <c r="AB122" s="671"/>
      <c r="AC122" s="671"/>
      <c r="AD122" s="671"/>
      <c r="AE122" s="671"/>
      <c r="AF122" s="671"/>
      <c r="AG122" s="671"/>
      <c r="AH122" s="671"/>
      <c r="AI122" s="671"/>
      <c r="AJ122" s="671"/>
      <c r="AK122" s="671"/>
      <c r="AL122" s="671"/>
      <c r="AM122" s="671"/>
      <c r="AN122" s="671"/>
      <c r="AO122" s="671"/>
      <c r="AP122" s="671"/>
      <c r="AQ122" s="671"/>
      <c r="AR122" s="671"/>
      <c r="AS122" s="671"/>
      <c r="AT122" s="671"/>
    </row>
    <row r="123" spans="1:46" s="667" customFormat="1">
      <c r="A123" s="227"/>
      <c r="B123" s="227"/>
      <c r="C123" s="274"/>
      <c r="E123" s="618"/>
      <c r="F123" s="671"/>
      <c r="G123" s="229"/>
      <c r="H123" s="229"/>
      <c r="I123" s="229"/>
      <c r="J123" s="229"/>
      <c r="K123" s="229"/>
      <c r="M123" s="618"/>
      <c r="N123" s="671"/>
      <c r="O123" s="671"/>
      <c r="P123" s="618"/>
      <c r="Q123" s="618"/>
      <c r="R123" s="618"/>
      <c r="S123" s="618"/>
      <c r="T123" s="671"/>
      <c r="U123" s="671"/>
      <c r="V123" s="671"/>
      <c r="W123" s="671"/>
      <c r="X123" s="671"/>
      <c r="Y123" s="671"/>
      <c r="Z123" s="671"/>
      <c r="AA123" s="671"/>
      <c r="AB123" s="671"/>
      <c r="AC123" s="671"/>
      <c r="AD123" s="671"/>
      <c r="AE123" s="671"/>
      <c r="AF123" s="671"/>
      <c r="AG123" s="671"/>
      <c r="AH123" s="671"/>
      <c r="AI123" s="671"/>
      <c r="AJ123" s="671"/>
      <c r="AK123" s="671"/>
      <c r="AL123" s="671"/>
      <c r="AM123" s="671"/>
      <c r="AN123" s="671"/>
      <c r="AO123" s="671"/>
      <c r="AP123" s="671"/>
      <c r="AQ123" s="671"/>
      <c r="AR123" s="671"/>
      <c r="AS123" s="671"/>
      <c r="AT123" s="671"/>
    </row>
    <row r="124" spans="1:46" s="667" customFormat="1">
      <c r="A124" s="227"/>
      <c r="B124" s="227"/>
      <c r="C124" s="274"/>
      <c r="E124" s="618"/>
      <c r="F124" s="671"/>
      <c r="G124" s="229"/>
      <c r="H124" s="229"/>
      <c r="I124" s="229"/>
      <c r="J124" s="229"/>
      <c r="K124" s="229"/>
      <c r="M124" s="618"/>
      <c r="N124" s="671"/>
      <c r="O124" s="671"/>
      <c r="P124" s="618"/>
      <c r="Q124" s="618"/>
      <c r="R124" s="618"/>
      <c r="S124" s="618"/>
      <c r="T124" s="671"/>
      <c r="U124" s="671"/>
      <c r="V124" s="671"/>
      <c r="W124" s="671"/>
      <c r="X124" s="671"/>
      <c r="Y124" s="671"/>
      <c r="Z124" s="671"/>
      <c r="AA124" s="671"/>
      <c r="AB124" s="671"/>
      <c r="AC124" s="671"/>
      <c r="AD124" s="671"/>
      <c r="AE124" s="671"/>
      <c r="AF124" s="671"/>
      <c r="AG124" s="671"/>
      <c r="AH124" s="671"/>
      <c r="AI124" s="671"/>
      <c r="AJ124" s="671"/>
      <c r="AK124" s="671"/>
      <c r="AL124" s="671"/>
      <c r="AM124" s="671"/>
      <c r="AN124" s="671"/>
      <c r="AO124" s="671"/>
      <c r="AP124" s="671"/>
      <c r="AQ124" s="671"/>
      <c r="AR124" s="671"/>
      <c r="AS124" s="671"/>
      <c r="AT124" s="671"/>
    </row>
    <row r="125" spans="1:46" s="667" customFormat="1">
      <c r="A125" s="227"/>
      <c r="B125" s="227"/>
      <c r="C125" s="274"/>
      <c r="E125" s="618"/>
      <c r="F125" s="671"/>
      <c r="G125" s="229"/>
      <c r="H125" s="229"/>
      <c r="I125" s="229"/>
      <c r="J125" s="229"/>
      <c r="K125" s="229"/>
      <c r="M125" s="618"/>
      <c r="N125" s="671"/>
      <c r="O125" s="671"/>
      <c r="P125" s="618"/>
      <c r="Q125" s="618"/>
      <c r="R125" s="618"/>
      <c r="S125" s="618"/>
      <c r="T125" s="671"/>
      <c r="U125" s="671"/>
      <c r="V125" s="671"/>
      <c r="W125" s="671"/>
      <c r="X125" s="671"/>
      <c r="Y125" s="671"/>
      <c r="Z125" s="671"/>
      <c r="AA125" s="671"/>
      <c r="AB125" s="671"/>
      <c r="AC125" s="671"/>
      <c r="AD125" s="671"/>
      <c r="AE125" s="671"/>
      <c r="AF125" s="671"/>
      <c r="AG125" s="671"/>
      <c r="AH125" s="671"/>
      <c r="AI125" s="671"/>
      <c r="AJ125" s="671"/>
      <c r="AK125" s="671"/>
      <c r="AL125" s="671"/>
      <c r="AM125" s="671"/>
      <c r="AN125" s="671"/>
      <c r="AO125" s="671"/>
      <c r="AP125" s="671"/>
      <c r="AQ125" s="671"/>
      <c r="AR125" s="671"/>
      <c r="AS125" s="671"/>
      <c r="AT125" s="671"/>
    </row>
    <row r="126" spans="1:46" s="667" customFormat="1">
      <c r="A126" s="227"/>
      <c r="B126" s="227"/>
      <c r="C126" s="274"/>
      <c r="E126" s="618"/>
      <c r="F126" s="671"/>
      <c r="G126" s="229"/>
      <c r="H126" s="229"/>
      <c r="I126" s="229"/>
      <c r="J126" s="229"/>
      <c r="K126" s="229"/>
      <c r="M126" s="618"/>
      <c r="N126" s="671"/>
      <c r="O126" s="671"/>
      <c r="P126" s="618"/>
      <c r="Q126" s="618"/>
      <c r="R126" s="618"/>
      <c r="S126" s="618"/>
      <c r="T126" s="671"/>
      <c r="U126" s="671"/>
      <c r="V126" s="671"/>
      <c r="W126" s="671"/>
      <c r="X126" s="671"/>
      <c r="Y126" s="671"/>
      <c r="Z126" s="671"/>
      <c r="AA126" s="671"/>
      <c r="AB126" s="671"/>
      <c r="AC126" s="671"/>
      <c r="AD126" s="671"/>
      <c r="AE126" s="671"/>
      <c r="AF126" s="671"/>
      <c r="AG126" s="671"/>
      <c r="AH126" s="671"/>
      <c r="AI126" s="671"/>
      <c r="AJ126" s="671"/>
      <c r="AK126" s="671"/>
      <c r="AL126" s="671"/>
      <c r="AM126" s="671"/>
      <c r="AN126" s="671"/>
      <c r="AO126" s="671"/>
      <c r="AP126" s="671"/>
      <c r="AQ126" s="671"/>
      <c r="AR126" s="671"/>
      <c r="AS126" s="671"/>
      <c r="AT126" s="671"/>
    </row>
    <row r="127" spans="1:46" s="667" customFormat="1">
      <c r="A127" s="227"/>
      <c r="B127" s="227"/>
      <c r="C127" s="274"/>
      <c r="E127" s="618"/>
      <c r="F127" s="671"/>
      <c r="G127" s="229"/>
      <c r="H127" s="229"/>
      <c r="I127" s="229"/>
      <c r="J127" s="229"/>
      <c r="K127" s="229"/>
      <c r="M127" s="618"/>
      <c r="N127" s="671"/>
      <c r="O127" s="671"/>
      <c r="P127" s="618"/>
      <c r="Q127" s="618"/>
      <c r="R127" s="618"/>
      <c r="S127" s="618"/>
      <c r="T127" s="671"/>
      <c r="U127" s="671"/>
      <c r="V127" s="671"/>
      <c r="W127" s="671"/>
      <c r="X127" s="671"/>
      <c r="Y127" s="671"/>
      <c r="Z127" s="671"/>
      <c r="AA127" s="671"/>
      <c r="AB127" s="671"/>
      <c r="AC127" s="671"/>
      <c r="AD127" s="671"/>
      <c r="AE127" s="671"/>
      <c r="AF127" s="671"/>
      <c r="AG127" s="671"/>
      <c r="AH127" s="671"/>
      <c r="AI127" s="671"/>
      <c r="AJ127" s="671"/>
      <c r="AK127" s="671"/>
      <c r="AL127" s="671"/>
      <c r="AM127" s="671"/>
      <c r="AN127" s="671"/>
      <c r="AO127" s="671"/>
      <c r="AP127" s="671"/>
      <c r="AQ127" s="671"/>
      <c r="AR127" s="671"/>
      <c r="AS127" s="671"/>
      <c r="AT127" s="671"/>
    </row>
    <row r="128" spans="1:46" s="667" customFormat="1">
      <c r="A128" s="227"/>
      <c r="B128" s="227"/>
      <c r="C128" s="274"/>
      <c r="E128" s="618"/>
      <c r="F128" s="671"/>
      <c r="G128" s="229"/>
      <c r="H128" s="229"/>
      <c r="I128" s="229"/>
      <c r="J128" s="229"/>
      <c r="K128" s="229"/>
      <c r="M128" s="618"/>
      <c r="N128" s="671"/>
      <c r="O128" s="671"/>
      <c r="P128" s="618"/>
      <c r="Q128" s="618"/>
      <c r="R128" s="618"/>
      <c r="S128" s="618"/>
      <c r="T128" s="671"/>
      <c r="U128" s="671"/>
      <c r="V128" s="671"/>
      <c r="W128" s="671"/>
      <c r="X128" s="671"/>
      <c r="Y128" s="671"/>
      <c r="Z128" s="671"/>
      <c r="AA128" s="671"/>
      <c r="AB128" s="671"/>
      <c r="AC128" s="671"/>
      <c r="AD128" s="671"/>
      <c r="AE128" s="671"/>
      <c r="AF128" s="671"/>
      <c r="AG128" s="671"/>
      <c r="AH128" s="671"/>
      <c r="AI128" s="671"/>
      <c r="AJ128" s="671"/>
      <c r="AK128" s="671"/>
      <c r="AL128" s="671"/>
      <c r="AM128" s="671"/>
      <c r="AN128" s="671"/>
      <c r="AO128" s="671"/>
      <c r="AP128" s="671"/>
      <c r="AQ128" s="671"/>
      <c r="AR128" s="671"/>
      <c r="AS128" s="671"/>
      <c r="AT128" s="671"/>
    </row>
    <row r="129" spans="1:46" s="667" customFormat="1">
      <c r="A129" s="227"/>
      <c r="B129" s="227"/>
      <c r="C129" s="274"/>
      <c r="E129" s="618"/>
      <c r="F129" s="671"/>
      <c r="G129" s="229"/>
      <c r="H129" s="229"/>
      <c r="I129" s="229"/>
      <c r="J129" s="229"/>
      <c r="K129" s="229"/>
      <c r="M129" s="618"/>
      <c r="N129" s="671"/>
      <c r="O129" s="671"/>
      <c r="P129" s="618"/>
      <c r="Q129" s="618"/>
      <c r="R129" s="618"/>
      <c r="S129" s="618"/>
      <c r="T129" s="671"/>
      <c r="U129" s="671"/>
      <c r="V129" s="671"/>
      <c r="W129" s="671"/>
      <c r="X129" s="671"/>
      <c r="Y129" s="671"/>
      <c r="Z129" s="671"/>
      <c r="AA129" s="671"/>
      <c r="AB129" s="671"/>
      <c r="AC129" s="671"/>
      <c r="AD129" s="671"/>
      <c r="AE129" s="671"/>
      <c r="AF129" s="671"/>
      <c r="AG129" s="671"/>
      <c r="AH129" s="671"/>
      <c r="AI129" s="671"/>
      <c r="AJ129" s="671"/>
      <c r="AK129" s="671"/>
      <c r="AL129" s="671"/>
      <c r="AM129" s="671"/>
      <c r="AN129" s="671"/>
      <c r="AO129" s="671"/>
      <c r="AP129" s="671"/>
      <c r="AQ129" s="671"/>
      <c r="AR129" s="671"/>
      <c r="AS129" s="671"/>
      <c r="AT129" s="671"/>
    </row>
    <row r="130" spans="1:46" s="667" customFormat="1">
      <c r="A130" s="227"/>
      <c r="B130" s="227"/>
      <c r="C130" s="274"/>
      <c r="E130" s="618"/>
      <c r="F130" s="671"/>
      <c r="G130" s="229"/>
      <c r="H130" s="229"/>
      <c r="I130" s="229"/>
      <c r="J130" s="229"/>
      <c r="K130" s="229"/>
      <c r="M130" s="618"/>
      <c r="N130" s="671"/>
      <c r="O130" s="671"/>
      <c r="P130" s="618"/>
      <c r="Q130" s="618"/>
      <c r="R130" s="618"/>
      <c r="S130" s="618"/>
      <c r="T130" s="671"/>
      <c r="U130" s="671"/>
      <c r="V130" s="671"/>
      <c r="W130" s="671"/>
      <c r="X130" s="671"/>
      <c r="Y130" s="671"/>
      <c r="Z130" s="671"/>
      <c r="AA130" s="671"/>
      <c r="AB130" s="671"/>
      <c r="AC130" s="671"/>
      <c r="AD130" s="671"/>
      <c r="AE130" s="671"/>
      <c r="AF130" s="671"/>
      <c r="AG130" s="671"/>
      <c r="AH130" s="671"/>
      <c r="AI130" s="671"/>
      <c r="AJ130" s="671"/>
      <c r="AK130" s="671"/>
      <c r="AL130" s="671"/>
      <c r="AM130" s="671"/>
      <c r="AN130" s="671"/>
      <c r="AO130" s="671"/>
      <c r="AP130" s="671"/>
      <c r="AQ130" s="671"/>
      <c r="AR130" s="671"/>
      <c r="AS130" s="671"/>
      <c r="AT130" s="671"/>
    </row>
    <row r="131" spans="1:46" s="667" customFormat="1">
      <c r="A131" s="227"/>
      <c r="B131" s="227"/>
      <c r="C131" s="274"/>
      <c r="E131" s="618"/>
      <c r="F131" s="671"/>
      <c r="G131" s="229"/>
      <c r="H131" s="229"/>
      <c r="I131" s="229"/>
      <c r="J131" s="229"/>
      <c r="K131" s="229"/>
      <c r="M131" s="618"/>
      <c r="N131" s="671"/>
      <c r="O131" s="671"/>
      <c r="P131" s="618"/>
      <c r="Q131" s="618"/>
      <c r="R131" s="618"/>
      <c r="S131" s="618"/>
      <c r="T131" s="671"/>
      <c r="U131" s="671"/>
      <c r="V131" s="671"/>
      <c r="W131" s="671"/>
      <c r="X131" s="671"/>
      <c r="Y131" s="671"/>
      <c r="Z131" s="671"/>
      <c r="AA131" s="671"/>
      <c r="AB131" s="671"/>
      <c r="AC131" s="671"/>
      <c r="AD131" s="671"/>
      <c r="AE131" s="671"/>
      <c r="AF131" s="671"/>
      <c r="AG131" s="671"/>
      <c r="AH131" s="671"/>
      <c r="AI131" s="671"/>
      <c r="AJ131" s="671"/>
      <c r="AK131" s="671"/>
      <c r="AL131" s="671"/>
      <c r="AM131" s="671"/>
      <c r="AN131" s="671"/>
      <c r="AO131" s="671"/>
      <c r="AP131" s="671"/>
      <c r="AQ131" s="671"/>
      <c r="AR131" s="671"/>
      <c r="AS131" s="671"/>
      <c r="AT131" s="671"/>
    </row>
    <row r="132" spans="1:46" s="667" customFormat="1">
      <c r="A132" s="227"/>
      <c r="B132" s="227"/>
      <c r="C132" s="274"/>
      <c r="E132" s="618"/>
      <c r="F132" s="671"/>
      <c r="G132" s="229"/>
      <c r="H132" s="229"/>
      <c r="I132" s="229"/>
      <c r="J132" s="229"/>
      <c r="K132" s="229"/>
      <c r="M132" s="618"/>
      <c r="N132" s="671"/>
      <c r="O132" s="671"/>
      <c r="P132" s="618"/>
      <c r="Q132" s="618"/>
      <c r="R132" s="618"/>
      <c r="S132" s="618"/>
      <c r="T132" s="671"/>
      <c r="U132" s="671"/>
      <c r="V132" s="671"/>
      <c r="W132" s="671"/>
      <c r="X132" s="671"/>
      <c r="Y132" s="671"/>
      <c r="Z132" s="671"/>
      <c r="AA132" s="671"/>
      <c r="AB132" s="671"/>
      <c r="AC132" s="671"/>
      <c r="AD132" s="671"/>
      <c r="AE132" s="671"/>
      <c r="AF132" s="671"/>
      <c r="AG132" s="671"/>
      <c r="AH132" s="671"/>
      <c r="AI132" s="671"/>
      <c r="AJ132" s="671"/>
      <c r="AK132" s="671"/>
      <c r="AL132" s="671"/>
      <c r="AM132" s="671"/>
      <c r="AN132" s="671"/>
      <c r="AO132" s="671"/>
      <c r="AP132" s="671"/>
      <c r="AQ132" s="671"/>
      <c r="AR132" s="671"/>
      <c r="AS132" s="671"/>
      <c r="AT132" s="671"/>
    </row>
    <row r="133" spans="1:46" s="667" customFormat="1">
      <c r="A133" s="227"/>
      <c r="B133" s="227"/>
      <c r="C133" s="274"/>
      <c r="E133" s="618"/>
      <c r="F133" s="671"/>
      <c r="G133" s="229"/>
      <c r="H133" s="229"/>
      <c r="I133" s="229"/>
      <c r="J133" s="229"/>
      <c r="K133" s="229"/>
      <c r="M133" s="618"/>
      <c r="N133" s="671"/>
      <c r="O133" s="671"/>
      <c r="P133" s="618"/>
      <c r="Q133" s="618"/>
      <c r="R133" s="618"/>
      <c r="S133" s="618"/>
      <c r="T133" s="671"/>
      <c r="U133" s="671"/>
      <c r="V133" s="671"/>
      <c r="W133" s="671"/>
      <c r="X133" s="671"/>
      <c r="Y133" s="671"/>
      <c r="Z133" s="671"/>
      <c r="AA133" s="671"/>
      <c r="AB133" s="671"/>
      <c r="AC133" s="671"/>
      <c r="AD133" s="671"/>
      <c r="AE133" s="671"/>
      <c r="AF133" s="671"/>
      <c r="AG133" s="671"/>
      <c r="AH133" s="671"/>
      <c r="AI133" s="671"/>
      <c r="AJ133" s="671"/>
      <c r="AK133" s="671"/>
      <c r="AL133" s="671"/>
      <c r="AM133" s="671"/>
      <c r="AN133" s="671"/>
      <c r="AO133" s="671"/>
      <c r="AP133" s="671"/>
      <c r="AQ133" s="671"/>
      <c r="AR133" s="671"/>
      <c r="AS133" s="671"/>
      <c r="AT133" s="671"/>
    </row>
    <row r="134" spans="1:46" s="667" customFormat="1">
      <c r="A134" s="227"/>
      <c r="B134" s="227"/>
      <c r="C134" s="274"/>
      <c r="E134" s="618"/>
      <c r="F134" s="671"/>
      <c r="G134" s="229"/>
      <c r="H134" s="229"/>
      <c r="I134" s="229"/>
      <c r="J134" s="229"/>
      <c r="K134" s="229"/>
      <c r="M134" s="618"/>
      <c r="N134" s="671"/>
      <c r="O134" s="671"/>
      <c r="P134" s="618"/>
      <c r="Q134" s="618"/>
      <c r="R134" s="618"/>
      <c r="S134" s="618"/>
      <c r="T134" s="671"/>
      <c r="U134" s="671"/>
      <c r="V134" s="671"/>
      <c r="W134" s="671"/>
      <c r="X134" s="671"/>
      <c r="Y134" s="671"/>
      <c r="Z134" s="671"/>
      <c r="AA134" s="671"/>
      <c r="AB134" s="671"/>
      <c r="AC134" s="671"/>
      <c r="AD134" s="671"/>
      <c r="AE134" s="671"/>
      <c r="AF134" s="671"/>
      <c r="AG134" s="671"/>
      <c r="AH134" s="671"/>
      <c r="AI134" s="671"/>
      <c r="AJ134" s="671"/>
      <c r="AK134" s="671"/>
      <c r="AL134" s="671"/>
      <c r="AM134" s="671"/>
      <c r="AN134" s="671"/>
      <c r="AO134" s="671"/>
      <c r="AP134" s="671"/>
      <c r="AQ134" s="671"/>
      <c r="AR134" s="671"/>
      <c r="AS134" s="671"/>
      <c r="AT134" s="671"/>
    </row>
    <row r="135" spans="1:46" s="667" customFormat="1">
      <c r="A135" s="227"/>
      <c r="B135" s="227"/>
      <c r="C135" s="274"/>
      <c r="E135" s="618"/>
      <c r="F135" s="671"/>
      <c r="G135" s="229"/>
      <c r="H135" s="229"/>
      <c r="I135" s="229"/>
      <c r="J135" s="229"/>
      <c r="K135" s="229"/>
      <c r="M135" s="618"/>
      <c r="N135" s="671"/>
      <c r="O135" s="671"/>
      <c r="P135" s="618"/>
      <c r="Q135" s="618"/>
      <c r="R135" s="618"/>
      <c r="S135" s="618"/>
      <c r="T135" s="671"/>
      <c r="U135" s="671"/>
      <c r="V135" s="671"/>
      <c r="W135" s="671"/>
      <c r="X135" s="671"/>
      <c r="Y135" s="671"/>
      <c r="Z135" s="671"/>
      <c r="AA135" s="671"/>
      <c r="AB135" s="671"/>
      <c r="AC135" s="671"/>
      <c r="AD135" s="671"/>
      <c r="AE135" s="671"/>
      <c r="AF135" s="671"/>
      <c r="AG135" s="671"/>
      <c r="AH135" s="671"/>
      <c r="AI135" s="671"/>
      <c r="AJ135" s="671"/>
      <c r="AK135" s="671"/>
      <c r="AL135" s="671"/>
      <c r="AM135" s="671"/>
      <c r="AN135" s="671"/>
      <c r="AO135" s="671"/>
      <c r="AP135" s="671"/>
      <c r="AQ135" s="671"/>
      <c r="AR135" s="671"/>
      <c r="AS135" s="671"/>
      <c r="AT135" s="671"/>
    </row>
    <row r="136" spans="1:46" s="667" customFormat="1">
      <c r="A136" s="227"/>
      <c r="B136" s="227"/>
      <c r="C136" s="274"/>
      <c r="E136" s="618"/>
      <c r="F136" s="671"/>
      <c r="G136" s="229"/>
      <c r="H136" s="229"/>
      <c r="I136" s="229"/>
      <c r="J136" s="229"/>
      <c r="K136" s="229"/>
      <c r="M136" s="618"/>
      <c r="N136" s="671"/>
      <c r="O136" s="671"/>
      <c r="P136" s="618"/>
      <c r="Q136" s="618"/>
      <c r="R136" s="618"/>
      <c r="S136" s="618"/>
      <c r="T136" s="671"/>
      <c r="U136" s="671"/>
      <c r="V136" s="671"/>
      <c r="W136" s="671"/>
      <c r="X136" s="671"/>
      <c r="Y136" s="671"/>
      <c r="Z136" s="671"/>
      <c r="AA136" s="671"/>
      <c r="AB136" s="671"/>
      <c r="AC136" s="671"/>
      <c r="AD136" s="671"/>
      <c r="AE136" s="671"/>
      <c r="AF136" s="671"/>
      <c r="AG136" s="671"/>
      <c r="AH136" s="671"/>
      <c r="AI136" s="671"/>
      <c r="AJ136" s="671"/>
      <c r="AK136" s="671"/>
      <c r="AL136" s="671"/>
      <c r="AM136" s="671"/>
      <c r="AN136" s="671"/>
      <c r="AO136" s="671"/>
      <c r="AP136" s="671"/>
      <c r="AQ136" s="671"/>
      <c r="AR136" s="671"/>
      <c r="AS136" s="671"/>
      <c r="AT136" s="671"/>
    </row>
    <row r="137" spans="1:46" s="667" customFormat="1">
      <c r="A137" s="227"/>
      <c r="B137" s="227"/>
      <c r="C137" s="274"/>
      <c r="E137" s="618"/>
      <c r="F137" s="671"/>
      <c r="G137" s="229"/>
      <c r="H137" s="229"/>
      <c r="I137" s="229"/>
      <c r="J137" s="229"/>
      <c r="K137" s="229"/>
      <c r="M137" s="618"/>
      <c r="N137" s="671"/>
      <c r="O137" s="671"/>
      <c r="P137" s="618"/>
      <c r="Q137" s="618"/>
      <c r="R137" s="618"/>
      <c r="S137" s="618"/>
      <c r="T137" s="671"/>
      <c r="U137" s="671"/>
      <c r="V137" s="671"/>
      <c r="W137" s="671"/>
      <c r="X137" s="671"/>
      <c r="Y137" s="671"/>
      <c r="Z137" s="671"/>
      <c r="AA137" s="671"/>
      <c r="AB137" s="671"/>
      <c r="AC137" s="671"/>
      <c r="AD137" s="671"/>
      <c r="AE137" s="671"/>
      <c r="AF137" s="671"/>
      <c r="AG137" s="671"/>
      <c r="AH137" s="671"/>
      <c r="AI137" s="671"/>
      <c r="AJ137" s="671"/>
      <c r="AK137" s="671"/>
      <c r="AL137" s="671"/>
      <c r="AM137" s="671"/>
      <c r="AN137" s="671"/>
      <c r="AO137" s="671"/>
      <c r="AP137" s="671"/>
      <c r="AQ137" s="671"/>
      <c r="AR137" s="671"/>
      <c r="AS137" s="671"/>
      <c r="AT137" s="671"/>
    </row>
    <row r="138" spans="1:46" s="667" customFormat="1">
      <c r="A138" s="227"/>
      <c r="B138" s="227"/>
      <c r="C138" s="274"/>
      <c r="E138" s="618"/>
      <c r="F138" s="671"/>
      <c r="G138" s="229"/>
      <c r="H138" s="229"/>
      <c r="I138" s="229"/>
      <c r="J138" s="229"/>
      <c r="K138" s="229"/>
      <c r="M138" s="618"/>
      <c r="N138" s="671"/>
      <c r="O138" s="671"/>
      <c r="P138" s="618"/>
      <c r="Q138" s="618"/>
      <c r="R138" s="618"/>
      <c r="S138" s="618"/>
      <c r="T138" s="671"/>
      <c r="U138" s="671"/>
      <c r="V138" s="671"/>
      <c r="W138" s="671"/>
      <c r="X138" s="671"/>
      <c r="Y138" s="671"/>
      <c r="Z138" s="671"/>
      <c r="AA138" s="671"/>
      <c r="AB138" s="671"/>
      <c r="AC138" s="671"/>
      <c r="AD138" s="671"/>
      <c r="AE138" s="671"/>
      <c r="AF138" s="671"/>
      <c r="AG138" s="671"/>
      <c r="AH138" s="671"/>
      <c r="AI138" s="671"/>
      <c r="AJ138" s="671"/>
      <c r="AK138" s="671"/>
      <c r="AL138" s="671"/>
      <c r="AM138" s="671"/>
      <c r="AN138" s="671"/>
      <c r="AO138" s="671"/>
      <c r="AP138" s="671"/>
      <c r="AQ138" s="671"/>
      <c r="AR138" s="671"/>
      <c r="AS138" s="671"/>
      <c r="AT138" s="671"/>
    </row>
    <row r="139" spans="1:46" s="667" customFormat="1">
      <c r="A139" s="227"/>
      <c r="B139" s="227"/>
      <c r="C139" s="274"/>
      <c r="E139" s="618"/>
      <c r="F139" s="671"/>
      <c r="G139" s="229"/>
      <c r="H139" s="229"/>
      <c r="I139" s="229"/>
      <c r="J139" s="229"/>
      <c r="K139" s="229"/>
      <c r="M139" s="618"/>
      <c r="N139" s="671"/>
      <c r="O139" s="671"/>
      <c r="P139" s="618"/>
      <c r="Q139" s="618"/>
      <c r="R139" s="618"/>
      <c r="S139" s="618"/>
      <c r="T139" s="671"/>
      <c r="U139" s="671"/>
      <c r="V139" s="671"/>
      <c r="W139" s="671"/>
      <c r="X139" s="671"/>
      <c r="Y139" s="671"/>
      <c r="Z139" s="671"/>
      <c r="AA139" s="671"/>
      <c r="AB139" s="671"/>
      <c r="AC139" s="671"/>
      <c r="AD139" s="671"/>
      <c r="AE139" s="671"/>
      <c r="AF139" s="671"/>
      <c r="AG139" s="671"/>
      <c r="AH139" s="671"/>
      <c r="AI139" s="671"/>
      <c r="AJ139" s="671"/>
      <c r="AK139" s="671"/>
      <c r="AL139" s="671"/>
      <c r="AM139" s="671"/>
      <c r="AN139" s="671"/>
      <c r="AO139" s="671"/>
      <c r="AP139" s="671"/>
      <c r="AQ139" s="671"/>
      <c r="AR139" s="671"/>
      <c r="AS139" s="671"/>
      <c r="AT139" s="671"/>
    </row>
    <row r="140" spans="1:46" s="667" customFormat="1">
      <c r="A140" s="227"/>
      <c r="B140" s="227"/>
      <c r="C140" s="274"/>
      <c r="E140" s="618"/>
      <c r="F140" s="671"/>
      <c r="G140" s="229"/>
      <c r="H140" s="229"/>
      <c r="I140" s="229"/>
      <c r="J140" s="229"/>
      <c r="K140" s="229"/>
      <c r="M140" s="618"/>
      <c r="N140" s="671"/>
      <c r="O140" s="671"/>
      <c r="P140" s="618"/>
      <c r="Q140" s="618"/>
      <c r="R140" s="618"/>
      <c r="S140" s="618"/>
      <c r="T140" s="671"/>
      <c r="U140" s="671"/>
      <c r="V140" s="671"/>
      <c r="W140" s="671"/>
      <c r="X140" s="671"/>
      <c r="Y140" s="671"/>
      <c r="Z140" s="671"/>
      <c r="AA140" s="671"/>
      <c r="AB140" s="671"/>
      <c r="AC140" s="671"/>
      <c r="AD140" s="671"/>
      <c r="AE140" s="671"/>
      <c r="AF140" s="671"/>
      <c r="AG140" s="671"/>
      <c r="AH140" s="671"/>
      <c r="AI140" s="671"/>
      <c r="AJ140" s="671"/>
      <c r="AK140" s="671"/>
      <c r="AL140" s="671"/>
      <c r="AM140" s="671"/>
      <c r="AN140" s="671"/>
      <c r="AO140" s="671"/>
      <c r="AP140" s="671"/>
      <c r="AQ140" s="671"/>
      <c r="AR140" s="671"/>
      <c r="AS140" s="671"/>
      <c r="AT140" s="671"/>
    </row>
    <row r="141" spans="1:46" s="667" customFormat="1">
      <c r="A141" s="227"/>
      <c r="B141" s="227"/>
      <c r="C141" s="274"/>
      <c r="E141" s="618"/>
      <c r="F141" s="671"/>
      <c r="G141" s="229"/>
      <c r="H141" s="229"/>
      <c r="I141" s="229"/>
      <c r="J141" s="229"/>
      <c r="K141" s="229"/>
      <c r="M141" s="618"/>
      <c r="N141" s="671"/>
      <c r="O141" s="671"/>
      <c r="P141" s="618"/>
      <c r="Q141" s="618"/>
      <c r="R141" s="618"/>
      <c r="S141" s="618"/>
      <c r="T141" s="671"/>
      <c r="U141" s="671"/>
      <c r="V141" s="671"/>
      <c r="W141" s="671"/>
      <c r="X141" s="671"/>
      <c r="Y141" s="671"/>
      <c r="Z141" s="671"/>
      <c r="AA141" s="671"/>
      <c r="AB141" s="671"/>
      <c r="AC141" s="671"/>
      <c r="AD141" s="671"/>
      <c r="AE141" s="671"/>
      <c r="AF141" s="671"/>
      <c r="AG141" s="671"/>
      <c r="AH141" s="671"/>
      <c r="AI141" s="671"/>
      <c r="AJ141" s="671"/>
      <c r="AK141" s="671"/>
      <c r="AL141" s="671"/>
      <c r="AM141" s="671"/>
      <c r="AN141" s="671"/>
      <c r="AO141" s="671"/>
      <c r="AP141" s="671"/>
      <c r="AQ141" s="671"/>
      <c r="AR141" s="671"/>
      <c r="AS141" s="671"/>
      <c r="AT141" s="671"/>
    </row>
    <row r="142" spans="1:46" s="667" customFormat="1">
      <c r="A142" s="227"/>
      <c r="B142" s="227"/>
      <c r="C142" s="274"/>
      <c r="E142" s="618"/>
      <c r="F142" s="671"/>
      <c r="G142" s="229"/>
      <c r="H142" s="229"/>
      <c r="I142" s="229"/>
      <c r="J142" s="229"/>
      <c r="K142" s="229"/>
      <c r="M142" s="618"/>
      <c r="N142" s="671"/>
      <c r="O142" s="671"/>
      <c r="P142" s="618"/>
      <c r="Q142" s="618"/>
      <c r="R142" s="618"/>
      <c r="S142" s="618"/>
      <c r="T142" s="671"/>
      <c r="U142" s="671"/>
      <c r="V142" s="671"/>
      <c r="W142" s="671"/>
      <c r="X142" s="671"/>
      <c r="Y142" s="671"/>
      <c r="Z142" s="671"/>
      <c r="AA142" s="671"/>
      <c r="AB142" s="671"/>
      <c r="AC142" s="671"/>
      <c r="AD142" s="671"/>
      <c r="AE142" s="671"/>
      <c r="AF142" s="671"/>
      <c r="AG142" s="671"/>
      <c r="AH142" s="671"/>
      <c r="AI142" s="671"/>
      <c r="AJ142" s="671"/>
      <c r="AK142" s="671"/>
      <c r="AL142" s="671"/>
      <c r="AM142" s="671"/>
      <c r="AN142" s="671"/>
      <c r="AO142" s="671"/>
      <c r="AP142" s="671"/>
      <c r="AQ142" s="671"/>
      <c r="AR142" s="671"/>
      <c r="AS142" s="671"/>
      <c r="AT142" s="671"/>
    </row>
    <row r="143" spans="1:46" s="667" customFormat="1">
      <c r="A143" s="227"/>
      <c r="B143" s="227"/>
      <c r="C143" s="274"/>
      <c r="E143" s="618"/>
      <c r="F143" s="671"/>
      <c r="G143" s="229"/>
      <c r="H143" s="229"/>
      <c r="I143" s="229"/>
      <c r="J143" s="229"/>
      <c r="K143" s="229"/>
      <c r="M143" s="618"/>
      <c r="N143" s="671"/>
      <c r="O143" s="671"/>
      <c r="P143" s="618"/>
      <c r="Q143" s="618"/>
      <c r="R143" s="618"/>
      <c r="S143" s="618"/>
      <c r="T143" s="671"/>
      <c r="U143" s="671"/>
      <c r="V143" s="671"/>
      <c r="W143" s="671"/>
      <c r="X143" s="671"/>
      <c r="Y143" s="671"/>
      <c r="Z143" s="671"/>
      <c r="AA143" s="671"/>
      <c r="AB143" s="671"/>
      <c r="AC143" s="671"/>
      <c r="AD143" s="671"/>
      <c r="AE143" s="671"/>
      <c r="AF143" s="671"/>
      <c r="AG143" s="671"/>
      <c r="AH143" s="671"/>
      <c r="AI143" s="671"/>
      <c r="AJ143" s="671"/>
      <c r="AK143" s="671"/>
      <c r="AL143" s="671"/>
      <c r="AM143" s="671"/>
      <c r="AN143" s="671"/>
      <c r="AO143" s="671"/>
      <c r="AP143" s="671"/>
      <c r="AQ143" s="671"/>
      <c r="AR143" s="671"/>
      <c r="AS143" s="671"/>
      <c r="AT143" s="671"/>
    </row>
    <row r="144" spans="1:46" s="667" customFormat="1">
      <c r="A144" s="227"/>
      <c r="B144" s="227"/>
      <c r="C144" s="274"/>
      <c r="E144" s="618"/>
      <c r="F144" s="671"/>
      <c r="G144" s="229"/>
      <c r="H144" s="229"/>
      <c r="I144" s="229"/>
      <c r="J144" s="229"/>
      <c r="K144" s="229"/>
      <c r="M144" s="618"/>
      <c r="N144" s="671"/>
      <c r="O144" s="671"/>
      <c r="P144" s="618"/>
      <c r="Q144" s="618"/>
      <c r="R144" s="618"/>
      <c r="S144" s="618"/>
      <c r="T144" s="671"/>
      <c r="U144" s="671"/>
      <c r="V144" s="671"/>
      <c r="W144" s="671"/>
      <c r="X144" s="671"/>
      <c r="Y144" s="671"/>
      <c r="Z144" s="671"/>
      <c r="AA144" s="671"/>
      <c r="AB144" s="671"/>
      <c r="AC144" s="671"/>
      <c r="AD144" s="671"/>
      <c r="AE144" s="671"/>
      <c r="AF144" s="671"/>
      <c r="AG144" s="671"/>
      <c r="AH144" s="671"/>
      <c r="AI144" s="671"/>
      <c r="AJ144" s="671"/>
      <c r="AK144" s="671"/>
      <c r="AL144" s="671"/>
      <c r="AM144" s="671"/>
      <c r="AN144" s="671"/>
      <c r="AO144" s="671"/>
      <c r="AP144" s="671"/>
      <c r="AQ144" s="671"/>
      <c r="AR144" s="671"/>
      <c r="AS144" s="671"/>
      <c r="AT144" s="671"/>
    </row>
    <row r="145" spans="1:46" s="667" customFormat="1">
      <c r="A145" s="227"/>
      <c r="B145" s="227"/>
      <c r="C145" s="274"/>
      <c r="E145" s="618"/>
      <c r="F145" s="671"/>
      <c r="G145" s="229"/>
      <c r="H145" s="229"/>
      <c r="I145" s="229"/>
      <c r="J145" s="229"/>
      <c r="K145" s="229"/>
      <c r="M145" s="618"/>
      <c r="N145" s="671"/>
      <c r="O145" s="671"/>
      <c r="P145" s="618"/>
      <c r="Q145" s="618"/>
      <c r="R145" s="618"/>
      <c r="S145" s="618"/>
      <c r="T145" s="671"/>
      <c r="U145" s="671"/>
      <c r="V145" s="671"/>
      <c r="W145" s="671"/>
      <c r="X145" s="671"/>
      <c r="Y145" s="671"/>
      <c r="Z145" s="671"/>
      <c r="AA145" s="671"/>
      <c r="AB145" s="671"/>
      <c r="AC145" s="671"/>
      <c r="AD145" s="671"/>
      <c r="AE145" s="671"/>
      <c r="AF145" s="671"/>
      <c r="AG145" s="671"/>
      <c r="AH145" s="671"/>
      <c r="AI145" s="671"/>
      <c r="AJ145" s="671"/>
      <c r="AK145" s="671"/>
      <c r="AL145" s="671"/>
      <c r="AM145" s="671"/>
      <c r="AN145" s="671"/>
      <c r="AO145" s="671"/>
      <c r="AP145" s="671"/>
      <c r="AQ145" s="671"/>
      <c r="AR145" s="671"/>
      <c r="AS145" s="671"/>
      <c r="AT145" s="671"/>
    </row>
    <row r="146" spans="1:46" s="667" customFormat="1">
      <c r="A146" s="227"/>
      <c r="B146" s="227"/>
      <c r="C146" s="274"/>
      <c r="E146" s="618"/>
      <c r="F146" s="671"/>
      <c r="G146" s="229"/>
      <c r="H146" s="229"/>
      <c r="I146" s="229"/>
      <c r="J146" s="229"/>
      <c r="K146" s="229"/>
      <c r="M146" s="618"/>
      <c r="N146" s="671"/>
      <c r="O146" s="671"/>
      <c r="P146" s="618"/>
      <c r="Q146" s="618"/>
      <c r="R146" s="618"/>
      <c r="S146" s="618"/>
      <c r="T146" s="671"/>
      <c r="U146" s="671"/>
      <c r="V146" s="671"/>
      <c r="W146" s="671"/>
      <c r="X146" s="671"/>
      <c r="Y146" s="671"/>
      <c r="Z146" s="671"/>
      <c r="AA146" s="671"/>
      <c r="AB146" s="671"/>
      <c r="AC146" s="671"/>
      <c r="AD146" s="671"/>
      <c r="AE146" s="671"/>
      <c r="AF146" s="671"/>
      <c r="AG146" s="671"/>
      <c r="AH146" s="671"/>
      <c r="AI146" s="671"/>
      <c r="AJ146" s="671"/>
      <c r="AK146" s="671"/>
      <c r="AL146" s="671"/>
      <c r="AM146" s="671"/>
      <c r="AN146" s="671"/>
      <c r="AO146" s="671"/>
      <c r="AP146" s="671"/>
      <c r="AQ146" s="671"/>
      <c r="AR146" s="671"/>
      <c r="AS146" s="671"/>
      <c r="AT146" s="671"/>
    </row>
    <row r="147" spans="1:46" s="667" customFormat="1">
      <c r="A147" s="227"/>
      <c r="B147" s="227"/>
      <c r="C147" s="274"/>
      <c r="E147" s="618"/>
      <c r="F147" s="671"/>
      <c r="G147" s="229"/>
      <c r="H147" s="229"/>
      <c r="I147" s="229"/>
      <c r="J147" s="229"/>
      <c r="K147" s="229"/>
      <c r="M147" s="618"/>
      <c r="N147" s="671"/>
      <c r="O147" s="671"/>
      <c r="P147" s="618"/>
      <c r="Q147" s="618"/>
      <c r="R147" s="618"/>
      <c r="S147" s="618"/>
      <c r="T147" s="671"/>
      <c r="U147" s="671"/>
      <c r="V147" s="671"/>
      <c r="W147" s="671"/>
      <c r="X147" s="671"/>
      <c r="Y147" s="671"/>
      <c r="Z147" s="671"/>
      <c r="AA147" s="671"/>
      <c r="AB147" s="671"/>
      <c r="AC147" s="671"/>
      <c r="AD147" s="671"/>
      <c r="AE147" s="671"/>
      <c r="AF147" s="671"/>
      <c r="AG147" s="671"/>
      <c r="AH147" s="671"/>
      <c r="AI147" s="671"/>
      <c r="AJ147" s="671"/>
      <c r="AK147" s="671"/>
      <c r="AL147" s="671"/>
      <c r="AM147" s="671"/>
      <c r="AN147" s="671"/>
      <c r="AO147" s="671"/>
      <c r="AP147" s="671"/>
      <c r="AQ147" s="671"/>
      <c r="AR147" s="671"/>
      <c r="AS147" s="671"/>
      <c r="AT147" s="671"/>
    </row>
    <row r="148" spans="1:46" s="667" customFormat="1">
      <c r="A148" s="227"/>
      <c r="B148" s="227"/>
      <c r="C148" s="274"/>
      <c r="E148" s="618"/>
      <c r="F148" s="671"/>
      <c r="G148" s="229"/>
      <c r="H148" s="229"/>
      <c r="I148" s="229"/>
      <c r="J148" s="229"/>
      <c r="K148" s="229"/>
      <c r="M148" s="618"/>
      <c r="N148" s="671"/>
      <c r="O148" s="671"/>
      <c r="P148" s="618"/>
      <c r="Q148" s="618"/>
      <c r="R148" s="618"/>
      <c r="S148" s="618"/>
      <c r="T148" s="671"/>
      <c r="U148" s="671"/>
      <c r="V148" s="671"/>
      <c r="W148" s="671"/>
      <c r="X148" s="671"/>
      <c r="Y148" s="671"/>
      <c r="Z148" s="671"/>
      <c r="AA148" s="671"/>
      <c r="AB148" s="671"/>
      <c r="AC148" s="671"/>
      <c r="AD148" s="671"/>
      <c r="AE148" s="671"/>
      <c r="AF148" s="671"/>
      <c r="AG148" s="671"/>
      <c r="AH148" s="671"/>
      <c r="AI148" s="671"/>
      <c r="AJ148" s="671"/>
      <c r="AK148" s="671"/>
      <c r="AL148" s="671"/>
      <c r="AM148" s="671"/>
      <c r="AN148" s="671"/>
      <c r="AO148" s="671"/>
      <c r="AP148" s="671"/>
      <c r="AQ148" s="671"/>
      <c r="AR148" s="671"/>
      <c r="AS148" s="671"/>
      <c r="AT148" s="671"/>
    </row>
    <row r="149" spans="1:46" s="667" customFormat="1">
      <c r="A149" s="227"/>
      <c r="B149" s="227"/>
      <c r="C149" s="274"/>
      <c r="E149" s="618"/>
      <c r="F149" s="671"/>
      <c r="G149" s="229"/>
      <c r="H149" s="229"/>
      <c r="I149" s="229"/>
      <c r="J149" s="229"/>
      <c r="K149" s="229"/>
      <c r="M149" s="618"/>
      <c r="N149" s="671"/>
      <c r="O149" s="671"/>
      <c r="P149" s="618"/>
      <c r="Q149" s="618"/>
      <c r="R149" s="618"/>
      <c r="S149" s="618"/>
      <c r="T149" s="671"/>
      <c r="U149" s="671"/>
      <c r="V149" s="671"/>
      <c r="W149" s="671"/>
      <c r="X149" s="671"/>
      <c r="Y149" s="671"/>
      <c r="Z149" s="671"/>
      <c r="AA149" s="671"/>
      <c r="AB149" s="671"/>
      <c r="AC149" s="671"/>
      <c r="AD149" s="671"/>
      <c r="AE149" s="671"/>
      <c r="AF149" s="671"/>
      <c r="AG149" s="671"/>
      <c r="AH149" s="671"/>
      <c r="AI149" s="671"/>
      <c r="AJ149" s="671"/>
      <c r="AK149" s="671"/>
      <c r="AL149" s="671"/>
      <c r="AM149" s="671"/>
      <c r="AN149" s="671"/>
      <c r="AO149" s="671"/>
      <c r="AP149" s="671"/>
      <c r="AQ149" s="671"/>
      <c r="AR149" s="671"/>
      <c r="AS149" s="671"/>
      <c r="AT149" s="671"/>
    </row>
    <row r="150" spans="1:46" s="667" customFormat="1">
      <c r="A150" s="227"/>
      <c r="B150" s="227"/>
      <c r="C150" s="274"/>
      <c r="E150" s="618"/>
      <c r="F150" s="671"/>
      <c r="G150" s="229"/>
      <c r="H150" s="229"/>
      <c r="I150" s="229"/>
      <c r="J150" s="229"/>
      <c r="K150" s="229"/>
      <c r="M150" s="618"/>
      <c r="N150" s="671"/>
      <c r="O150" s="671"/>
      <c r="P150" s="618"/>
      <c r="Q150" s="618"/>
      <c r="R150" s="618"/>
      <c r="S150" s="618"/>
      <c r="T150" s="671"/>
      <c r="U150" s="671"/>
      <c r="V150" s="671"/>
      <c r="W150" s="671"/>
      <c r="X150" s="671"/>
      <c r="Y150" s="671"/>
      <c r="Z150" s="671"/>
      <c r="AA150" s="671"/>
      <c r="AB150" s="671"/>
      <c r="AC150" s="671"/>
      <c r="AD150" s="671"/>
      <c r="AE150" s="671"/>
      <c r="AF150" s="671"/>
      <c r="AG150" s="671"/>
      <c r="AH150" s="671"/>
      <c r="AI150" s="671"/>
      <c r="AJ150" s="671"/>
      <c r="AK150" s="671"/>
      <c r="AL150" s="671"/>
      <c r="AM150" s="671"/>
      <c r="AN150" s="671"/>
      <c r="AO150" s="671"/>
      <c r="AP150" s="671"/>
      <c r="AQ150" s="671"/>
      <c r="AR150" s="671"/>
      <c r="AS150" s="671"/>
      <c r="AT150" s="671"/>
    </row>
    <row r="151" spans="1:46" s="667" customFormat="1">
      <c r="A151" s="227"/>
      <c r="B151" s="227"/>
      <c r="C151" s="274"/>
      <c r="E151" s="618"/>
      <c r="F151" s="671"/>
      <c r="G151" s="229"/>
      <c r="H151" s="229"/>
      <c r="I151" s="229"/>
      <c r="J151" s="229"/>
      <c r="K151" s="229"/>
      <c r="M151" s="618"/>
      <c r="N151" s="671"/>
      <c r="O151" s="671"/>
      <c r="P151" s="618"/>
      <c r="Q151" s="618"/>
      <c r="R151" s="618"/>
      <c r="S151" s="618"/>
      <c r="T151" s="671"/>
      <c r="U151" s="671"/>
      <c r="V151" s="671"/>
      <c r="W151" s="671"/>
      <c r="X151" s="671"/>
      <c r="Y151" s="671"/>
      <c r="Z151" s="671"/>
      <c r="AA151" s="671"/>
      <c r="AB151" s="671"/>
      <c r="AC151" s="671"/>
      <c r="AD151" s="671"/>
      <c r="AE151" s="671"/>
      <c r="AF151" s="671"/>
      <c r="AG151" s="671"/>
      <c r="AH151" s="671"/>
      <c r="AI151" s="671"/>
      <c r="AJ151" s="671"/>
      <c r="AK151" s="671"/>
      <c r="AL151" s="671"/>
      <c r="AM151" s="671"/>
      <c r="AN151" s="671"/>
      <c r="AO151" s="671"/>
      <c r="AP151" s="671"/>
      <c r="AQ151" s="671"/>
      <c r="AR151" s="671"/>
      <c r="AS151" s="671"/>
      <c r="AT151" s="671"/>
    </row>
    <row r="152" spans="1:46" s="667" customFormat="1">
      <c r="A152" s="227"/>
      <c r="B152" s="227"/>
      <c r="C152" s="274"/>
      <c r="E152" s="618"/>
      <c r="F152" s="671"/>
      <c r="G152" s="229"/>
      <c r="H152" s="229"/>
      <c r="I152" s="229"/>
      <c r="J152" s="229"/>
      <c r="K152" s="229"/>
      <c r="M152" s="618"/>
      <c r="N152" s="671"/>
      <c r="O152" s="671"/>
      <c r="P152" s="618"/>
      <c r="Q152" s="618"/>
      <c r="R152" s="618"/>
      <c r="S152" s="618"/>
      <c r="T152" s="671"/>
      <c r="U152" s="671"/>
      <c r="V152" s="671"/>
      <c r="W152" s="671"/>
      <c r="X152" s="671"/>
      <c r="Y152" s="671"/>
      <c r="Z152" s="671"/>
      <c r="AA152" s="671"/>
      <c r="AB152" s="671"/>
      <c r="AC152" s="671"/>
      <c r="AD152" s="671"/>
      <c r="AE152" s="671"/>
      <c r="AF152" s="671"/>
      <c r="AG152" s="671"/>
      <c r="AH152" s="671"/>
      <c r="AI152" s="671"/>
      <c r="AJ152" s="671"/>
      <c r="AK152" s="671"/>
      <c r="AL152" s="671"/>
      <c r="AM152" s="671"/>
      <c r="AN152" s="671"/>
      <c r="AO152" s="671"/>
      <c r="AP152" s="671"/>
      <c r="AQ152" s="671"/>
      <c r="AR152" s="671"/>
      <c r="AS152" s="671"/>
      <c r="AT152" s="671"/>
    </row>
    <row r="153" spans="1:46" s="667" customFormat="1">
      <c r="A153" s="227"/>
      <c r="B153" s="227"/>
      <c r="C153" s="274"/>
      <c r="E153" s="618"/>
      <c r="F153" s="671"/>
      <c r="G153" s="229"/>
      <c r="H153" s="229"/>
      <c r="I153" s="229"/>
      <c r="J153" s="229"/>
      <c r="K153" s="229"/>
      <c r="M153" s="618"/>
      <c r="N153" s="671"/>
      <c r="O153" s="671"/>
      <c r="P153" s="618"/>
      <c r="Q153" s="618"/>
      <c r="R153" s="618"/>
      <c r="S153" s="618"/>
      <c r="T153" s="671"/>
      <c r="U153" s="671"/>
      <c r="V153" s="671"/>
      <c r="W153" s="671"/>
      <c r="X153" s="671"/>
      <c r="Y153" s="671"/>
      <c r="Z153" s="671"/>
      <c r="AA153" s="671"/>
      <c r="AB153" s="671"/>
      <c r="AC153" s="671"/>
      <c r="AD153" s="671"/>
      <c r="AE153" s="671"/>
      <c r="AF153" s="671"/>
      <c r="AG153" s="671"/>
      <c r="AH153" s="671"/>
      <c r="AI153" s="671"/>
      <c r="AJ153" s="671"/>
      <c r="AK153" s="671"/>
      <c r="AL153" s="671"/>
      <c r="AM153" s="671"/>
      <c r="AN153" s="671"/>
      <c r="AO153" s="671"/>
      <c r="AP153" s="671"/>
      <c r="AQ153" s="671"/>
      <c r="AR153" s="671"/>
      <c r="AS153" s="671"/>
      <c r="AT153" s="671"/>
    </row>
    <row r="154" spans="1:46" s="667" customFormat="1">
      <c r="A154" s="227"/>
      <c r="B154" s="227"/>
      <c r="C154" s="274"/>
      <c r="E154" s="618"/>
      <c r="F154" s="671"/>
      <c r="G154" s="229"/>
      <c r="H154" s="229"/>
      <c r="I154" s="229"/>
      <c r="J154" s="229"/>
      <c r="K154" s="229"/>
      <c r="M154" s="618"/>
      <c r="N154" s="671"/>
      <c r="O154" s="671"/>
      <c r="P154" s="618"/>
      <c r="Q154" s="618"/>
      <c r="R154" s="618"/>
      <c r="S154" s="618"/>
      <c r="T154" s="671"/>
      <c r="U154" s="671"/>
      <c r="V154" s="671"/>
      <c r="W154" s="671"/>
      <c r="X154" s="671"/>
      <c r="Y154" s="671"/>
      <c r="Z154" s="671"/>
      <c r="AA154" s="671"/>
      <c r="AB154" s="671"/>
      <c r="AC154" s="671"/>
      <c r="AD154" s="671"/>
      <c r="AE154" s="671"/>
      <c r="AF154" s="671"/>
      <c r="AG154" s="671"/>
      <c r="AH154" s="671"/>
      <c r="AI154" s="671"/>
      <c r="AJ154" s="671"/>
      <c r="AK154" s="671"/>
      <c r="AL154" s="671"/>
      <c r="AM154" s="671"/>
      <c r="AN154" s="671"/>
      <c r="AO154" s="671"/>
      <c r="AP154" s="671"/>
      <c r="AQ154" s="671"/>
      <c r="AR154" s="671"/>
      <c r="AS154" s="671"/>
      <c r="AT154" s="671"/>
    </row>
    <row r="155" spans="1:46" s="667" customFormat="1">
      <c r="A155" s="227"/>
      <c r="B155" s="227"/>
      <c r="C155" s="274"/>
      <c r="E155" s="618"/>
      <c r="F155" s="671"/>
      <c r="G155" s="229"/>
      <c r="H155" s="229"/>
      <c r="I155" s="229"/>
      <c r="J155" s="229"/>
      <c r="K155" s="229"/>
      <c r="M155" s="618"/>
      <c r="N155" s="671"/>
      <c r="O155" s="671"/>
      <c r="P155" s="618"/>
      <c r="Q155" s="618"/>
      <c r="R155" s="618"/>
      <c r="S155" s="618"/>
      <c r="T155" s="671"/>
      <c r="U155" s="671"/>
      <c r="V155" s="671"/>
      <c r="W155" s="671"/>
      <c r="X155" s="671"/>
      <c r="Y155" s="671"/>
      <c r="Z155" s="671"/>
      <c r="AA155" s="671"/>
      <c r="AB155" s="671"/>
      <c r="AC155" s="671"/>
      <c r="AD155" s="671"/>
      <c r="AE155" s="671"/>
      <c r="AF155" s="671"/>
      <c r="AG155" s="671"/>
      <c r="AH155" s="671"/>
      <c r="AI155" s="671"/>
      <c r="AJ155" s="671"/>
      <c r="AK155" s="671"/>
      <c r="AL155" s="671"/>
      <c r="AM155" s="671"/>
      <c r="AN155" s="671"/>
      <c r="AO155" s="671"/>
      <c r="AP155" s="671"/>
      <c r="AQ155" s="671"/>
      <c r="AR155" s="671"/>
      <c r="AS155" s="671"/>
      <c r="AT155" s="671"/>
    </row>
    <row r="156" spans="1:46" s="667" customFormat="1">
      <c r="A156" s="227"/>
      <c r="B156" s="227"/>
      <c r="C156" s="274"/>
      <c r="E156" s="618"/>
      <c r="F156" s="671"/>
      <c r="G156" s="229"/>
      <c r="H156" s="229"/>
      <c r="I156" s="229"/>
      <c r="J156" s="229"/>
      <c r="K156" s="229"/>
      <c r="M156" s="618"/>
      <c r="N156" s="671"/>
      <c r="O156" s="671"/>
      <c r="P156" s="618"/>
      <c r="Q156" s="618"/>
      <c r="R156" s="618"/>
      <c r="S156" s="618"/>
      <c r="T156" s="671"/>
      <c r="U156" s="671"/>
      <c r="V156" s="671"/>
      <c r="W156" s="671"/>
      <c r="X156" s="671"/>
      <c r="Y156" s="671"/>
      <c r="Z156" s="671"/>
      <c r="AA156" s="671"/>
      <c r="AB156" s="671"/>
      <c r="AC156" s="671"/>
      <c r="AD156" s="671"/>
      <c r="AE156" s="671"/>
      <c r="AF156" s="671"/>
      <c r="AG156" s="671"/>
      <c r="AH156" s="671"/>
      <c r="AI156" s="671"/>
      <c r="AJ156" s="671"/>
      <c r="AK156" s="671"/>
      <c r="AL156" s="671"/>
      <c r="AM156" s="671"/>
      <c r="AN156" s="671"/>
      <c r="AO156" s="671"/>
      <c r="AP156" s="671"/>
      <c r="AQ156" s="671"/>
      <c r="AR156" s="671"/>
      <c r="AS156" s="671"/>
      <c r="AT156" s="671"/>
    </row>
    <row r="157" spans="1:46" s="667" customFormat="1">
      <c r="A157" s="227"/>
      <c r="B157" s="227"/>
      <c r="C157" s="274"/>
      <c r="E157" s="618"/>
      <c r="F157" s="671"/>
      <c r="G157" s="229"/>
      <c r="H157" s="229"/>
      <c r="I157" s="229"/>
      <c r="J157" s="229"/>
      <c r="K157" s="229"/>
      <c r="M157" s="618"/>
      <c r="N157" s="671"/>
      <c r="O157" s="671"/>
      <c r="P157" s="618"/>
      <c r="Q157" s="618"/>
      <c r="R157" s="618"/>
      <c r="S157" s="618"/>
      <c r="T157" s="671"/>
      <c r="U157" s="671"/>
      <c r="V157" s="671"/>
      <c r="W157" s="671"/>
      <c r="X157" s="671"/>
      <c r="Y157" s="671"/>
      <c r="Z157" s="671"/>
      <c r="AA157" s="671"/>
      <c r="AB157" s="671"/>
      <c r="AC157" s="671"/>
      <c r="AD157" s="671"/>
      <c r="AE157" s="671"/>
      <c r="AF157" s="671"/>
      <c r="AG157" s="671"/>
      <c r="AH157" s="671"/>
      <c r="AI157" s="671"/>
      <c r="AJ157" s="671"/>
      <c r="AK157" s="671"/>
      <c r="AL157" s="671"/>
      <c r="AM157" s="671"/>
      <c r="AN157" s="671"/>
      <c r="AO157" s="671"/>
      <c r="AP157" s="671"/>
      <c r="AQ157" s="671"/>
      <c r="AR157" s="671"/>
      <c r="AS157" s="671"/>
      <c r="AT157" s="671"/>
    </row>
    <row r="158" spans="1:46" s="667" customFormat="1">
      <c r="A158" s="227"/>
      <c r="B158" s="227"/>
      <c r="C158" s="274"/>
      <c r="E158" s="618"/>
      <c r="F158" s="671"/>
      <c r="G158" s="229"/>
      <c r="H158" s="229"/>
      <c r="I158" s="229"/>
      <c r="J158" s="229"/>
      <c r="K158" s="229"/>
      <c r="M158" s="618"/>
      <c r="N158" s="671"/>
      <c r="O158" s="671"/>
      <c r="P158" s="618"/>
      <c r="Q158" s="618"/>
      <c r="R158" s="618"/>
      <c r="S158" s="618"/>
      <c r="T158" s="671"/>
      <c r="U158" s="671"/>
      <c r="V158" s="671"/>
      <c r="W158" s="671"/>
      <c r="X158" s="671"/>
      <c r="Y158" s="671"/>
      <c r="Z158" s="671"/>
      <c r="AA158" s="671"/>
      <c r="AB158" s="671"/>
      <c r="AC158" s="671"/>
      <c r="AD158" s="671"/>
      <c r="AE158" s="671"/>
      <c r="AF158" s="671"/>
      <c r="AG158" s="671"/>
      <c r="AH158" s="671"/>
      <c r="AI158" s="671"/>
      <c r="AJ158" s="671"/>
      <c r="AK158" s="671"/>
      <c r="AL158" s="671"/>
      <c r="AM158" s="671"/>
      <c r="AN158" s="671"/>
      <c r="AO158" s="671"/>
      <c r="AP158" s="671"/>
      <c r="AQ158" s="671"/>
      <c r="AR158" s="671"/>
      <c r="AS158" s="671"/>
      <c r="AT158" s="671"/>
    </row>
    <row r="159" spans="1:46" s="667" customFormat="1">
      <c r="A159" s="227"/>
      <c r="B159" s="227"/>
      <c r="C159" s="274"/>
      <c r="E159" s="618"/>
      <c r="F159" s="671"/>
      <c r="G159" s="229"/>
      <c r="H159" s="229"/>
      <c r="I159" s="229"/>
      <c r="J159" s="229"/>
      <c r="K159" s="229"/>
      <c r="M159" s="618"/>
      <c r="N159" s="671"/>
      <c r="O159" s="671"/>
      <c r="P159" s="618"/>
      <c r="Q159" s="618"/>
      <c r="R159" s="618"/>
      <c r="S159" s="618"/>
      <c r="T159" s="671"/>
      <c r="U159" s="671"/>
      <c r="V159" s="671"/>
      <c r="W159" s="671"/>
      <c r="X159" s="671"/>
      <c r="Y159" s="671"/>
      <c r="Z159" s="671"/>
      <c r="AA159" s="671"/>
      <c r="AB159" s="671"/>
      <c r="AC159" s="671"/>
      <c r="AD159" s="671"/>
      <c r="AE159" s="671"/>
      <c r="AF159" s="671"/>
      <c r="AG159" s="671"/>
      <c r="AH159" s="671"/>
      <c r="AI159" s="671"/>
      <c r="AJ159" s="671"/>
      <c r="AK159" s="671"/>
      <c r="AL159" s="671"/>
      <c r="AM159" s="671"/>
      <c r="AN159" s="671"/>
      <c r="AO159" s="671"/>
      <c r="AP159" s="671"/>
      <c r="AQ159" s="671"/>
      <c r="AR159" s="671"/>
      <c r="AS159" s="671"/>
      <c r="AT159" s="671"/>
    </row>
    <row r="160" spans="1:46" s="667" customFormat="1">
      <c r="A160" s="227"/>
      <c r="B160" s="227"/>
      <c r="C160" s="274"/>
      <c r="E160" s="618"/>
      <c r="F160" s="671"/>
      <c r="G160" s="229"/>
      <c r="H160" s="229"/>
      <c r="I160" s="229"/>
      <c r="J160" s="229"/>
      <c r="K160" s="229"/>
      <c r="M160" s="618"/>
      <c r="N160" s="671"/>
      <c r="O160" s="671"/>
      <c r="P160" s="618"/>
      <c r="Q160" s="618"/>
      <c r="R160" s="618"/>
      <c r="S160" s="618"/>
      <c r="T160" s="671"/>
      <c r="U160" s="671"/>
      <c r="V160" s="671"/>
      <c r="W160" s="671"/>
      <c r="X160" s="671"/>
      <c r="Y160" s="671"/>
      <c r="Z160" s="671"/>
      <c r="AA160" s="671"/>
      <c r="AB160" s="671"/>
      <c r="AC160" s="671"/>
      <c r="AD160" s="671"/>
      <c r="AE160" s="671"/>
      <c r="AF160" s="671"/>
      <c r="AG160" s="671"/>
      <c r="AH160" s="671"/>
      <c r="AI160" s="671"/>
      <c r="AJ160" s="671"/>
      <c r="AK160" s="671"/>
      <c r="AL160" s="671"/>
      <c r="AM160" s="671"/>
      <c r="AN160" s="671"/>
      <c r="AO160" s="671"/>
      <c r="AP160" s="671"/>
      <c r="AQ160" s="671"/>
      <c r="AR160" s="671"/>
      <c r="AS160" s="671"/>
      <c r="AT160" s="671"/>
    </row>
    <row r="161" spans="1:46" s="667" customFormat="1">
      <c r="A161" s="227"/>
      <c r="B161" s="227"/>
      <c r="C161" s="274"/>
      <c r="E161" s="618"/>
      <c r="F161" s="671"/>
      <c r="G161" s="229"/>
      <c r="H161" s="229"/>
      <c r="I161" s="229"/>
      <c r="J161" s="229"/>
      <c r="K161" s="229"/>
      <c r="M161" s="618"/>
      <c r="N161" s="671"/>
      <c r="O161" s="671"/>
      <c r="P161" s="618"/>
      <c r="Q161" s="618"/>
      <c r="R161" s="618"/>
      <c r="S161" s="618"/>
      <c r="T161" s="671"/>
      <c r="U161" s="671"/>
      <c r="V161" s="671"/>
      <c r="W161" s="671"/>
      <c r="X161" s="671"/>
      <c r="Y161" s="671"/>
      <c r="Z161" s="671"/>
      <c r="AA161" s="671"/>
      <c r="AB161" s="671"/>
      <c r="AC161" s="671"/>
      <c r="AD161" s="671"/>
      <c r="AE161" s="671"/>
      <c r="AF161" s="671"/>
      <c r="AG161" s="671"/>
      <c r="AH161" s="671"/>
      <c r="AI161" s="671"/>
      <c r="AJ161" s="671"/>
      <c r="AK161" s="671"/>
      <c r="AL161" s="671"/>
      <c r="AM161" s="671"/>
      <c r="AN161" s="671"/>
      <c r="AO161" s="671"/>
      <c r="AP161" s="671"/>
      <c r="AQ161" s="671"/>
      <c r="AR161" s="671"/>
      <c r="AS161" s="671"/>
      <c r="AT161" s="671"/>
    </row>
    <row r="162" spans="1:46" s="667" customFormat="1">
      <c r="A162" s="227"/>
      <c r="B162" s="227"/>
      <c r="C162" s="274"/>
      <c r="E162" s="618"/>
      <c r="F162" s="671"/>
      <c r="G162" s="229"/>
      <c r="H162" s="229"/>
      <c r="I162" s="229"/>
      <c r="J162" s="229"/>
      <c r="K162" s="229"/>
      <c r="M162" s="618"/>
      <c r="N162" s="671"/>
      <c r="O162" s="671"/>
      <c r="P162" s="618"/>
      <c r="Q162" s="618"/>
      <c r="R162" s="618"/>
      <c r="S162" s="618"/>
      <c r="T162" s="671"/>
      <c r="U162" s="671"/>
      <c r="V162" s="671"/>
      <c r="W162" s="671"/>
      <c r="X162" s="671"/>
      <c r="Y162" s="671"/>
      <c r="Z162" s="671"/>
      <c r="AA162" s="671"/>
      <c r="AB162" s="671"/>
      <c r="AC162" s="671"/>
      <c r="AD162" s="671"/>
      <c r="AE162" s="671"/>
      <c r="AF162" s="671"/>
      <c r="AG162" s="671"/>
      <c r="AH162" s="671"/>
      <c r="AI162" s="671"/>
      <c r="AJ162" s="671"/>
      <c r="AK162" s="671"/>
      <c r="AL162" s="671"/>
      <c r="AM162" s="671"/>
      <c r="AN162" s="671"/>
      <c r="AO162" s="671"/>
      <c r="AP162" s="671"/>
      <c r="AQ162" s="671"/>
      <c r="AR162" s="671"/>
      <c r="AS162" s="671"/>
      <c r="AT162" s="671"/>
    </row>
    <row r="163" spans="1:46" s="667" customFormat="1">
      <c r="A163" s="227"/>
      <c r="B163" s="227"/>
      <c r="C163" s="274"/>
      <c r="E163" s="618"/>
      <c r="F163" s="671"/>
      <c r="G163" s="229"/>
      <c r="H163" s="229"/>
      <c r="I163" s="229"/>
      <c r="J163" s="229"/>
      <c r="K163" s="229"/>
      <c r="M163" s="618"/>
      <c r="N163" s="671"/>
      <c r="O163" s="671"/>
      <c r="P163" s="618"/>
      <c r="Q163" s="618"/>
      <c r="R163" s="618"/>
      <c r="S163" s="618"/>
      <c r="T163" s="671"/>
      <c r="U163" s="671"/>
      <c r="V163" s="671"/>
      <c r="W163" s="671"/>
      <c r="X163" s="671"/>
      <c r="Y163" s="671"/>
      <c r="Z163" s="671"/>
      <c r="AA163" s="671"/>
      <c r="AB163" s="671"/>
      <c r="AC163" s="671"/>
      <c r="AD163" s="671"/>
      <c r="AE163" s="671"/>
      <c r="AF163" s="671"/>
      <c r="AG163" s="671"/>
      <c r="AH163" s="671"/>
      <c r="AI163" s="671"/>
      <c r="AJ163" s="671"/>
      <c r="AK163" s="671"/>
      <c r="AL163" s="671"/>
      <c r="AM163" s="671"/>
      <c r="AN163" s="671"/>
      <c r="AO163" s="671"/>
      <c r="AP163" s="671"/>
      <c r="AQ163" s="671"/>
      <c r="AR163" s="671"/>
      <c r="AS163" s="671"/>
      <c r="AT163" s="671"/>
    </row>
    <row r="164" spans="1:46" s="667" customFormat="1">
      <c r="A164" s="227"/>
      <c r="B164" s="227"/>
      <c r="C164" s="274"/>
      <c r="E164" s="618"/>
      <c r="F164" s="671"/>
      <c r="G164" s="229"/>
      <c r="H164" s="229"/>
      <c r="I164" s="229"/>
      <c r="J164" s="229"/>
      <c r="K164" s="229"/>
      <c r="M164" s="618"/>
      <c r="N164" s="671"/>
      <c r="O164" s="671"/>
      <c r="P164" s="618"/>
      <c r="Q164" s="618"/>
      <c r="R164" s="618"/>
      <c r="S164" s="618"/>
      <c r="T164" s="671"/>
      <c r="U164" s="671"/>
      <c r="V164" s="671"/>
      <c r="W164" s="671"/>
      <c r="X164" s="671"/>
      <c r="Y164" s="671"/>
      <c r="Z164" s="671"/>
      <c r="AA164" s="671"/>
      <c r="AB164" s="671"/>
      <c r="AC164" s="671"/>
      <c r="AD164" s="671"/>
      <c r="AE164" s="671"/>
      <c r="AF164" s="671"/>
      <c r="AG164" s="671"/>
      <c r="AH164" s="671"/>
      <c r="AI164" s="671"/>
      <c r="AJ164" s="671"/>
      <c r="AK164" s="671"/>
      <c r="AL164" s="671"/>
      <c r="AM164" s="671"/>
      <c r="AN164" s="671"/>
      <c r="AO164" s="671"/>
      <c r="AP164" s="671"/>
      <c r="AQ164" s="671"/>
      <c r="AR164" s="671"/>
      <c r="AS164" s="671"/>
      <c r="AT164" s="671"/>
    </row>
    <row r="165" spans="1:46" s="667" customFormat="1">
      <c r="A165" s="227"/>
      <c r="B165" s="227"/>
      <c r="C165" s="274"/>
      <c r="E165" s="618"/>
      <c r="F165" s="671"/>
      <c r="G165" s="229"/>
      <c r="H165" s="229"/>
      <c r="I165" s="229"/>
      <c r="J165" s="229"/>
      <c r="K165" s="229"/>
      <c r="M165" s="618"/>
      <c r="N165" s="671"/>
      <c r="O165" s="671"/>
      <c r="P165" s="618"/>
      <c r="Q165" s="618"/>
      <c r="R165" s="618"/>
      <c r="S165" s="618"/>
      <c r="T165" s="671"/>
      <c r="U165" s="671"/>
      <c r="V165" s="671"/>
      <c r="W165" s="671"/>
      <c r="X165" s="671"/>
      <c r="Y165" s="671"/>
      <c r="Z165" s="671"/>
      <c r="AA165" s="671"/>
      <c r="AB165" s="671"/>
      <c r="AC165" s="671"/>
      <c r="AD165" s="671"/>
      <c r="AE165" s="671"/>
      <c r="AF165" s="671"/>
      <c r="AG165" s="671"/>
      <c r="AH165" s="671"/>
      <c r="AI165" s="671"/>
      <c r="AJ165" s="671"/>
      <c r="AK165" s="671"/>
      <c r="AL165" s="671"/>
      <c r="AM165" s="671"/>
      <c r="AN165" s="671"/>
      <c r="AO165" s="671"/>
      <c r="AP165" s="671"/>
      <c r="AQ165" s="671"/>
      <c r="AR165" s="671"/>
      <c r="AS165" s="671"/>
      <c r="AT165" s="671"/>
    </row>
    <row r="166" spans="1:46" s="667" customFormat="1">
      <c r="A166" s="227"/>
      <c r="B166" s="227"/>
      <c r="C166" s="274"/>
      <c r="E166" s="618"/>
      <c r="F166" s="671"/>
      <c r="G166" s="229"/>
      <c r="H166" s="229"/>
      <c r="I166" s="229"/>
      <c r="J166" s="229"/>
      <c r="K166" s="229"/>
      <c r="M166" s="618"/>
      <c r="N166" s="671"/>
      <c r="O166" s="671"/>
      <c r="P166" s="618"/>
      <c r="Q166" s="618"/>
      <c r="R166" s="618"/>
      <c r="S166" s="618"/>
      <c r="T166" s="671"/>
      <c r="U166" s="671"/>
      <c r="V166" s="671"/>
      <c r="W166" s="671"/>
      <c r="X166" s="671"/>
      <c r="Y166" s="671"/>
      <c r="Z166" s="671"/>
      <c r="AA166" s="671"/>
      <c r="AB166" s="671"/>
      <c r="AC166" s="671"/>
      <c r="AD166" s="671"/>
      <c r="AE166" s="671"/>
      <c r="AF166" s="671"/>
      <c r="AG166" s="671"/>
      <c r="AH166" s="671"/>
      <c r="AI166" s="671"/>
      <c r="AJ166" s="671"/>
      <c r="AK166" s="671"/>
      <c r="AL166" s="671"/>
      <c r="AM166" s="671"/>
      <c r="AN166" s="671"/>
      <c r="AO166" s="671"/>
      <c r="AP166" s="671"/>
      <c r="AQ166" s="671"/>
      <c r="AR166" s="671"/>
      <c r="AS166" s="671"/>
      <c r="AT166" s="671"/>
    </row>
    <row r="167" spans="1:46" s="667" customFormat="1">
      <c r="A167" s="227"/>
      <c r="B167" s="227"/>
      <c r="C167" s="274"/>
      <c r="E167" s="618"/>
      <c r="F167" s="671"/>
      <c r="G167" s="229"/>
      <c r="H167" s="229"/>
      <c r="I167" s="229"/>
      <c r="J167" s="229"/>
      <c r="K167" s="229"/>
      <c r="M167" s="618"/>
      <c r="N167" s="671"/>
      <c r="O167" s="671"/>
      <c r="P167" s="618"/>
      <c r="Q167" s="618"/>
      <c r="R167" s="618"/>
      <c r="S167" s="618"/>
      <c r="T167" s="671"/>
      <c r="U167" s="671"/>
      <c r="V167" s="671"/>
      <c r="W167" s="671"/>
      <c r="X167" s="671"/>
      <c r="Y167" s="671"/>
      <c r="Z167" s="671"/>
      <c r="AA167" s="671"/>
      <c r="AB167" s="671"/>
      <c r="AC167" s="671"/>
      <c r="AD167" s="671"/>
      <c r="AE167" s="671"/>
      <c r="AF167" s="671"/>
      <c r="AG167" s="671"/>
      <c r="AH167" s="671"/>
      <c r="AI167" s="671"/>
      <c r="AJ167" s="671"/>
      <c r="AK167" s="671"/>
      <c r="AL167" s="671"/>
      <c r="AM167" s="671"/>
      <c r="AN167" s="671"/>
      <c r="AO167" s="671"/>
      <c r="AP167" s="671"/>
      <c r="AQ167" s="671"/>
      <c r="AR167" s="671"/>
      <c r="AS167" s="671"/>
      <c r="AT167" s="671"/>
    </row>
    <row r="168" spans="1:46" s="667" customFormat="1">
      <c r="A168" s="227"/>
      <c r="B168" s="227"/>
      <c r="C168" s="274"/>
      <c r="E168" s="618"/>
      <c r="F168" s="671"/>
      <c r="G168" s="229"/>
      <c r="H168" s="229"/>
      <c r="I168" s="229"/>
      <c r="J168" s="229"/>
      <c r="K168" s="229"/>
      <c r="M168" s="618"/>
      <c r="N168" s="671"/>
      <c r="O168" s="671"/>
      <c r="P168" s="618"/>
      <c r="Q168" s="618"/>
      <c r="R168" s="618"/>
      <c r="S168" s="618"/>
      <c r="T168" s="671"/>
      <c r="U168" s="671"/>
      <c r="V168" s="671"/>
      <c r="W168" s="671"/>
      <c r="X168" s="671"/>
      <c r="Y168" s="671"/>
      <c r="Z168" s="671"/>
      <c r="AA168" s="671"/>
      <c r="AB168" s="671"/>
      <c r="AC168" s="671"/>
      <c r="AD168" s="671"/>
      <c r="AE168" s="671"/>
      <c r="AF168" s="671"/>
      <c r="AG168" s="671"/>
      <c r="AH168" s="671"/>
      <c r="AI168" s="671"/>
      <c r="AJ168" s="671"/>
      <c r="AK168" s="671"/>
      <c r="AL168" s="671"/>
      <c r="AM168" s="671"/>
      <c r="AN168" s="671"/>
      <c r="AO168" s="671"/>
      <c r="AP168" s="671"/>
      <c r="AQ168" s="671"/>
      <c r="AR168" s="671"/>
      <c r="AS168" s="671"/>
      <c r="AT168" s="671"/>
    </row>
    <row r="169" spans="1:46" s="667" customFormat="1">
      <c r="A169" s="227"/>
      <c r="B169" s="227"/>
      <c r="C169" s="274"/>
      <c r="E169" s="618"/>
      <c r="F169" s="671"/>
      <c r="G169" s="229"/>
      <c r="H169" s="229"/>
      <c r="I169" s="229"/>
      <c r="J169" s="229"/>
      <c r="K169" s="229"/>
      <c r="M169" s="618"/>
      <c r="N169" s="671"/>
      <c r="O169" s="671"/>
      <c r="P169" s="618"/>
      <c r="Q169" s="618"/>
      <c r="R169" s="618"/>
      <c r="S169" s="618"/>
      <c r="T169" s="671"/>
      <c r="U169" s="671"/>
      <c r="V169" s="671"/>
      <c r="W169" s="671"/>
      <c r="X169" s="671"/>
      <c r="Y169" s="671"/>
      <c r="Z169" s="671"/>
      <c r="AA169" s="671"/>
      <c r="AB169" s="671"/>
      <c r="AC169" s="671"/>
      <c r="AD169" s="671"/>
      <c r="AE169" s="671"/>
      <c r="AF169" s="671"/>
      <c r="AG169" s="671"/>
      <c r="AH169" s="671"/>
      <c r="AI169" s="671"/>
      <c r="AJ169" s="671"/>
      <c r="AK169" s="671"/>
      <c r="AL169" s="671"/>
      <c r="AM169" s="671"/>
      <c r="AN169" s="671"/>
      <c r="AO169" s="671"/>
      <c r="AP169" s="671"/>
      <c r="AQ169" s="671"/>
      <c r="AR169" s="671"/>
      <c r="AS169" s="671"/>
      <c r="AT169" s="671"/>
    </row>
    <row r="170" spans="1:46" s="667" customFormat="1">
      <c r="A170" s="227"/>
      <c r="B170" s="227"/>
      <c r="C170" s="274"/>
      <c r="E170" s="618"/>
      <c r="F170" s="671"/>
      <c r="G170" s="229"/>
      <c r="H170" s="229"/>
      <c r="I170" s="229"/>
      <c r="J170" s="229"/>
      <c r="K170" s="229"/>
      <c r="M170" s="618"/>
      <c r="N170" s="671"/>
      <c r="O170" s="671"/>
      <c r="P170" s="618"/>
      <c r="Q170" s="618"/>
      <c r="R170" s="618"/>
      <c r="S170" s="618"/>
      <c r="T170" s="671"/>
      <c r="U170" s="671"/>
      <c r="V170" s="671"/>
      <c r="W170" s="671"/>
      <c r="X170" s="671"/>
      <c r="Y170" s="671"/>
      <c r="Z170" s="671"/>
      <c r="AA170" s="671"/>
      <c r="AB170" s="671"/>
      <c r="AC170" s="671"/>
      <c r="AD170" s="671"/>
      <c r="AE170" s="671"/>
      <c r="AF170" s="671"/>
      <c r="AG170" s="671"/>
      <c r="AH170" s="671"/>
      <c r="AI170" s="671"/>
      <c r="AJ170" s="671"/>
      <c r="AK170" s="671"/>
      <c r="AL170" s="671"/>
      <c r="AM170" s="671"/>
      <c r="AN170" s="671"/>
      <c r="AO170" s="671"/>
      <c r="AP170" s="671"/>
      <c r="AQ170" s="671"/>
      <c r="AR170" s="671"/>
      <c r="AS170" s="671"/>
      <c r="AT170" s="671"/>
    </row>
    <row r="171" spans="1:46" s="667" customFormat="1">
      <c r="A171" s="227"/>
      <c r="B171" s="227"/>
      <c r="C171" s="274"/>
      <c r="E171" s="618"/>
      <c r="F171" s="671"/>
      <c r="G171" s="229"/>
      <c r="H171" s="229"/>
      <c r="I171" s="229"/>
      <c r="J171" s="229"/>
      <c r="K171" s="229"/>
      <c r="M171" s="618"/>
      <c r="N171" s="671"/>
      <c r="O171" s="671"/>
      <c r="P171" s="618"/>
      <c r="Q171" s="618"/>
      <c r="R171" s="618"/>
      <c r="S171" s="618"/>
      <c r="T171" s="671"/>
      <c r="U171" s="671"/>
      <c r="V171" s="671"/>
      <c r="W171" s="671"/>
      <c r="X171" s="671"/>
      <c r="Y171" s="671"/>
      <c r="Z171" s="671"/>
      <c r="AA171" s="671"/>
      <c r="AB171" s="671"/>
      <c r="AC171" s="671"/>
      <c r="AD171" s="671"/>
      <c r="AE171" s="671"/>
      <c r="AF171" s="671"/>
      <c r="AG171" s="671"/>
      <c r="AH171" s="671"/>
      <c r="AI171" s="671"/>
      <c r="AJ171" s="671"/>
      <c r="AK171" s="671"/>
      <c r="AL171" s="671"/>
      <c r="AM171" s="671"/>
      <c r="AN171" s="671"/>
      <c r="AO171" s="671"/>
      <c r="AP171" s="671"/>
      <c r="AQ171" s="671"/>
      <c r="AR171" s="671"/>
      <c r="AS171" s="671"/>
      <c r="AT171" s="671"/>
    </row>
    <row r="172" spans="1:46" s="667" customFormat="1">
      <c r="A172" s="227"/>
      <c r="B172" s="227"/>
      <c r="C172" s="274"/>
      <c r="E172" s="618"/>
      <c r="F172" s="671"/>
      <c r="G172" s="229"/>
      <c r="H172" s="229"/>
      <c r="I172" s="229"/>
      <c r="J172" s="229"/>
      <c r="K172" s="229"/>
      <c r="M172" s="618"/>
      <c r="N172" s="671"/>
      <c r="O172" s="671"/>
      <c r="P172" s="618"/>
      <c r="Q172" s="618"/>
      <c r="R172" s="618"/>
      <c r="S172" s="618"/>
      <c r="T172" s="671"/>
      <c r="U172" s="671"/>
      <c r="V172" s="671"/>
      <c r="W172" s="671"/>
      <c r="X172" s="671"/>
      <c r="Y172" s="671"/>
      <c r="Z172" s="671"/>
      <c r="AA172" s="671"/>
      <c r="AB172" s="671"/>
      <c r="AC172" s="671"/>
      <c r="AD172" s="671"/>
      <c r="AE172" s="671"/>
      <c r="AF172" s="671"/>
      <c r="AG172" s="671"/>
      <c r="AH172" s="671"/>
      <c r="AI172" s="671"/>
      <c r="AJ172" s="671"/>
      <c r="AK172" s="671"/>
      <c r="AL172" s="671"/>
      <c r="AM172" s="671"/>
      <c r="AN172" s="671"/>
      <c r="AO172" s="671"/>
      <c r="AP172" s="671"/>
      <c r="AQ172" s="671"/>
      <c r="AR172" s="671"/>
      <c r="AS172" s="671"/>
      <c r="AT172" s="671"/>
    </row>
    <row r="173" spans="1:46" s="667" customFormat="1">
      <c r="A173" s="227"/>
      <c r="B173" s="227"/>
      <c r="C173" s="274"/>
      <c r="E173" s="618"/>
      <c r="F173" s="671"/>
      <c r="G173" s="229"/>
      <c r="H173" s="229"/>
      <c r="I173" s="229"/>
      <c r="J173" s="229"/>
      <c r="K173" s="229"/>
      <c r="M173" s="618"/>
      <c r="N173" s="671"/>
      <c r="O173" s="671"/>
      <c r="P173" s="618"/>
      <c r="Q173" s="618"/>
      <c r="R173" s="618"/>
      <c r="S173" s="618"/>
      <c r="T173" s="671"/>
      <c r="U173" s="671"/>
      <c r="V173" s="671"/>
      <c r="W173" s="671"/>
      <c r="X173" s="671"/>
      <c r="Y173" s="671"/>
      <c r="Z173" s="671"/>
      <c r="AA173" s="671"/>
      <c r="AB173" s="671"/>
      <c r="AC173" s="671"/>
      <c r="AD173" s="671"/>
      <c r="AE173" s="671"/>
      <c r="AF173" s="671"/>
      <c r="AG173" s="671"/>
      <c r="AH173" s="671"/>
      <c r="AI173" s="671"/>
      <c r="AJ173" s="671"/>
      <c r="AK173" s="671"/>
      <c r="AL173" s="671"/>
      <c r="AM173" s="671"/>
      <c r="AN173" s="671"/>
      <c r="AO173" s="671"/>
      <c r="AP173" s="671"/>
      <c r="AQ173" s="671"/>
      <c r="AR173" s="671"/>
      <c r="AS173" s="671"/>
      <c r="AT173" s="671"/>
    </row>
    <row r="174" spans="1:46" s="667" customFormat="1">
      <c r="A174" s="227"/>
      <c r="B174" s="227"/>
      <c r="C174" s="274"/>
      <c r="E174" s="618"/>
      <c r="F174" s="671"/>
      <c r="G174" s="229"/>
      <c r="H174" s="229"/>
      <c r="I174" s="229"/>
      <c r="J174" s="229"/>
      <c r="K174" s="229"/>
      <c r="M174" s="618"/>
      <c r="N174" s="671"/>
      <c r="O174" s="671"/>
      <c r="P174" s="618"/>
      <c r="Q174" s="618"/>
      <c r="R174" s="618"/>
      <c r="S174" s="618"/>
      <c r="T174" s="671"/>
      <c r="U174" s="671"/>
      <c r="V174" s="671"/>
      <c r="W174" s="671"/>
      <c r="X174" s="671"/>
      <c r="Y174" s="671"/>
      <c r="Z174" s="671"/>
      <c r="AA174" s="671"/>
      <c r="AB174" s="671"/>
      <c r="AC174" s="671"/>
      <c r="AD174" s="671"/>
      <c r="AE174" s="671"/>
      <c r="AF174" s="671"/>
      <c r="AG174" s="671"/>
      <c r="AH174" s="671"/>
      <c r="AI174" s="671"/>
      <c r="AJ174" s="671"/>
      <c r="AK174" s="671"/>
      <c r="AL174" s="671"/>
      <c r="AM174" s="671"/>
      <c r="AN174" s="671"/>
      <c r="AO174" s="671"/>
      <c r="AP174" s="671"/>
      <c r="AQ174" s="671"/>
      <c r="AR174" s="671"/>
      <c r="AS174" s="671"/>
      <c r="AT174" s="671"/>
    </row>
    <row r="175" spans="1:46" s="667" customFormat="1">
      <c r="A175" s="227"/>
      <c r="B175" s="227"/>
      <c r="C175" s="274"/>
      <c r="E175" s="618"/>
      <c r="F175" s="671"/>
      <c r="G175" s="229"/>
      <c r="H175" s="229"/>
      <c r="I175" s="229"/>
      <c r="J175" s="229"/>
      <c r="K175" s="229"/>
      <c r="M175" s="618"/>
      <c r="N175" s="671"/>
      <c r="O175" s="671"/>
      <c r="P175" s="618"/>
      <c r="Q175" s="618"/>
      <c r="R175" s="618"/>
      <c r="S175" s="618"/>
      <c r="T175" s="671"/>
      <c r="U175" s="671"/>
      <c r="V175" s="671"/>
      <c r="W175" s="671"/>
      <c r="X175" s="671"/>
      <c r="Y175" s="671"/>
      <c r="Z175" s="671"/>
      <c r="AA175" s="671"/>
      <c r="AB175" s="671"/>
      <c r="AC175" s="671"/>
      <c r="AD175" s="671"/>
      <c r="AE175" s="671"/>
      <c r="AF175" s="671"/>
      <c r="AG175" s="671"/>
      <c r="AH175" s="671"/>
      <c r="AI175" s="671"/>
      <c r="AJ175" s="671"/>
      <c r="AK175" s="671"/>
      <c r="AL175" s="671"/>
      <c r="AM175" s="671"/>
      <c r="AN175" s="671"/>
      <c r="AO175" s="671"/>
      <c r="AP175" s="671"/>
      <c r="AQ175" s="671"/>
      <c r="AR175" s="671"/>
      <c r="AS175" s="671"/>
      <c r="AT175" s="671"/>
    </row>
    <row r="176" spans="1:46" s="667" customFormat="1">
      <c r="A176" s="227"/>
      <c r="B176" s="227"/>
      <c r="C176" s="274"/>
      <c r="E176" s="618"/>
      <c r="F176" s="671"/>
      <c r="G176" s="229"/>
      <c r="H176" s="229"/>
      <c r="I176" s="229"/>
      <c r="J176" s="229"/>
      <c r="K176" s="229"/>
      <c r="M176" s="618"/>
      <c r="N176" s="671"/>
      <c r="O176" s="671"/>
      <c r="P176" s="618"/>
      <c r="Q176" s="618"/>
      <c r="R176" s="618"/>
      <c r="S176" s="618"/>
      <c r="T176" s="671"/>
      <c r="U176" s="671"/>
      <c r="V176" s="671"/>
      <c r="W176" s="671"/>
      <c r="X176" s="671"/>
      <c r="Y176" s="671"/>
      <c r="Z176" s="671"/>
      <c r="AA176" s="671"/>
      <c r="AB176" s="671"/>
      <c r="AC176" s="671"/>
      <c r="AD176" s="671"/>
      <c r="AE176" s="671"/>
      <c r="AF176" s="671"/>
      <c r="AG176" s="671"/>
      <c r="AH176" s="671"/>
      <c r="AI176" s="671"/>
      <c r="AJ176" s="671"/>
      <c r="AK176" s="671"/>
      <c r="AL176" s="671"/>
      <c r="AM176" s="671"/>
      <c r="AN176" s="671"/>
      <c r="AO176" s="671"/>
      <c r="AP176" s="671"/>
      <c r="AQ176" s="671"/>
      <c r="AR176" s="671"/>
      <c r="AS176" s="671"/>
      <c r="AT176" s="671"/>
    </row>
    <row r="177" spans="1:46" s="667" customFormat="1">
      <c r="A177" s="227"/>
      <c r="B177" s="227"/>
      <c r="C177" s="274"/>
      <c r="E177" s="618"/>
      <c r="F177" s="671"/>
      <c r="G177" s="229"/>
      <c r="H177" s="229"/>
      <c r="I177" s="229"/>
      <c r="J177" s="229"/>
      <c r="K177" s="229"/>
      <c r="M177" s="618"/>
      <c r="N177" s="671"/>
      <c r="O177" s="671"/>
      <c r="P177" s="618"/>
      <c r="Q177" s="618"/>
      <c r="R177" s="618"/>
      <c r="S177" s="618"/>
      <c r="T177" s="671"/>
      <c r="U177" s="671"/>
      <c r="V177" s="671"/>
      <c r="W177" s="671"/>
      <c r="X177" s="671"/>
      <c r="Y177" s="671"/>
      <c r="Z177" s="671"/>
      <c r="AA177" s="671"/>
      <c r="AB177" s="671"/>
      <c r="AC177" s="671"/>
      <c r="AD177" s="671"/>
      <c r="AE177" s="671"/>
      <c r="AF177" s="671"/>
      <c r="AG177" s="671"/>
      <c r="AH177" s="671"/>
      <c r="AI177" s="671"/>
      <c r="AJ177" s="671"/>
      <c r="AK177" s="671"/>
      <c r="AL177" s="671"/>
      <c r="AM177" s="671"/>
      <c r="AN177" s="671"/>
      <c r="AO177" s="671"/>
      <c r="AP177" s="671"/>
      <c r="AQ177" s="671"/>
      <c r="AR177" s="671"/>
      <c r="AS177" s="671"/>
      <c r="AT177" s="671"/>
    </row>
    <row r="178" spans="1:46" s="667" customFormat="1">
      <c r="A178" s="227"/>
      <c r="B178" s="227"/>
      <c r="C178" s="274"/>
      <c r="E178" s="618"/>
      <c r="F178" s="671"/>
      <c r="G178" s="229"/>
      <c r="H178" s="229"/>
      <c r="I178" s="229"/>
      <c r="J178" s="229"/>
      <c r="K178" s="229"/>
      <c r="M178" s="618"/>
      <c r="N178" s="671"/>
      <c r="O178" s="671"/>
      <c r="P178" s="618"/>
      <c r="Q178" s="618"/>
      <c r="R178" s="618"/>
      <c r="S178" s="618"/>
      <c r="T178" s="671"/>
      <c r="U178" s="671"/>
      <c r="V178" s="671"/>
      <c r="W178" s="671"/>
      <c r="X178" s="671"/>
      <c r="Y178" s="671"/>
      <c r="Z178" s="671"/>
      <c r="AA178" s="671"/>
      <c r="AB178" s="671"/>
      <c r="AC178" s="671"/>
      <c r="AD178" s="671"/>
      <c r="AE178" s="671"/>
      <c r="AF178" s="671"/>
      <c r="AG178" s="671"/>
      <c r="AH178" s="671"/>
      <c r="AI178" s="671"/>
      <c r="AJ178" s="671"/>
      <c r="AK178" s="671"/>
      <c r="AL178" s="671"/>
      <c r="AM178" s="671"/>
      <c r="AN178" s="671"/>
      <c r="AO178" s="671"/>
      <c r="AP178" s="671"/>
      <c r="AQ178" s="671"/>
      <c r="AR178" s="671"/>
      <c r="AS178" s="671"/>
      <c r="AT178" s="671"/>
    </row>
    <row r="179" spans="1:46" s="667" customFormat="1">
      <c r="A179" s="227"/>
      <c r="B179" s="227"/>
      <c r="C179" s="274"/>
      <c r="E179" s="618"/>
      <c r="F179" s="671"/>
      <c r="G179" s="229"/>
      <c r="H179" s="229"/>
      <c r="I179" s="229"/>
      <c r="J179" s="229"/>
      <c r="K179" s="229"/>
      <c r="M179" s="618"/>
      <c r="N179" s="671"/>
      <c r="O179" s="671"/>
      <c r="P179" s="618"/>
      <c r="Q179" s="618"/>
      <c r="R179" s="618"/>
      <c r="S179" s="618"/>
      <c r="T179" s="671"/>
      <c r="U179" s="671"/>
      <c r="V179" s="671"/>
      <c r="W179" s="671"/>
      <c r="X179" s="671"/>
      <c r="Y179" s="671"/>
      <c r="Z179" s="671"/>
      <c r="AA179" s="671"/>
      <c r="AB179" s="671"/>
      <c r="AC179" s="671"/>
      <c r="AD179" s="671"/>
      <c r="AE179" s="671"/>
      <c r="AF179" s="671"/>
      <c r="AG179" s="671"/>
      <c r="AH179" s="671"/>
      <c r="AI179" s="671"/>
      <c r="AJ179" s="671"/>
      <c r="AK179" s="671"/>
      <c r="AL179" s="671"/>
      <c r="AM179" s="671"/>
      <c r="AN179" s="671"/>
      <c r="AO179" s="671"/>
      <c r="AP179" s="671"/>
      <c r="AQ179" s="671"/>
      <c r="AR179" s="671"/>
      <c r="AS179" s="671"/>
      <c r="AT179" s="671"/>
    </row>
    <row r="180" spans="1:46" s="667" customFormat="1">
      <c r="A180" s="227"/>
      <c r="B180" s="227"/>
      <c r="C180" s="274"/>
      <c r="E180" s="618"/>
      <c r="F180" s="671"/>
      <c r="G180" s="229"/>
      <c r="H180" s="229"/>
      <c r="I180" s="229"/>
      <c r="J180" s="229"/>
      <c r="K180" s="229"/>
      <c r="M180" s="618"/>
      <c r="N180" s="671"/>
      <c r="O180" s="671"/>
      <c r="P180" s="618"/>
      <c r="Q180" s="618"/>
      <c r="R180" s="618"/>
      <c r="S180" s="618"/>
      <c r="T180" s="671"/>
      <c r="U180" s="671"/>
      <c r="V180" s="671"/>
      <c r="W180" s="671"/>
      <c r="X180" s="671"/>
      <c r="Y180" s="671"/>
      <c r="Z180" s="671"/>
      <c r="AA180" s="671"/>
      <c r="AB180" s="671"/>
      <c r="AC180" s="671"/>
      <c r="AD180" s="671"/>
      <c r="AE180" s="671"/>
      <c r="AF180" s="671"/>
      <c r="AG180" s="671"/>
      <c r="AH180" s="671"/>
      <c r="AI180" s="671"/>
      <c r="AJ180" s="671"/>
      <c r="AK180" s="671"/>
      <c r="AL180" s="671"/>
      <c r="AM180" s="671"/>
      <c r="AN180" s="671"/>
      <c r="AO180" s="671"/>
      <c r="AP180" s="671"/>
      <c r="AQ180" s="671"/>
      <c r="AR180" s="671"/>
      <c r="AS180" s="671"/>
      <c r="AT180" s="671"/>
    </row>
    <row r="181" spans="1:46" s="667" customFormat="1">
      <c r="A181" s="227"/>
      <c r="B181" s="227"/>
      <c r="C181" s="274"/>
      <c r="E181" s="618"/>
      <c r="F181" s="671"/>
      <c r="G181" s="229"/>
      <c r="H181" s="229"/>
      <c r="I181" s="229"/>
      <c r="J181" s="229"/>
      <c r="K181" s="229"/>
      <c r="M181" s="618"/>
      <c r="N181" s="671"/>
      <c r="O181" s="671"/>
      <c r="P181" s="618"/>
      <c r="Q181" s="618"/>
      <c r="R181" s="618"/>
      <c r="S181" s="618"/>
      <c r="T181" s="671"/>
      <c r="U181" s="671"/>
      <c r="V181" s="671"/>
      <c r="W181" s="671"/>
      <c r="X181" s="671"/>
      <c r="Y181" s="671"/>
      <c r="Z181" s="671"/>
      <c r="AA181" s="671"/>
      <c r="AB181" s="671"/>
      <c r="AC181" s="671"/>
      <c r="AD181" s="671"/>
      <c r="AE181" s="671"/>
      <c r="AF181" s="671"/>
      <c r="AG181" s="671"/>
      <c r="AH181" s="671"/>
      <c r="AI181" s="671"/>
      <c r="AJ181" s="671"/>
      <c r="AK181" s="671"/>
      <c r="AL181" s="671"/>
      <c r="AM181" s="671"/>
      <c r="AN181" s="671"/>
      <c r="AO181" s="671"/>
      <c r="AP181" s="671"/>
      <c r="AQ181" s="671"/>
      <c r="AR181" s="671"/>
      <c r="AS181" s="671"/>
      <c r="AT181" s="671"/>
    </row>
    <row r="182" spans="1:46" s="667" customFormat="1">
      <c r="A182" s="227"/>
      <c r="B182" s="227"/>
      <c r="C182" s="274"/>
      <c r="E182" s="618"/>
      <c r="F182" s="671"/>
      <c r="G182" s="229"/>
      <c r="H182" s="229"/>
      <c r="I182" s="229"/>
      <c r="J182" s="229"/>
      <c r="K182" s="229"/>
      <c r="M182" s="618"/>
      <c r="N182" s="671"/>
      <c r="O182" s="671"/>
      <c r="P182" s="618"/>
      <c r="Q182" s="618"/>
      <c r="R182" s="618"/>
      <c r="S182" s="618"/>
      <c r="T182" s="671"/>
      <c r="U182" s="671"/>
      <c r="V182" s="671"/>
      <c r="W182" s="671"/>
      <c r="X182" s="671"/>
      <c r="Y182" s="671"/>
      <c r="Z182" s="671"/>
      <c r="AA182" s="671"/>
      <c r="AB182" s="671"/>
      <c r="AC182" s="671"/>
      <c r="AD182" s="671"/>
      <c r="AE182" s="671"/>
      <c r="AF182" s="671"/>
      <c r="AG182" s="671"/>
      <c r="AH182" s="671"/>
      <c r="AI182" s="671"/>
      <c r="AJ182" s="671"/>
      <c r="AK182" s="671"/>
      <c r="AL182" s="671"/>
      <c r="AM182" s="671"/>
      <c r="AN182" s="671"/>
      <c r="AO182" s="671"/>
      <c r="AP182" s="671"/>
      <c r="AQ182" s="671"/>
      <c r="AR182" s="671"/>
      <c r="AS182" s="671"/>
      <c r="AT182" s="671"/>
    </row>
    <row r="183" spans="1:46" s="667" customFormat="1">
      <c r="A183" s="227"/>
      <c r="B183" s="227"/>
      <c r="C183" s="274"/>
      <c r="E183" s="618"/>
      <c r="F183" s="671"/>
      <c r="G183" s="229"/>
      <c r="H183" s="229"/>
      <c r="I183" s="229"/>
      <c r="J183" s="229"/>
      <c r="K183" s="229"/>
      <c r="M183" s="618"/>
      <c r="N183" s="671"/>
      <c r="O183" s="671"/>
      <c r="P183" s="618"/>
      <c r="Q183" s="618"/>
      <c r="R183" s="618"/>
      <c r="S183" s="618"/>
      <c r="T183" s="671"/>
      <c r="U183" s="671"/>
      <c r="V183" s="671"/>
      <c r="W183" s="671"/>
      <c r="X183" s="671"/>
      <c r="Y183" s="671"/>
      <c r="Z183" s="671"/>
      <c r="AA183" s="671"/>
      <c r="AB183" s="671"/>
      <c r="AC183" s="671"/>
      <c r="AD183" s="671"/>
      <c r="AE183" s="671"/>
      <c r="AF183" s="671"/>
      <c r="AG183" s="671"/>
      <c r="AH183" s="671"/>
      <c r="AI183" s="671"/>
      <c r="AJ183" s="671"/>
      <c r="AK183" s="671"/>
      <c r="AL183" s="671"/>
      <c r="AM183" s="671"/>
      <c r="AN183" s="671"/>
      <c r="AO183" s="671"/>
      <c r="AP183" s="671"/>
      <c r="AQ183" s="671"/>
      <c r="AR183" s="671"/>
      <c r="AS183" s="671"/>
      <c r="AT183" s="671"/>
    </row>
    <row r="184" spans="1:46" s="667" customFormat="1">
      <c r="A184" s="227"/>
      <c r="B184" s="227"/>
      <c r="C184" s="274"/>
      <c r="E184" s="618"/>
      <c r="F184" s="671"/>
      <c r="G184" s="229"/>
      <c r="H184" s="229"/>
      <c r="I184" s="229"/>
      <c r="J184" s="229"/>
      <c r="K184" s="229"/>
      <c r="M184" s="618"/>
      <c r="N184" s="671"/>
      <c r="O184" s="671"/>
      <c r="P184" s="618"/>
      <c r="Q184" s="618"/>
      <c r="R184" s="618"/>
      <c r="S184" s="618"/>
      <c r="T184" s="671"/>
      <c r="U184" s="671"/>
      <c r="V184" s="671"/>
      <c r="W184" s="671"/>
      <c r="X184" s="671"/>
      <c r="Y184" s="671"/>
      <c r="Z184" s="671"/>
      <c r="AA184" s="671"/>
      <c r="AB184" s="671"/>
      <c r="AC184" s="671"/>
      <c r="AD184" s="671"/>
      <c r="AE184" s="671"/>
      <c r="AF184" s="671"/>
      <c r="AG184" s="671"/>
      <c r="AH184" s="671"/>
      <c r="AI184" s="671"/>
      <c r="AJ184" s="671"/>
      <c r="AK184" s="671"/>
      <c r="AL184" s="671"/>
      <c r="AM184" s="671"/>
      <c r="AN184" s="671"/>
      <c r="AO184" s="671"/>
      <c r="AP184" s="671"/>
      <c r="AQ184" s="671"/>
      <c r="AR184" s="671"/>
      <c r="AS184" s="671"/>
      <c r="AT184" s="671"/>
    </row>
    <row r="185" spans="1:46" s="667" customFormat="1">
      <c r="A185" s="227"/>
      <c r="B185" s="227"/>
      <c r="C185" s="274"/>
      <c r="E185" s="618"/>
      <c r="F185" s="671"/>
      <c r="G185" s="229"/>
      <c r="H185" s="229"/>
      <c r="I185" s="229"/>
      <c r="J185" s="229"/>
      <c r="K185" s="229"/>
      <c r="M185" s="618"/>
      <c r="N185" s="671"/>
      <c r="O185" s="671"/>
      <c r="P185" s="618"/>
      <c r="Q185" s="618"/>
      <c r="R185" s="618"/>
      <c r="S185" s="618"/>
      <c r="T185" s="671"/>
      <c r="U185" s="671"/>
      <c r="V185" s="671"/>
      <c r="W185" s="671"/>
      <c r="X185" s="671"/>
      <c r="Y185" s="671"/>
      <c r="Z185" s="671"/>
      <c r="AA185" s="671"/>
      <c r="AB185" s="671"/>
      <c r="AC185" s="671"/>
      <c r="AD185" s="671"/>
      <c r="AE185" s="671"/>
      <c r="AF185" s="671"/>
      <c r="AG185" s="671"/>
      <c r="AH185" s="671"/>
      <c r="AI185" s="671"/>
      <c r="AJ185" s="671"/>
      <c r="AK185" s="671"/>
      <c r="AL185" s="671"/>
      <c r="AM185" s="671"/>
      <c r="AN185" s="671"/>
      <c r="AO185" s="671"/>
      <c r="AP185" s="671"/>
      <c r="AQ185" s="671"/>
      <c r="AR185" s="671"/>
      <c r="AS185" s="671"/>
      <c r="AT185" s="671"/>
    </row>
    <row r="186" spans="1:46" s="667" customFormat="1">
      <c r="A186" s="227"/>
      <c r="B186" s="227"/>
      <c r="C186" s="274"/>
      <c r="E186" s="618"/>
      <c r="F186" s="671"/>
      <c r="G186" s="229"/>
      <c r="H186" s="229"/>
      <c r="I186" s="229"/>
      <c r="J186" s="229"/>
      <c r="K186" s="229"/>
      <c r="M186" s="618"/>
      <c r="N186" s="671"/>
      <c r="O186" s="671"/>
      <c r="P186" s="618"/>
      <c r="Q186" s="618"/>
      <c r="R186" s="618"/>
      <c r="S186" s="618"/>
      <c r="T186" s="671"/>
      <c r="U186" s="671"/>
      <c r="V186" s="671"/>
      <c r="W186" s="671"/>
      <c r="X186" s="671"/>
      <c r="Y186" s="671"/>
      <c r="Z186" s="671"/>
      <c r="AA186" s="671"/>
      <c r="AB186" s="671"/>
      <c r="AC186" s="671"/>
      <c r="AD186" s="671"/>
      <c r="AE186" s="671"/>
      <c r="AF186" s="671"/>
      <c r="AG186" s="671"/>
      <c r="AH186" s="671"/>
      <c r="AI186" s="671"/>
      <c r="AJ186" s="671"/>
      <c r="AK186" s="671"/>
      <c r="AL186" s="671"/>
      <c r="AM186" s="671"/>
      <c r="AN186" s="671"/>
      <c r="AO186" s="671"/>
      <c r="AP186" s="671"/>
      <c r="AQ186" s="671"/>
      <c r="AR186" s="671"/>
      <c r="AS186" s="671"/>
      <c r="AT186" s="671"/>
    </row>
    <row r="187" spans="1:46" s="667" customFormat="1">
      <c r="A187" s="227"/>
      <c r="B187" s="227"/>
      <c r="C187" s="274"/>
      <c r="E187" s="618"/>
      <c r="F187" s="671"/>
      <c r="G187" s="229"/>
      <c r="H187" s="229"/>
      <c r="I187" s="229"/>
      <c r="J187" s="229"/>
      <c r="K187" s="229"/>
      <c r="M187" s="618"/>
      <c r="N187" s="671"/>
      <c r="O187" s="671"/>
      <c r="P187" s="618"/>
      <c r="Q187" s="618"/>
      <c r="R187" s="618"/>
      <c r="S187" s="618"/>
      <c r="T187" s="671"/>
      <c r="U187" s="671"/>
      <c r="V187" s="671"/>
      <c r="W187" s="671"/>
      <c r="X187" s="671"/>
      <c r="Y187" s="671"/>
      <c r="Z187" s="671"/>
      <c r="AA187" s="671"/>
      <c r="AB187" s="671"/>
      <c r="AC187" s="671"/>
      <c r="AD187" s="671"/>
      <c r="AE187" s="671"/>
      <c r="AF187" s="671"/>
      <c r="AG187" s="671"/>
      <c r="AH187" s="671"/>
      <c r="AI187" s="671"/>
      <c r="AJ187" s="671"/>
      <c r="AK187" s="671"/>
      <c r="AL187" s="671"/>
      <c r="AM187" s="671"/>
      <c r="AN187" s="671"/>
      <c r="AO187" s="671"/>
      <c r="AP187" s="671"/>
      <c r="AQ187" s="671"/>
      <c r="AR187" s="671"/>
      <c r="AS187" s="671"/>
      <c r="AT187" s="671"/>
    </row>
    <row r="188" spans="1:46" s="667" customFormat="1">
      <c r="A188" s="227"/>
      <c r="B188" s="227"/>
      <c r="C188" s="274"/>
      <c r="E188" s="618"/>
      <c r="F188" s="671"/>
      <c r="G188" s="229"/>
      <c r="H188" s="229"/>
      <c r="I188" s="229"/>
      <c r="J188" s="229"/>
      <c r="K188" s="229"/>
      <c r="M188" s="618"/>
      <c r="N188" s="671"/>
      <c r="O188" s="671"/>
      <c r="P188" s="618"/>
      <c r="Q188" s="618"/>
      <c r="R188" s="618"/>
      <c r="S188" s="618"/>
      <c r="T188" s="671"/>
      <c r="U188" s="671"/>
      <c r="V188" s="671"/>
      <c r="W188" s="671"/>
      <c r="X188" s="671"/>
      <c r="Y188" s="671"/>
      <c r="Z188" s="671"/>
      <c r="AA188" s="671"/>
      <c r="AB188" s="671"/>
      <c r="AC188" s="671"/>
      <c r="AD188" s="671"/>
      <c r="AE188" s="671"/>
      <c r="AF188" s="671"/>
      <c r="AG188" s="671"/>
      <c r="AH188" s="671"/>
      <c r="AI188" s="671"/>
      <c r="AJ188" s="671"/>
      <c r="AK188" s="671"/>
      <c r="AL188" s="671"/>
      <c r="AM188" s="671"/>
      <c r="AN188" s="671"/>
      <c r="AO188" s="671"/>
      <c r="AP188" s="671"/>
      <c r="AQ188" s="671"/>
      <c r="AR188" s="671"/>
      <c r="AS188" s="671"/>
      <c r="AT188" s="671"/>
    </row>
    <row r="189" spans="1:46" s="667" customFormat="1">
      <c r="A189" s="227"/>
      <c r="B189" s="227"/>
      <c r="C189" s="274"/>
      <c r="E189" s="618"/>
      <c r="F189" s="671"/>
      <c r="G189" s="229"/>
      <c r="H189" s="229"/>
      <c r="I189" s="229"/>
      <c r="J189" s="229"/>
      <c r="K189" s="229"/>
      <c r="M189" s="618"/>
      <c r="N189" s="671"/>
      <c r="O189" s="671"/>
      <c r="P189" s="618"/>
      <c r="Q189" s="618"/>
      <c r="R189" s="618"/>
      <c r="S189" s="618"/>
      <c r="T189" s="671"/>
      <c r="U189" s="671"/>
      <c r="V189" s="671"/>
      <c r="W189" s="671"/>
      <c r="X189" s="671"/>
      <c r="Y189" s="671"/>
      <c r="Z189" s="671"/>
      <c r="AA189" s="671"/>
      <c r="AB189" s="671"/>
      <c r="AC189" s="671"/>
      <c r="AD189" s="671"/>
      <c r="AE189" s="671"/>
      <c r="AF189" s="671"/>
      <c r="AG189" s="671"/>
      <c r="AH189" s="671"/>
      <c r="AI189" s="671"/>
      <c r="AJ189" s="671"/>
      <c r="AK189" s="671"/>
      <c r="AL189" s="671"/>
      <c r="AM189" s="671"/>
      <c r="AN189" s="671"/>
      <c r="AO189" s="671"/>
      <c r="AP189" s="671"/>
      <c r="AQ189" s="671"/>
      <c r="AR189" s="671"/>
      <c r="AS189" s="671"/>
      <c r="AT189" s="671"/>
    </row>
    <row r="190" spans="1:46" s="667" customFormat="1">
      <c r="A190" s="227"/>
      <c r="B190" s="227"/>
      <c r="C190" s="274"/>
      <c r="E190" s="618"/>
      <c r="F190" s="671"/>
      <c r="G190" s="229"/>
      <c r="H190" s="229"/>
      <c r="I190" s="229"/>
      <c r="J190" s="229"/>
      <c r="K190" s="229"/>
      <c r="M190" s="618"/>
      <c r="N190" s="671"/>
      <c r="O190" s="671"/>
      <c r="P190" s="618"/>
      <c r="Q190" s="618"/>
      <c r="R190" s="618"/>
      <c r="S190" s="618"/>
      <c r="T190" s="671"/>
      <c r="U190" s="671"/>
      <c r="V190" s="671"/>
      <c r="W190" s="671"/>
      <c r="X190" s="671"/>
      <c r="Y190" s="671"/>
      <c r="Z190" s="671"/>
      <c r="AA190" s="671"/>
      <c r="AB190" s="671"/>
      <c r="AC190" s="671"/>
      <c r="AD190" s="671"/>
      <c r="AE190" s="671"/>
      <c r="AF190" s="671"/>
      <c r="AG190" s="671"/>
      <c r="AH190" s="671"/>
      <c r="AI190" s="671"/>
      <c r="AJ190" s="671"/>
      <c r="AK190" s="671"/>
      <c r="AL190" s="671"/>
      <c r="AM190" s="671"/>
      <c r="AN190" s="671"/>
      <c r="AO190" s="671"/>
      <c r="AP190" s="671"/>
      <c r="AQ190" s="671"/>
      <c r="AR190" s="671"/>
      <c r="AS190" s="671"/>
      <c r="AT190" s="671"/>
    </row>
    <row r="191" spans="1:46" s="667" customFormat="1">
      <c r="A191" s="227"/>
      <c r="B191" s="227"/>
      <c r="C191" s="274"/>
      <c r="E191" s="618"/>
      <c r="F191" s="671"/>
      <c r="G191" s="229"/>
      <c r="H191" s="229"/>
      <c r="I191" s="229"/>
      <c r="J191" s="229"/>
      <c r="K191" s="229"/>
      <c r="M191" s="618"/>
      <c r="N191" s="671"/>
      <c r="O191" s="671"/>
      <c r="P191" s="618"/>
      <c r="Q191" s="618"/>
      <c r="R191" s="618"/>
      <c r="S191" s="618"/>
      <c r="T191" s="671"/>
      <c r="U191" s="671"/>
      <c r="V191" s="671"/>
      <c r="W191" s="671"/>
      <c r="X191" s="671"/>
      <c r="Y191" s="671"/>
      <c r="Z191" s="671"/>
      <c r="AA191" s="671"/>
      <c r="AB191" s="671"/>
      <c r="AC191" s="671"/>
      <c r="AD191" s="671"/>
      <c r="AE191" s="671"/>
      <c r="AF191" s="671"/>
      <c r="AG191" s="671"/>
      <c r="AH191" s="671"/>
      <c r="AI191" s="671"/>
      <c r="AJ191" s="671"/>
      <c r="AK191" s="671"/>
      <c r="AL191" s="671"/>
      <c r="AM191" s="671"/>
      <c r="AN191" s="671"/>
      <c r="AO191" s="671"/>
      <c r="AP191" s="671"/>
      <c r="AQ191" s="671"/>
      <c r="AR191" s="671"/>
      <c r="AS191" s="671"/>
      <c r="AT191" s="671"/>
    </row>
    <row r="192" spans="1:46" s="667" customFormat="1">
      <c r="A192" s="227"/>
      <c r="B192" s="227"/>
      <c r="C192" s="274"/>
      <c r="E192" s="618"/>
      <c r="F192" s="671"/>
      <c r="G192" s="229"/>
      <c r="H192" s="229"/>
      <c r="I192" s="229"/>
      <c r="J192" s="229"/>
      <c r="K192" s="229"/>
      <c r="M192" s="618"/>
      <c r="N192" s="671"/>
      <c r="O192" s="671"/>
      <c r="P192" s="618"/>
      <c r="Q192" s="618"/>
      <c r="R192" s="618"/>
      <c r="S192" s="618"/>
      <c r="T192" s="671"/>
      <c r="U192" s="671"/>
      <c r="V192" s="671"/>
      <c r="W192" s="671"/>
      <c r="X192" s="671"/>
      <c r="Y192" s="671"/>
      <c r="Z192" s="671"/>
      <c r="AA192" s="671"/>
      <c r="AB192" s="671"/>
      <c r="AC192" s="671"/>
      <c r="AD192" s="671"/>
      <c r="AE192" s="671"/>
      <c r="AF192" s="671"/>
      <c r="AG192" s="671"/>
      <c r="AH192" s="671"/>
      <c r="AI192" s="671"/>
      <c r="AJ192" s="671"/>
      <c r="AK192" s="671"/>
      <c r="AL192" s="671"/>
      <c r="AM192" s="671"/>
      <c r="AN192" s="671"/>
      <c r="AO192" s="671"/>
      <c r="AP192" s="671"/>
      <c r="AQ192" s="671"/>
      <c r="AR192" s="671"/>
      <c r="AS192" s="671"/>
      <c r="AT192" s="671"/>
    </row>
    <row r="193" spans="1:46" s="667" customFormat="1">
      <c r="A193" s="227"/>
      <c r="B193" s="227"/>
      <c r="C193" s="274"/>
      <c r="E193" s="618"/>
      <c r="F193" s="671"/>
      <c r="G193" s="229"/>
      <c r="H193" s="229"/>
      <c r="I193" s="229"/>
      <c r="J193" s="229"/>
      <c r="K193" s="229"/>
      <c r="M193" s="618"/>
      <c r="N193" s="671"/>
      <c r="O193" s="671"/>
      <c r="P193" s="618"/>
      <c r="Q193" s="618"/>
      <c r="R193" s="618"/>
      <c r="S193" s="618"/>
      <c r="T193" s="671"/>
      <c r="U193" s="671"/>
      <c r="V193" s="671"/>
      <c r="W193" s="671"/>
      <c r="X193" s="671"/>
      <c r="Y193" s="671"/>
      <c r="Z193" s="671"/>
      <c r="AA193" s="671"/>
      <c r="AB193" s="671"/>
      <c r="AC193" s="671"/>
      <c r="AD193" s="671"/>
      <c r="AE193" s="671"/>
      <c r="AF193" s="671"/>
      <c r="AG193" s="671"/>
      <c r="AH193" s="671"/>
      <c r="AI193" s="671"/>
      <c r="AJ193" s="671"/>
      <c r="AK193" s="671"/>
      <c r="AL193" s="671"/>
      <c r="AM193" s="671"/>
      <c r="AN193" s="671"/>
      <c r="AO193" s="671"/>
      <c r="AP193" s="671"/>
      <c r="AQ193" s="671"/>
      <c r="AR193" s="671"/>
      <c r="AS193" s="671"/>
      <c r="AT193" s="671"/>
    </row>
    <row r="194" spans="1:46" s="667" customFormat="1">
      <c r="A194" s="227"/>
      <c r="B194" s="227"/>
      <c r="C194" s="274"/>
      <c r="E194" s="618"/>
      <c r="F194" s="671"/>
      <c r="G194" s="229"/>
      <c r="H194" s="229"/>
      <c r="I194" s="229"/>
      <c r="J194" s="229"/>
      <c r="K194" s="229"/>
      <c r="M194" s="618"/>
      <c r="N194" s="671"/>
      <c r="O194" s="671"/>
      <c r="P194" s="618"/>
      <c r="Q194" s="618"/>
      <c r="R194" s="618"/>
      <c r="S194" s="618"/>
      <c r="T194" s="671"/>
      <c r="U194" s="671"/>
      <c r="V194" s="671"/>
      <c r="W194" s="671"/>
      <c r="X194" s="671"/>
      <c r="Y194" s="671"/>
      <c r="Z194" s="671"/>
      <c r="AA194" s="671"/>
      <c r="AB194" s="671"/>
      <c r="AC194" s="671"/>
      <c r="AD194" s="671"/>
      <c r="AE194" s="671"/>
      <c r="AF194" s="671"/>
      <c r="AG194" s="671"/>
      <c r="AH194" s="671"/>
      <c r="AI194" s="671"/>
      <c r="AJ194" s="671"/>
      <c r="AK194" s="671"/>
      <c r="AL194" s="671"/>
      <c r="AM194" s="671"/>
      <c r="AN194" s="671"/>
      <c r="AO194" s="671"/>
      <c r="AP194" s="671"/>
      <c r="AQ194" s="671"/>
      <c r="AR194" s="671"/>
      <c r="AS194" s="671"/>
      <c r="AT194" s="671"/>
    </row>
    <row r="195" spans="1:46" s="667" customFormat="1">
      <c r="A195" s="227"/>
      <c r="B195" s="227"/>
      <c r="C195" s="274"/>
      <c r="E195" s="618"/>
      <c r="F195" s="671"/>
      <c r="G195" s="229"/>
      <c r="H195" s="229"/>
      <c r="I195" s="229"/>
      <c r="J195" s="229"/>
      <c r="K195" s="229"/>
      <c r="M195" s="618"/>
      <c r="N195" s="671"/>
      <c r="O195" s="671"/>
      <c r="P195" s="618"/>
      <c r="Q195" s="618"/>
      <c r="R195" s="618"/>
      <c r="S195" s="618"/>
      <c r="T195" s="671"/>
      <c r="U195" s="671"/>
      <c r="V195" s="671"/>
      <c r="W195" s="671"/>
      <c r="X195" s="671"/>
      <c r="Y195" s="671"/>
      <c r="Z195" s="671"/>
      <c r="AA195" s="671"/>
      <c r="AB195" s="671"/>
      <c r="AC195" s="671"/>
      <c r="AD195" s="671"/>
      <c r="AE195" s="671"/>
      <c r="AF195" s="671"/>
      <c r="AG195" s="671"/>
      <c r="AH195" s="671"/>
      <c r="AI195" s="671"/>
      <c r="AJ195" s="671"/>
      <c r="AK195" s="671"/>
      <c r="AL195" s="671"/>
      <c r="AM195" s="671"/>
      <c r="AN195" s="671"/>
      <c r="AO195" s="671"/>
      <c r="AP195" s="671"/>
      <c r="AQ195" s="671"/>
      <c r="AR195" s="671"/>
      <c r="AS195" s="671"/>
      <c r="AT195" s="671"/>
    </row>
    <row r="196" spans="1:46" s="667" customFormat="1">
      <c r="A196" s="227"/>
      <c r="B196" s="227"/>
      <c r="C196" s="274"/>
      <c r="E196" s="618"/>
      <c r="F196" s="671"/>
      <c r="G196" s="229"/>
      <c r="H196" s="229"/>
      <c r="I196" s="229"/>
      <c r="J196" s="229"/>
      <c r="K196" s="229"/>
      <c r="M196" s="618"/>
      <c r="N196" s="671"/>
      <c r="O196" s="671"/>
      <c r="P196" s="618"/>
      <c r="Q196" s="618"/>
      <c r="R196" s="618"/>
      <c r="S196" s="618"/>
      <c r="T196" s="671"/>
      <c r="U196" s="671"/>
      <c r="V196" s="671"/>
      <c r="W196" s="671"/>
      <c r="X196" s="671"/>
      <c r="Y196" s="671"/>
      <c r="Z196" s="671"/>
      <c r="AA196" s="671"/>
      <c r="AB196" s="671"/>
      <c r="AC196" s="671"/>
      <c r="AD196" s="671"/>
      <c r="AE196" s="671"/>
      <c r="AF196" s="671"/>
      <c r="AG196" s="671"/>
      <c r="AH196" s="671"/>
      <c r="AI196" s="671"/>
      <c r="AJ196" s="671"/>
      <c r="AK196" s="671"/>
      <c r="AL196" s="671"/>
      <c r="AM196" s="671"/>
      <c r="AN196" s="671"/>
      <c r="AO196" s="671"/>
      <c r="AP196" s="671"/>
      <c r="AQ196" s="671"/>
      <c r="AR196" s="671"/>
      <c r="AS196" s="671"/>
      <c r="AT196" s="671"/>
    </row>
    <row r="197" spans="1:46" s="667" customFormat="1">
      <c r="A197" s="227"/>
      <c r="B197" s="227"/>
      <c r="C197" s="274"/>
      <c r="E197" s="618"/>
      <c r="F197" s="671"/>
      <c r="G197" s="229"/>
      <c r="H197" s="229"/>
      <c r="I197" s="229"/>
      <c r="J197" s="229"/>
      <c r="K197" s="229"/>
      <c r="M197" s="618"/>
      <c r="N197" s="671"/>
      <c r="O197" s="671"/>
      <c r="P197" s="618"/>
      <c r="Q197" s="618"/>
      <c r="R197" s="618"/>
      <c r="S197" s="618"/>
      <c r="T197" s="671"/>
      <c r="U197" s="671"/>
      <c r="V197" s="671"/>
      <c r="W197" s="671"/>
      <c r="X197" s="671"/>
      <c r="Y197" s="671"/>
      <c r="Z197" s="671"/>
      <c r="AA197" s="671"/>
      <c r="AB197" s="671"/>
      <c r="AC197" s="671"/>
      <c r="AD197" s="671"/>
      <c r="AE197" s="671"/>
      <c r="AF197" s="671"/>
      <c r="AG197" s="671"/>
      <c r="AH197" s="671"/>
      <c r="AI197" s="671"/>
      <c r="AJ197" s="671"/>
      <c r="AK197" s="671"/>
      <c r="AL197" s="671"/>
      <c r="AM197" s="671"/>
      <c r="AN197" s="671"/>
      <c r="AO197" s="671"/>
      <c r="AP197" s="671"/>
      <c r="AQ197" s="671"/>
      <c r="AR197" s="671"/>
      <c r="AS197" s="671"/>
      <c r="AT197" s="671"/>
    </row>
    <row r="198" spans="1:46" s="667" customFormat="1">
      <c r="A198" s="227"/>
      <c r="B198" s="227"/>
      <c r="C198" s="274"/>
      <c r="E198" s="618"/>
      <c r="F198" s="671"/>
      <c r="G198" s="229"/>
      <c r="H198" s="229"/>
      <c r="I198" s="229"/>
      <c r="J198" s="229"/>
      <c r="K198" s="229"/>
      <c r="M198" s="618"/>
      <c r="N198" s="671"/>
      <c r="O198" s="671"/>
      <c r="P198" s="618"/>
      <c r="Q198" s="618"/>
      <c r="R198" s="618"/>
      <c r="S198" s="618"/>
      <c r="T198" s="671"/>
      <c r="U198" s="671"/>
      <c r="V198" s="671"/>
      <c r="W198" s="671"/>
      <c r="X198" s="671"/>
      <c r="Y198" s="671"/>
      <c r="Z198" s="671"/>
      <c r="AA198" s="671"/>
      <c r="AB198" s="671"/>
      <c r="AC198" s="671"/>
      <c r="AD198" s="671"/>
      <c r="AE198" s="671"/>
      <c r="AF198" s="671"/>
      <c r="AG198" s="671"/>
      <c r="AH198" s="671"/>
      <c r="AI198" s="671"/>
      <c r="AJ198" s="671"/>
      <c r="AK198" s="671"/>
      <c r="AL198" s="671"/>
      <c r="AM198" s="671"/>
      <c r="AN198" s="671"/>
      <c r="AO198" s="671"/>
      <c r="AP198" s="671"/>
      <c r="AQ198" s="671"/>
      <c r="AR198" s="671"/>
      <c r="AS198" s="671"/>
      <c r="AT198" s="671"/>
    </row>
    <row r="199" spans="1:46" s="667" customFormat="1">
      <c r="A199" s="227"/>
      <c r="B199" s="227"/>
      <c r="C199" s="274"/>
      <c r="E199" s="618"/>
      <c r="F199" s="671"/>
      <c r="G199" s="229"/>
      <c r="H199" s="229"/>
      <c r="I199" s="229"/>
      <c r="J199" s="229"/>
      <c r="K199" s="229"/>
      <c r="M199" s="618"/>
      <c r="N199" s="671"/>
      <c r="O199" s="671"/>
      <c r="P199" s="618"/>
      <c r="Q199" s="618"/>
      <c r="R199" s="618"/>
      <c r="S199" s="618"/>
      <c r="T199" s="671"/>
      <c r="U199" s="671"/>
      <c r="V199" s="671"/>
      <c r="W199" s="671"/>
      <c r="X199" s="671"/>
      <c r="Y199" s="671"/>
      <c r="Z199" s="671"/>
      <c r="AA199" s="671"/>
      <c r="AB199" s="671"/>
      <c r="AC199" s="671"/>
      <c r="AD199" s="671"/>
      <c r="AE199" s="671"/>
      <c r="AF199" s="671"/>
      <c r="AG199" s="671"/>
      <c r="AH199" s="671"/>
      <c r="AI199" s="671"/>
      <c r="AJ199" s="671"/>
      <c r="AK199" s="671"/>
      <c r="AL199" s="671"/>
      <c r="AM199" s="671"/>
      <c r="AN199" s="671"/>
      <c r="AO199" s="671"/>
      <c r="AP199" s="671"/>
      <c r="AQ199" s="671"/>
      <c r="AR199" s="671"/>
      <c r="AS199" s="671"/>
      <c r="AT199" s="671"/>
    </row>
    <row r="200" spans="1:46" s="667" customFormat="1">
      <c r="A200" s="227"/>
      <c r="B200" s="227"/>
      <c r="C200" s="274"/>
      <c r="E200" s="618"/>
      <c r="F200" s="671"/>
      <c r="G200" s="229"/>
      <c r="H200" s="229"/>
      <c r="I200" s="229"/>
      <c r="J200" s="229"/>
      <c r="K200" s="229"/>
      <c r="M200" s="618"/>
      <c r="N200" s="671"/>
      <c r="O200" s="671"/>
      <c r="P200" s="618"/>
      <c r="Q200" s="618"/>
      <c r="R200" s="618"/>
      <c r="S200" s="618"/>
      <c r="T200" s="671"/>
      <c r="U200" s="671"/>
      <c r="V200" s="671"/>
      <c r="W200" s="671"/>
      <c r="X200" s="671"/>
      <c r="Y200" s="671"/>
      <c r="Z200" s="671"/>
      <c r="AA200" s="671"/>
      <c r="AB200" s="671"/>
      <c r="AC200" s="671"/>
      <c r="AD200" s="671"/>
      <c r="AE200" s="671"/>
      <c r="AF200" s="671"/>
      <c r="AG200" s="671"/>
      <c r="AH200" s="671"/>
      <c r="AI200" s="671"/>
      <c r="AJ200" s="671"/>
      <c r="AK200" s="671"/>
      <c r="AL200" s="671"/>
      <c r="AM200" s="671"/>
      <c r="AN200" s="671"/>
      <c r="AO200" s="671"/>
      <c r="AP200" s="671"/>
      <c r="AQ200" s="671"/>
      <c r="AR200" s="671"/>
      <c r="AS200" s="671"/>
      <c r="AT200" s="671"/>
    </row>
    <row r="201" spans="1:46" s="667" customFormat="1">
      <c r="A201" s="227"/>
      <c r="B201" s="227"/>
      <c r="C201" s="274"/>
      <c r="E201" s="618"/>
      <c r="F201" s="671"/>
      <c r="G201" s="229"/>
      <c r="H201" s="229"/>
      <c r="I201" s="229"/>
      <c r="J201" s="229"/>
      <c r="K201" s="229"/>
      <c r="M201" s="618"/>
      <c r="N201" s="671"/>
      <c r="O201" s="671"/>
      <c r="P201" s="618"/>
      <c r="Q201" s="618"/>
      <c r="R201" s="618"/>
      <c r="S201" s="618"/>
      <c r="T201" s="671"/>
      <c r="U201" s="671"/>
      <c r="V201" s="671"/>
      <c r="W201" s="671"/>
      <c r="X201" s="671"/>
      <c r="Y201" s="671"/>
      <c r="Z201" s="671"/>
      <c r="AA201" s="671"/>
      <c r="AB201" s="671"/>
      <c r="AC201" s="671"/>
      <c r="AD201" s="671"/>
      <c r="AE201" s="671"/>
      <c r="AF201" s="671"/>
      <c r="AG201" s="671"/>
      <c r="AH201" s="671"/>
      <c r="AI201" s="671"/>
      <c r="AJ201" s="671"/>
      <c r="AK201" s="671"/>
      <c r="AL201" s="671"/>
      <c r="AM201" s="671"/>
      <c r="AN201" s="671"/>
      <c r="AO201" s="671"/>
      <c r="AP201" s="671"/>
      <c r="AQ201" s="671"/>
      <c r="AR201" s="671"/>
      <c r="AS201" s="671"/>
      <c r="AT201" s="671"/>
    </row>
    <row r="202" spans="1:46" s="667" customFormat="1">
      <c r="A202" s="227"/>
      <c r="B202" s="227"/>
      <c r="C202" s="274"/>
      <c r="E202" s="618"/>
      <c r="F202" s="671"/>
      <c r="G202" s="229"/>
      <c r="H202" s="229"/>
      <c r="I202" s="229"/>
      <c r="J202" s="229"/>
      <c r="K202" s="229"/>
      <c r="M202" s="618"/>
      <c r="N202" s="671"/>
      <c r="O202" s="671"/>
      <c r="P202" s="618"/>
      <c r="Q202" s="618"/>
      <c r="R202" s="618"/>
      <c r="S202" s="618"/>
      <c r="T202" s="671"/>
      <c r="U202" s="671"/>
      <c r="V202" s="671"/>
      <c r="W202" s="671"/>
      <c r="X202" s="671"/>
      <c r="Y202" s="671"/>
      <c r="Z202" s="671"/>
      <c r="AA202" s="671"/>
      <c r="AB202" s="671"/>
      <c r="AC202" s="671"/>
      <c r="AD202" s="671"/>
      <c r="AE202" s="671"/>
      <c r="AF202" s="671"/>
      <c r="AG202" s="671"/>
      <c r="AH202" s="671"/>
      <c r="AI202" s="671"/>
      <c r="AJ202" s="671"/>
      <c r="AK202" s="671"/>
      <c r="AL202" s="671"/>
      <c r="AM202" s="671"/>
      <c r="AN202" s="671"/>
      <c r="AO202" s="671"/>
      <c r="AP202" s="671"/>
      <c r="AQ202" s="671"/>
      <c r="AR202" s="671"/>
      <c r="AS202" s="671"/>
      <c r="AT202" s="671"/>
    </row>
    <row r="203" spans="1:46" s="667" customFormat="1">
      <c r="A203" s="227"/>
      <c r="B203" s="227"/>
      <c r="C203" s="274"/>
      <c r="E203" s="618"/>
      <c r="F203" s="671"/>
      <c r="G203" s="229"/>
      <c r="H203" s="229"/>
      <c r="I203" s="229"/>
      <c r="J203" s="229"/>
      <c r="K203" s="229"/>
      <c r="M203" s="618"/>
      <c r="N203" s="671"/>
      <c r="O203" s="671"/>
      <c r="P203" s="618"/>
      <c r="Q203" s="618"/>
      <c r="R203" s="618"/>
      <c r="S203" s="618"/>
      <c r="T203" s="671"/>
      <c r="U203" s="671"/>
      <c r="V203" s="671"/>
      <c r="W203" s="671"/>
      <c r="X203" s="671"/>
      <c r="Y203" s="671"/>
      <c r="Z203" s="671"/>
      <c r="AA203" s="671"/>
      <c r="AB203" s="671"/>
      <c r="AC203" s="671"/>
      <c r="AD203" s="671"/>
      <c r="AE203" s="671"/>
      <c r="AF203" s="671"/>
      <c r="AG203" s="671"/>
      <c r="AH203" s="671"/>
      <c r="AI203" s="671"/>
      <c r="AJ203" s="671"/>
      <c r="AK203" s="671"/>
      <c r="AL203" s="671"/>
      <c r="AM203" s="671"/>
      <c r="AN203" s="671"/>
      <c r="AO203" s="671"/>
      <c r="AP203" s="671"/>
      <c r="AQ203" s="671"/>
      <c r="AR203" s="671"/>
      <c r="AS203" s="671"/>
      <c r="AT203" s="671"/>
    </row>
    <row r="204" spans="1:46" s="667" customFormat="1">
      <c r="A204" s="227"/>
      <c r="B204" s="227"/>
      <c r="C204" s="274"/>
      <c r="E204" s="618"/>
      <c r="F204" s="671"/>
      <c r="G204" s="229"/>
      <c r="H204" s="229"/>
      <c r="I204" s="229"/>
      <c r="J204" s="229"/>
      <c r="K204" s="229"/>
      <c r="M204" s="618"/>
      <c r="N204" s="671"/>
      <c r="O204" s="671"/>
      <c r="P204" s="618"/>
      <c r="Q204" s="618"/>
      <c r="R204" s="618"/>
      <c r="S204" s="618"/>
      <c r="T204" s="671"/>
      <c r="U204" s="671"/>
      <c r="V204" s="671"/>
      <c r="W204" s="671"/>
      <c r="X204" s="671"/>
      <c r="Y204" s="671"/>
      <c r="Z204" s="671"/>
      <c r="AA204" s="671"/>
      <c r="AB204" s="671"/>
      <c r="AC204" s="671"/>
      <c r="AD204" s="671"/>
      <c r="AE204" s="671"/>
      <c r="AF204" s="671"/>
      <c r="AG204" s="671"/>
      <c r="AH204" s="671"/>
      <c r="AI204" s="671"/>
      <c r="AJ204" s="671"/>
      <c r="AK204" s="671"/>
      <c r="AL204" s="671"/>
      <c r="AM204" s="671"/>
      <c r="AN204" s="671"/>
      <c r="AO204" s="671"/>
      <c r="AP204" s="671"/>
      <c r="AQ204" s="671"/>
      <c r="AR204" s="671"/>
      <c r="AS204" s="671"/>
      <c r="AT204" s="671"/>
    </row>
    <row r="205" spans="1:46" s="667" customFormat="1">
      <c r="A205" s="227"/>
      <c r="B205" s="227"/>
      <c r="C205" s="274"/>
      <c r="E205" s="618"/>
      <c r="F205" s="671"/>
      <c r="G205" s="229"/>
      <c r="H205" s="229"/>
      <c r="I205" s="229"/>
      <c r="J205" s="229"/>
      <c r="K205" s="229"/>
      <c r="M205" s="618"/>
      <c r="N205" s="671"/>
      <c r="O205" s="671"/>
      <c r="P205" s="618"/>
      <c r="Q205" s="618"/>
      <c r="R205" s="618"/>
      <c r="S205" s="618"/>
      <c r="T205" s="671"/>
      <c r="U205" s="671"/>
      <c r="V205" s="671"/>
      <c r="W205" s="671"/>
      <c r="X205" s="671"/>
      <c r="Y205" s="671"/>
      <c r="Z205" s="671"/>
      <c r="AA205" s="671"/>
      <c r="AB205" s="671"/>
      <c r="AC205" s="671"/>
      <c r="AD205" s="671"/>
      <c r="AE205" s="671"/>
      <c r="AF205" s="671"/>
      <c r="AG205" s="671"/>
      <c r="AH205" s="671"/>
      <c r="AI205" s="671"/>
      <c r="AJ205" s="671"/>
      <c r="AK205" s="671"/>
      <c r="AL205" s="671"/>
      <c r="AM205" s="671"/>
      <c r="AN205" s="671"/>
      <c r="AO205" s="671"/>
      <c r="AP205" s="671"/>
      <c r="AQ205" s="671"/>
      <c r="AR205" s="671"/>
      <c r="AS205" s="671"/>
      <c r="AT205" s="671"/>
    </row>
    <row r="206" spans="1:46" s="667" customFormat="1">
      <c r="A206" s="227"/>
      <c r="B206" s="227"/>
      <c r="C206" s="274"/>
      <c r="E206" s="618"/>
      <c r="F206" s="671"/>
      <c r="G206" s="229"/>
      <c r="H206" s="229"/>
      <c r="I206" s="229"/>
      <c r="J206" s="229"/>
      <c r="K206" s="229"/>
      <c r="M206" s="618"/>
      <c r="N206" s="671"/>
      <c r="O206" s="671"/>
      <c r="P206" s="618"/>
      <c r="Q206" s="618"/>
      <c r="R206" s="618"/>
      <c r="S206" s="618"/>
      <c r="T206" s="671"/>
      <c r="U206" s="671"/>
      <c r="V206" s="671"/>
      <c r="W206" s="671"/>
      <c r="X206" s="671"/>
      <c r="Y206" s="671"/>
      <c r="Z206" s="671"/>
      <c r="AA206" s="671"/>
      <c r="AB206" s="671"/>
      <c r="AC206" s="671"/>
      <c r="AD206" s="671"/>
      <c r="AE206" s="671"/>
      <c r="AF206" s="671"/>
      <c r="AG206" s="671"/>
      <c r="AH206" s="671"/>
      <c r="AI206" s="671"/>
      <c r="AJ206" s="671"/>
      <c r="AK206" s="671"/>
      <c r="AL206" s="671"/>
      <c r="AM206" s="671"/>
      <c r="AN206" s="671"/>
      <c r="AO206" s="671"/>
      <c r="AP206" s="671"/>
      <c r="AQ206" s="671"/>
      <c r="AR206" s="671"/>
      <c r="AS206" s="671"/>
      <c r="AT206" s="671"/>
    </row>
    <row r="207" spans="1:46" s="667" customFormat="1">
      <c r="A207" s="227"/>
      <c r="B207" s="227"/>
      <c r="C207" s="274"/>
      <c r="E207" s="618"/>
      <c r="F207" s="671"/>
      <c r="G207" s="229"/>
      <c r="H207" s="229"/>
      <c r="I207" s="229"/>
      <c r="J207" s="229"/>
      <c r="K207" s="229"/>
      <c r="M207" s="618"/>
      <c r="N207" s="671"/>
      <c r="O207" s="671"/>
      <c r="P207" s="618"/>
      <c r="Q207" s="618"/>
      <c r="R207" s="618"/>
      <c r="S207" s="618"/>
      <c r="T207" s="671"/>
      <c r="U207" s="671"/>
      <c r="V207" s="671"/>
      <c r="W207" s="671"/>
      <c r="X207" s="671"/>
      <c r="Y207" s="671"/>
      <c r="Z207" s="671"/>
      <c r="AA207" s="671"/>
      <c r="AB207" s="671"/>
      <c r="AC207" s="671"/>
      <c r="AD207" s="671"/>
      <c r="AE207" s="671"/>
      <c r="AF207" s="671"/>
      <c r="AG207" s="671"/>
      <c r="AH207" s="671"/>
      <c r="AI207" s="671"/>
      <c r="AJ207" s="671"/>
      <c r="AK207" s="671"/>
      <c r="AL207" s="671"/>
      <c r="AM207" s="671"/>
      <c r="AN207" s="671"/>
      <c r="AO207" s="671"/>
      <c r="AP207" s="671"/>
      <c r="AQ207" s="671"/>
      <c r="AR207" s="671"/>
      <c r="AS207" s="671"/>
      <c r="AT207" s="671"/>
    </row>
    <row r="208" spans="1:46" s="667" customFormat="1">
      <c r="A208" s="227"/>
      <c r="B208" s="227"/>
      <c r="C208" s="274"/>
      <c r="E208" s="618"/>
      <c r="F208" s="671"/>
      <c r="G208" s="229"/>
      <c r="H208" s="229"/>
      <c r="I208" s="229"/>
      <c r="J208" s="229"/>
      <c r="K208" s="229"/>
      <c r="M208" s="618"/>
      <c r="N208" s="671"/>
      <c r="O208" s="671"/>
      <c r="P208" s="618"/>
      <c r="Q208" s="618"/>
      <c r="R208" s="618"/>
      <c r="S208" s="618"/>
      <c r="T208" s="671"/>
      <c r="U208" s="671"/>
      <c r="V208" s="671"/>
      <c r="W208" s="671"/>
      <c r="X208" s="671"/>
      <c r="Y208" s="671"/>
      <c r="Z208" s="671"/>
      <c r="AA208" s="671"/>
      <c r="AB208" s="671"/>
      <c r="AC208" s="671"/>
      <c r="AD208" s="671"/>
      <c r="AE208" s="671"/>
      <c r="AF208" s="671"/>
      <c r="AG208" s="671"/>
      <c r="AH208" s="671"/>
      <c r="AI208" s="671"/>
      <c r="AJ208" s="671"/>
      <c r="AK208" s="671"/>
      <c r="AL208" s="671"/>
      <c r="AM208" s="671"/>
      <c r="AN208" s="671"/>
      <c r="AO208" s="671"/>
      <c r="AP208" s="671"/>
      <c r="AQ208" s="671"/>
      <c r="AR208" s="671"/>
      <c r="AS208" s="671"/>
      <c r="AT208" s="671"/>
    </row>
    <row r="209" spans="1:46" s="667" customFormat="1">
      <c r="A209" s="227"/>
      <c r="B209" s="227"/>
      <c r="C209" s="274"/>
      <c r="E209" s="618"/>
      <c r="F209" s="671"/>
      <c r="G209" s="229"/>
      <c r="H209" s="229"/>
      <c r="I209" s="229"/>
      <c r="J209" s="229"/>
      <c r="K209" s="229"/>
      <c r="M209" s="618"/>
      <c r="N209" s="671"/>
      <c r="O209" s="671"/>
      <c r="P209" s="618"/>
      <c r="Q209" s="618"/>
      <c r="R209" s="618"/>
      <c r="S209" s="618"/>
      <c r="T209" s="671"/>
      <c r="U209" s="671"/>
      <c r="V209" s="671"/>
      <c r="W209" s="671"/>
      <c r="X209" s="671"/>
      <c r="Y209" s="671"/>
      <c r="Z209" s="671"/>
      <c r="AA209" s="671"/>
      <c r="AB209" s="671"/>
      <c r="AC209" s="671"/>
      <c r="AD209" s="671"/>
      <c r="AE209" s="671"/>
      <c r="AF209" s="671"/>
      <c r="AG209" s="671"/>
      <c r="AH209" s="671"/>
      <c r="AI209" s="671"/>
      <c r="AJ209" s="671"/>
      <c r="AK209" s="671"/>
      <c r="AL209" s="671"/>
      <c r="AM209" s="671"/>
      <c r="AN209" s="671"/>
      <c r="AO209" s="671"/>
      <c r="AP209" s="671"/>
      <c r="AQ209" s="671"/>
      <c r="AR209" s="671"/>
      <c r="AS209" s="671"/>
      <c r="AT209" s="671"/>
    </row>
    <row r="210" spans="1:46" s="667" customFormat="1">
      <c r="A210" s="227"/>
      <c r="B210" s="227"/>
      <c r="C210" s="274"/>
      <c r="E210" s="618"/>
      <c r="F210" s="671"/>
      <c r="G210" s="229"/>
      <c r="H210" s="229"/>
      <c r="I210" s="229"/>
      <c r="J210" s="229"/>
      <c r="K210" s="229"/>
      <c r="M210" s="618"/>
      <c r="N210" s="671"/>
      <c r="O210" s="671"/>
      <c r="P210" s="618"/>
      <c r="Q210" s="618"/>
      <c r="R210" s="618"/>
      <c r="S210" s="618"/>
      <c r="T210" s="671"/>
      <c r="U210" s="671"/>
      <c r="V210" s="671"/>
      <c r="W210" s="671"/>
      <c r="X210" s="671"/>
      <c r="Y210" s="671"/>
      <c r="Z210" s="671"/>
      <c r="AA210" s="671"/>
      <c r="AB210" s="671"/>
      <c r="AC210" s="671"/>
      <c r="AD210" s="671"/>
      <c r="AE210" s="671"/>
      <c r="AF210" s="671"/>
      <c r="AG210" s="671"/>
      <c r="AH210" s="671"/>
      <c r="AI210" s="671"/>
      <c r="AJ210" s="671"/>
      <c r="AK210" s="671"/>
      <c r="AL210" s="671"/>
      <c r="AM210" s="671"/>
      <c r="AN210" s="671"/>
      <c r="AO210" s="671"/>
      <c r="AP210" s="671"/>
      <c r="AQ210" s="671"/>
      <c r="AR210" s="671"/>
      <c r="AS210" s="671"/>
      <c r="AT210" s="671"/>
    </row>
    <row r="211" spans="1:46" s="667" customFormat="1">
      <c r="A211" s="227"/>
      <c r="B211" s="227"/>
      <c r="C211" s="274"/>
      <c r="E211" s="618"/>
      <c r="F211" s="671"/>
      <c r="G211" s="229"/>
      <c r="H211" s="229"/>
      <c r="I211" s="229"/>
      <c r="J211" s="229"/>
      <c r="K211" s="229"/>
      <c r="M211" s="618"/>
      <c r="N211" s="671"/>
      <c r="O211" s="671"/>
      <c r="P211" s="618"/>
      <c r="Q211" s="618"/>
      <c r="R211" s="618"/>
      <c r="S211" s="618"/>
      <c r="T211" s="671"/>
      <c r="U211" s="671"/>
      <c r="V211" s="671"/>
      <c r="W211" s="671"/>
      <c r="X211" s="671"/>
      <c r="Y211" s="671"/>
      <c r="Z211" s="671"/>
      <c r="AA211" s="671"/>
      <c r="AB211" s="671"/>
      <c r="AC211" s="671"/>
      <c r="AD211" s="671"/>
      <c r="AE211" s="671"/>
      <c r="AF211" s="671"/>
      <c r="AG211" s="671"/>
      <c r="AH211" s="671"/>
      <c r="AI211" s="671"/>
      <c r="AJ211" s="671"/>
      <c r="AK211" s="671"/>
      <c r="AL211" s="671"/>
      <c r="AM211" s="671"/>
      <c r="AN211" s="671"/>
      <c r="AO211" s="671"/>
      <c r="AP211" s="671"/>
      <c r="AQ211" s="671"/>
      <c r="AR211" s="671"/>
      <c r="AS211" s="671"/>
      <c r="AT211" s="671"/>
    </row>
    <row r="212" spans="1:46" s="667" customFormat="1">
      <c r="A212" s="227"/>
      <c r="B212" s="227"/>
      <c r="C212" s="274"/>
      <c r="E212" s="618"/>
      <c r="F212" s="671"/>
      <c r="G212" s="229"/>
      <c r="H212" s="229"/>
      <c r="I212" s="229"/>
      <c r="J212" s="229"/>
      <c r="K212" s="229"/>
      <c r="M212" s="618"/>
      <c r="N212" s="671"/>
      <c r="O212" s="671"/>
      <c r="P212" s="618"/>
      <c r="Q212" s="618"/>
      <c r="R212" s="618"/>
      <c r="S212" s="618"/>
      <c r="T212" s="671"/>
      <c r="U212" s="671"/>
      <c r="V212" s="671"/>
      <c r="W212" s="671"/>
      <c r="X212" s="671"/>
      <c r="Y212" s="671"/>
      <c r="Z212" s="671"/>
      <c r="AA212" s="671"/>
      <c r="AB212" s="671"/>
      <c r="AC212" s="671"/>
      <c r="AD212" s="671"/>
      <c r="AE212" s="671"/>
      <c r="AF212" s="671"/>
      <c r="AG212" s="671"/>
      <c r="AH212" s="671"/>
      <c r="AI212" s="671"/>
      <c r="AJ212" s="671"/>
      <c r="AK212" s="671"/>
      <c r="AL212" s="671"/>
      <c r="AM212" s="671"/>
      <c r="AN212" s="671"/>
      <c r="AO212" s="671"/>
      <c r="AP212" s="671"/>
      <c r="AQ212" s="671"/>
      <c r="AR212" s="671"/>
      <c r="AS212" s="671"/>
      <c r="AT212" s="671"/>
    </row>
    <row r="213" spans="1:46" s="667" customFormat="1">
      <c r="A213" s="227"/>
      <c r="B213" s="227"/>
      <c r="C213" s="274"/>
      <c r="E213" s="618"/>
      <c r="F213" s="671"/>
      <c r="G213" s="229"/>
      <c r="H213" s="229"/>
      <c r="I213" s="229"/>
      <c r="J213" s="229"/>
      <c r="K213" s="229"/>
      <c r="M213" s="618"/>
      <c r="N213" s="671"/>
      <c r="O213" s="671"/>
      <c r="P213" s="618"/>
      <c r="Q213" s="618"/>
      <c r="R213" s="618"/>
      <c r="S213" s="618"/>
      <c r="T213" s="671"/>
      <c r="U213" s="671"/>
      <c r="V213" s="671"/>
      <c r="W213" s="671"/>
      <c r="X213" s="671"/>
      <c r="Y213" s="671"/>
      <c r="Z213" s="671"/>
      <c r="AA213" s="671"/>
      <c r="AB213" s="671"/>
      <c r="AC213" s="671"/>
      <c r="AD213" s="671"/>
      <c r="AE213" s="671"/>
      <c r="AF213" s="671"/>
      <c r="AG213" s="671"/>
      <c r="AH213" s="671"/>
      <c r="AI213" s="671"/>
      <c r="AJ213" s="671"/>
      <c r="AK213" s="671"/>
      <c r="AL213" s="671"/>
      <c r="AM213" s="671"/>
      <c r="AN213" s="671"/>
      <c r="AO213" s="671"/>
      <c r="AP213" s="671"/>
      <c r="AQ213" s="671"/>
      <c r="AR213" s="671"/>
      <c r="AS213" s="671"/>
      <c r="AT213" s="671"/>
    </row>
    <row r="214" spans="1:46" s="667" customFormat="1">
      <c r="A214" s="227"/>
      <c r="B214" s="227"/>
      <c r="C214" s="274"/>
      <c r="E214" s="618"/>
      <c r="F214" s="671"/>
      <c r="G214" s="229"/>
      <c r="H214" s="229"/>
      <c r="I214" s="229"/>
      <c r="J214" s="229"/>
      <c r="K214" s="229"/>
      <c r="M214" s="618"/>
      <c r="N214" s="671"/>
      <c r="O214" s="671"/>
      <c r="P214" s="618"/>
      <c r="Q214" s="618"/>
      <c r="R214" s="618"/>
      <c r="S214" s="618"/>
      <c r="T214" s="671"/>
      <c r="U214" s="671"/>
      <c r="V214" s="671"/>
      <c r="W214" s="671"/>
      <c r="X214" s="671"/>
      <c r="Y214" s="671"/>
      <c r="Z214" s="671"/>
      <c r="AA214" s="671"/>
      <c r="AB214" s="671"/>
      <c r="AC214" s="671"/>
      <c r="AD214" s="671"/>
      <c r="AE214" s="671"/>
      <c r="AF214" s="671"/>
      <c r="AG214" s="671"/>
      <c r="AH214" s="671"/>
      <c r="AI214" s="671"/>
      <c r="AJ214" s="671"/>
      <c r="AK214" s="671"/>
      <c r="AL214" s="671"/>
      <c r="AM214" s="671"/>
      <c r="AN214" s="671"/>
      <c r="AO214" s="671"/>
      <c r="AP214" s="671"/>
      <c r="AQ214" s="671"/>
      <c r="AR214" s="671"/>
      <c r="AS214" s="671"/>
      <c r="AT214" s="671"/>
    </row>
    <row r="215" spans="1:46" s="667" customFormat="1">
      <c r="A215" s="227"/>
      <c r="B215" s="227"/>
      <c r="C215" s="274"/>
      <c r="E215" s="618"/>
      <c r="F215" s="671"/>
      <c r="G215" s="229"/>
      <c r="H215" s="229"/>
      <c r="I215" s="229"/>
      <c r="J215" s="229"/>
      <c r="K215" s="229"/>
      <c r="M215" s="618"/>
      <c r="N215" s="671"/>
      <c r="O215" s="671"/>
      <c r="P215" s="618"/>
      <c r="Q215" s="618"/>
      <c r="R215" s="618"/>
      <c r="S215" s="618"/>
      <c r="T215" s="671"/>
      <c r="U215" s="671"/>
      <c r="V215" s="671"/>
      <c r="W215" s="671"/>
      <c r="X215" s="671"/>
      <c r="Y215" s="671"/>
      <c r="Z215" s="671"/>
      <c r="AA215" s="671"/>
      <c r="AB215" s="671"/>
      <c r="AC215" s="671"/>
      <c r="AD215" s="671"/>
      <c r="AE215" s="671"/>
      <c r="AF215" s="671"/>
      <c r="AG215" s="671"/>
      <c r="AH215" s="671"/>
      <c r="AI215" s="671"/>
      <c r="AJ215" s="671"/>
      <c r="AK215" s="671"/>
      <c r="AL215" s="671"/>
      <c r="AM215" s="671"/>
      <c r="AN215" s="671"/>
      <c r="AO215" s="671"/>
      <c r="AP215" s="671"/>
      <c r="AQ215" s="671"/>
      <c r="AR215" s="671"/>
      <c r="AS215" s="671"/>
      <c r="AT215" s="671"/>
    </row>
    <row r="216" spans="1:46" s="667" customFormat="1">
      <c r="A216" s="227"/>
      <c r="B216" s="227"/>
      <c r="C216" s="274"/>
      <c r="E216" s="618"/>
      <c r="F216" s="671"/>
      <c r="G216" s="229"/>
      <c r="H216" s="229"/>
      <c r="I216" s="229"/>
      <c r="J216" s="229"/>
      <c r="K216" s="229"/>
      <c r="M216" s="618"/>
      <c r="N216" s="671"/>
      <c r="O216" s="671"/>
      <c r="P216" s="618"/>
      <c r="Q216" s="618"/>
      <c r="R216" s="618"/>
      <c r="S216" s="618"/>
      <c r="T216" s="671"/>
      <c r="U216" s="671"/>
      <c r="V216" s="671"/>
      <c r="W216" s="671"/>
      <c r="X216" s="671"/>
      <c r="Y216" s="671"/>
      <c r="Z216" s="671"/>
      <c r="AA216" s="671"/>
      <c r="AB216" s="671"/>
      <c r="AC216" s="671"/>
      <c r="AD216" s="671"/>
      <c r="AE216" s="671"/>
      <c r="AF216" s="671"/>
      <c r="AG216" s="671"/>
      <c r="AH216" s="671"/>
      <c r="AI216" s="671"/>
      <c r="AJ216" s="671"/>
      <c r="AK216" s="671"/>
      <c r="AL216" s="671"/>
      <c r="AM216" s="671"/>
      <c r="AN216" s="671"/>
      <c r="AO216" s="671"/>
      <c r="AP216" s="671"/>
      <c r="AQ216" s="671"/>
      <c r="AR216" s="671"/>
      <c r="AS216" s="671"/>
      <c r="AT216" s="671"/>
    </row>
    <row r="217" spans="1:46" s="667" customFormat="1">
      <c r="A217" s="227"/>
      <c r="B217" s="227"/>
      <c r="C217" s="274"/>
      <c r="E217" s="618"/>
      <c r="F217" s="671"/>
      <c r="G217" s="229"/>
      <c r="H217" s="229"/>
      <c r="I217" s="229"/>
      <c r="J217" s="229"/>
      <c r="K217" s="229"/>
      <c r="M217" s="618"/>
      <c r="N217" s="671"/>
      <c r="O217" s="671"/>
      <c r="P217" s="618"/>
      <c r="Q217" s="618"/>
      <c r="R217" s="618"/>
      <c r="S217" s="618"/>
      <c r="T217" s="671"/>
      <c r="U217" s="671"/>
      <c r="V217" s="671"/>
      <c r="W217" s="671"/>
      <c r="X217" s="671"/>
      <c r="Y217" s="671"/>
      <c r="Z217" s="671"/>
      <c r="AA217" s="671"/>
      <c r="AB217" s="671"/>
      <c r="AC217" s="671"/>
      <c r="AD217" s="671"/>
      <c r="AE217" s="671"/>
      <c r="AF217" s="671"/>
      <c r="AG217" s="671"/>
      <c r="AH217" s="671"/>
      <c r="AI217" s="671"/>
      <c r="AJ217" s="671"/>
      <c r="AK217" s="671"/>
      <c r="AL217" s="671"/>
      <c r="AM217" s="671"/>
      <c r="AN217" s="671"/>
      <c r="AO217" s="671"/>
      <c r="AP217" s="671"/>
      <c r="AQ217" s="671"/>
      <c r="AR217" s="671"/>
      <c r="AS217" s="671"/>
      <c r="AT217" s="671"/>
    </row>
    <row r="218" spans="1:46" s="667" customFormat="1">
      <c r="A218" s="227"/>
      <c r="B218" s="227"/>
      <c r="C218" s="274"/>
      <c r="E218" s="618"/>
      <c r="F218" s="671"/>
      <c r="G218" s="229"/>
      <c r="H218" s="229"/>
      <c r="I218" s="229"/>
      <c r="J218" s="229"/>
      <c r="K218" s="229"/>
      <c r="M218" s="618"/>
      <c r="N218" s="671"/>
      <c r="O218" s="671"/>
      <c r="P218" s="618"/>
      <c r="Q218" s="618"/>
      <c r="R218" s="618"/>
      <c r="S218" s="618"/>
      <c r="T218" s="671"/>
      <c r="U218" s="671"/>
      <c r="V218" s="671"/>
      <c r="W218" s="671"/>
      <c r="X218" s="671"/>
      <c r="Y218" s="671"/>
      <c r="Z218" s="671"/>
      <c r="AA218" s="671"/>
      <c r="AB218" s="671"/>
      <c r="AC218" s="671"/>
      <c r="AD218" s="671"/>
      <c r="AE218" s="671"/>
      <c r="AF218" s="671"/>
      <c r="AG218" s="671"/>
      <c r="AH218" s="671"/>
      <c r="AI218" s="671"/>
      <c r="AJ218" s="671"/>
      <c r="AK218" s="671"/>
      <c r="AL218" s="671"/>
      <c r="AM218" s="671"/>
      <c r="AN218" s="671"/>
      <c r="AO218" s="671"/>
      <c r="AP218" s="671"/>
      <c r="AQ218" s="671"/>
      <c r="AR218" s="671"/>
      <c r="AS218" s="671"/>
      <c r="AT218" s="671"/>
    </row>
    <row r="219" spans="1:46" s="667" customFormat="1">
      <c r="A219" s="227"/>
      <c r="B219" s="227"/>
      <c r="C219" s="274"/>
      <c r="E219" s="618"/>
      <c r="F219" s="671"/>
      <c r="G219" s="229"/>
      <c r="H219" s="229"/>
      <c r="I219" s="229"/>
      <c r="J219" s="229"/>
      <c r="K219" s="229"/>
      <c r="M219" s="618"/>
      <c r="N219" s="671"/>
      <c r="O219" s="671"/>
      <c r="P219" s="618"/>
      <c r="Q219" s="618"/>
      <c r="R219" s="618"/>
      <c r="S219" s="618"/>
      <c r="T219" s="671"/>
      <c r="U219" s="671"/>
      <c r="V219" s="671"/>
      <c r="W219" s="671"/>
      <c r="X219" s="671"/>
      <c r="Y219" s="671"/>
      <c r="Z219" s="671"/>
      <c r="AA219" s="671"/>
      <c r="AB219" s="671"/>
      <c r="AC219" s="671"/>
      <c r="AD219" s="671"/>
      <c r="AE219" s="671"/>
      <c r="AF219" s="671"/>
      <c r="AG219" s="671"/>
      <c r="AH219" s="671"/>
      <c r="AI219" s="671"/>
      <c r="AJ219" s="671"/>
      <c r="AK219" s="671"/>
      <c r="AL219" s="671"/>
      <c r="AM219" s="671"/>
      <c r="AN219" s="671"/>
      <c r="AO219" s="671"/>
      <c r="AP219" s="671"/>
      <c r="AQ219" s="671"/>
      <c r="AR219" s="671"/>
      <c r="AS219" s="671"/>
      <c r="AT219" s="671"/>
    </row>
    <row r="220" spans="1:46" s="667" customFormat="1">
      <c r="A220" s="227"/>
      <c r="B220" s="227"/>
      <c r="C220" s="274"/>
      <c r="E220" s="618"/>
      <c r="F220" s="671"/>
      <c r="G220" s="229"/>
      <c r="H220" s="229"/>
      <c r="I220" s="229"/>
      <c r="J220" s="229"/>
      <c r="K220" s="229"/>
      <c r="M220" s="618"/>
      <c r="N220" s="671"/>
      <c r="O220" s="671"/>
      <c r="P220" s="618"/>
      <c r="Q220" s="618"/>
      <c r="R220" s="618"/>
      <c r="S220" s="618"/>
      <c r="T220" s="671"/>
      <c r="U220" s="671"/>
      <c r="V220" s="671"/>
      <c r="W220" s="671"/>
      <c r="X220" s="671"/>
      <c r="Y220" s="671"/>
      <c r="Z220" s="671"/>
      <c r="AA220" s="671"/>
      <c r="AB220" s="671"/>
      <c r="AC220" s="671"/>
      <c r="AD220" s="671"/>
      <c r="AE220" s="671"/>
      <c r="AF220" s="671"/>
      <c r="AG220" s="671"/>
      <c r="AH220" s="671"/>
      <c r="AI220" s="671"/>
      <c r="AJ220" s="671"/>
      <c r="AK220" s="671"/>
      <c r="AL220" s="671"/>
      <c r="AM220" s="671"/>
      <c r="AN220" s="671"/>
      <c r="AO220" s="671"/>
      <c r="AP220" s="671"/>
      <c r="AQ220" s="671"/>
      <c r="AR220" s="671"/>
      <c r="AS220" s="671"/>
      <c r="AT220" s="671"/>
    </row>
    <row r="221" spans="1:46" s="667" customFormat="1">
      <c r="A221" s="227"/>
      <c r="B221" s="227"/>
      <c r="C221" s="274"/>
      <c r="E221" s="618"/>
      <c r="F221" s="671"/>
      <c r="G221" s="229"/>
      <c r="H221" s="229"/>
      <c r="I221" s="229"/>
      <c r="J221" s="229"/>
      <c r="K221" s="229"/>
      <c r="M221" s="618"/>
      <c r="N221" s="671"/>
      <c r="O221" s="671"/>
      <c r="P221" s="618"/>
      <c r="Q221" s="618"/>
      <c r="R221" s="618"/>
      <c r="S221" s="618"/>
      <c r="T221" s="671"/>
      <c r="U221" s="671"/>
      <c r="V221" s="671"/>
      <c r="W221" s="671"/>
      <c r="X221" s="671"/>
      <c r="Y221" s="671"/>
      <c r="Z221" s="671"/>
      <c r="AA221" s="671"/>
      <c r="AB221" s="671"/>
      <c r="AC221" s="671"/>
      <c r="AD221" s="671"/>
      <c r="AE221" s="671"/>
      <c r="AF221" s="671"/>
      <c r="AG221" s="671"/>
      <c r="AH221" s="671"/>
      <c r="AI221" s="671"/>
      <c r="AJ221" s="671"/>
      <c r="AK221" s="671"/>
      <c r="AL221" s="671"/>
      <c r="AM221" s="671"/>
      <c r="AN221" s="671"/>
      <c r="AO221" s="671"/>
      <c r="AP221" s="671"/>
      <c r="AQ221" s="671"/>
      <c r="AR221" s="671"/>
      <c r="AS221" s="671"/>
      <c r="AT221" s="671"/>
    </row>
    <row r="222" spans="1:46" s="667" customFormat="1">
      <c r="A222" s="227"/>
      <c r="B222" s="227"/>
      <c r="C222" s="274"/>
      <c r="E222" s="618"/>
      <c r="F222" s="671"/>
      <c r="G222" s="229"/>
      <c r="H222" s="229"/>
      <c r="I222" s="229"/>
      <c r="J222" s="229"/>
      <c r="K222" s="229"/>
      <c r="M222" s="618"/>
      <c r="N222" s="671"/>
      <c r="O222" s="671"/>
      <c r="P222" s="618"/>
      <c r="Q222" s="618"/>
      <c r="R222" s="618"/>
      <c r="S222" s="618"/>
      <c r="T222" s="671"/>
      <c r="U222" s="671"/>
      <c r="V222" s="671"/>
      <c r="W222" s="671"/>
      <c r="X222" s="671"/>
      <c r="Y222" s="671"/>
      <c r="Z222" s="671"/>
      <c r="AA222" s="671"/>
      <c r="AB222" s="671"/>
      <c r="AC222" s="671"/>
      <c r="AD222" s="671"/>
      <c r="AE222" s="671"/>
      <c r="AF222" s="671"/>
      <c r="AG222" s="671"/>
      <c r="AH222" s="671"/>
      <c r="AI222" s="671"/>
      <c r="AJ222" s="671"/>
      <c r="AK222" s="671"/>
      <c r="AL222" s="671"/>
      <c r="AM222" s="671"/>
      <c r="AN222" s="671"/>
      <c r="AO222" s="671"/>
      <c r="AP222" s="671"/>
      <c r="AQ222" s="671"/>
      <c r="AR222" s="671"/>
      <c r="AS222" s="671"/>
      <c r="AT222" s="671"/>
    </row>
    <row r="223" spans="1:46" s="667" customFormat="1">
      <c r="A223" s="227"/>
      <c r="B223" s="227"/>
      <c r="C223" s="274"/>
      <c r="E223" s="618"/>
      <c r="F223" s="671"/>
      <c r="G223" s="229"/>
      <c r="H223" s="229"/>
      <c r="I223" s="229"/>
      <c r="J223" s="229"/>
      <c r="K223" s="229"/>
      <c r="M223" s="618"/>
      <c r="N223" s="671"/>
      <c r="O223" s="671"/>
      <c r="P223" s="618"/>
      <c r="Q223" s="618"/>
      <c r="R223" s="618"/>
      <c r="S223" s="618"/>
      <c r="T223" s="671"/>
      <c r="U223" s="671"/>
      <c r="V223" s="671"/>
      <c r="W223" s="671"/>
      <c r="X223" s="671"/>
      <c r="Y223" s="671"/>
      <c r="Z223" s="671"/>
      <c r="AA223" s="671"/>
      <c r="AB223" s="671"/>
      <c r="AC223" s="671"/>
      <c r="AD223" s="671"/>
      <c r="AE223" s="671"/>
      <c r="AF223" s="671"/>
      <c r="AG223" s="671"/>
      <c r="AH223" s="671"/>
      <c r="AI223" s="671"/>
      <c r="AJ223" s="671"/>
      <c r="AK223" s="671"/>
      <c r="AL223" s="671"/>
      <c r="AM223" s="671"/>
      <c r="AN223" s="671"/>
      <c r="AO223" s="671"/>
      <c r="AP223" s="671"/>
      <c r="AQ223" s="671"/>
      <c r="AR223" s="671"/>
      <c r="AS223" s="671"/>
      <c r="AT223" s="671"/>
    </row>
    <row r="224" spans="1:46" s="667" customFormat="1">
      <c r="A224" s="227"/>
      <c r="B224" s="227"/>
      <c r="C224" s="274"/>
      <c r="E224" s="618"/>
      <c r="F224" s="671"/>
      <c r="G224" s="229"/>
      <c r="H224" s="229"/>
      <c r="I224" s="229"/>
      <c r="J224" s="229"/>
      <c r="K224" s="229"/>
      <c r="M224" s="618"/>
      <c r="N224" s="671"/>
      <c r="O224" s="671"/>
      <c r="P224" s="618"/>
      <c r="Q224" s="618"/>
      <c r="R224" s="618"/>
      <c r="S224" s="618"/>
      <c r="T224" s="671"/>
      <c r="U224" s="671"/>
      <c r="V224" s="671"/>
      <c r="W224" s="671"/>
      <c r="X224" s="671"/>
      <c r="Y224" s="671"/>
      <c r="Z224" s="671"/>
      <c r="AA224" s="671"/>
      <c r="AB224" s="671"/>
      <c r="AC224" s="671"/>
      <c r="AD224" s="671"/>
      <c r="AE224" s="671"/>
      <c r="AF224" s="671"/>
      <c r="AG224" s="671"/>
      <c r="AH224" s="671"/>
      <c r="AI224" s="671"/>
      <c r="AJ224" s="671"/>
      <c r="AK224" s="671"/>
      <c r="AL224" s="671"/>
      <c r="AM224" s="671"/>
      <c r="AN224" s="671"/>
      <c r="AO224" s="671"/>
      <c r="AP224" s="671"/>
      <c r="AQ224" s="671"/>
      <c r="AR224" s="671"/>
      <c r="AS224" s="671"/>
      <c r="AT224" s="671"/>
    </row>
    <row r="225" spans="1:46" s="667" customFormat="1">
      <c r="A225" s="227"/>
      <c r="B225" s="227"/>
      <c r="C225" s="274"/>
      <c r="E225" s="618"/>
      <c r="F225" s="671"/>
      <c r="G225" s="229"/>
      <c r="H225" s="229"/>
      <c r="I225" s="229"/>
      <c r="J225" s="229"/>
      <c r="K225" s="229"/>
      <c r="M225" s="618"/>
      <c r="N225" s="671"/>
      <c r="O225" s="671"/>
      <c r="P225" s="618"/>
      <c r="Q225" s="618"/>
      <c r="R225" s="618"/>
      <c r="S225" s="618"/>
      <c r="T225" s="671"/>
      <c r="U225" s="671"/>
      <c r="V225" s="671"/>
      <c r="W225" s="671"/>
      <c r="X225" s="671"/>
      <c r="Y225" s="671"/>
      <c r="Z225" s="671"/>
      <c r="AA225" s="671"/>
      <c r="AB225" s="671"/>
      <c r="AC225" s="671"/>
      <c r="AD225" s="671"/>
      <c r="AE225" s="671"/>
      <c r="AF225" s="671"/>
      <c r="AG225" s="671"/>
      <c r="AH225" s="671"/>
      <c r="AI225" s="671"/>
      <c r="AJ225" s="671"/>
      <c r="AK225" s="671"/>
      <c r="AL225" s="671"/>
      <c r="AM225" s="671"/>
      <c r="AN225" s="671"/>
      <c r="AO225" s="671"/>
      <c r="AP225" s="671"/>
      <c r="AQ225" s="671"/>
      <c r="AR225" s="671"/>
      <c r="AS225" s="671"/>
      <c r="AT225" s="671"/>
    </row>
    <row r="226" spans="1:46" s="667" customFormat="1">
      <c r="A226" s="227"/>
      <c r="B226" s="227"/>
      <c r="C226" s="274"/>
      <c r="E226" s="618"/>
      <c r="F226" s="671"/>
      <c r="G226" s="229"/>
      <c r="H226" s="229"/>
      <c r="I226" s="229"/>
      <c r="J226" s="229"/>
      <c r="K226" s="229"/>
      <c r="M226" s="618"/>
      <c r="N226" s="671"/>
      <c r="O226" s="671"/>
      <c r="P226" s="618"/>
      <c r="Q226" s="618"/>
      <c r="R226" s="618"/>
      <c r="S226" s="618"/>
      <c r="T226" s="671"/>
      <c r="U226" s="671"/>
      <c r="V226" s="671"/>
      <c r="W226" s="671"/>
      <c r="X226" s="671"/>
      <c r="Y226" s="671"/>
      <c r="Z226" s="671"/>
      <c r="AA226" s="671"/>
      <c r="AB226" s="671"/>
      <c r="AC226" s="671"/>
      <c r="AD226" s="671"/>
      <c r="AE226" s="671"/>
      <c r="AF226" s="671"/>
      <c r="AG226" s="671"/>
      <c r="AH226" s="671"/>
      <c r="AI226" s="671"/>
      <c r="AJ226" s="671"/>
      <c r="AK226" s="671"/>
      <c r="AL226" s="671"/>
      <c r="AM226" s="671"/>
      <c r="AN226" s="671"/>
      <c r="AO226" s="671"/>
      <c r="AP226" s="671"/>
      <c r="AQ226" s="671"/>
      <c r="AR226" s="671"/>
      <c r="AS226" s="671"/>
      <c r="AT226" s="671"/>
    </row>
    <row r="227" spans="1:46" s="667" customFormat="1">
      <c r="A227" s="227"/>
      <c r="B227" s="227"/>
      <c r="C227" s="274"/>
      <c r="E227" s="618"/>
      <c r="F227" s="671"/>
      <c r="G227" s="229"/>
      <c r="H227" s="229"/>
      <c r="I227" s="229"/>
      <c r="J227" s="229"/>
      <c r="K227" s="229"/>
      <c r="M227" s="618"/>
      <c r="N227" s="671"/>
      <c r="O227" s="671"/>
      <c r="P227" s="618"/>
      <c r="Q227" s="618"/>
      <c r="R227" s="618"/>
      <c r="S227" s="618"/>
      <c r="T227" s="671"/>
      <c r="U227" s="671"/>
      <c r="V227" s="671"/>
      <c r="W227" s="671"/>
      <c r="X227" s="671"/>
      <c r="Y227" s="671"/>
      <c r="Z227" s="671"/>
      <c r="AA227" s="671"/>
      <c r="AB227" s="671"/>
      <c r="AC227" s="671"/>
      <c r="AD227" s="671"/>
      <c r="AE227" s="671"/>
      <c r="AF227" s="671"/>
      <c r="AG227" s="671"/>
      <c r="AH227" s="671"/>
      <c r="AI227" s="671"/>
      <c r="AJ227" s="671"/>
      <c r="AK227" s="671"/>
      <c r="AL227" s="671"/>
      <c r="AM227" s="671"/>
      <c r="AN227" s="671"/>
      <c r="AO227" s="671"/>
      <c r="AP227" s="671"/>
      <c r="AQ227" s="671"/>
      <c r="AR227" s="671"/>
      <c r="AS227" s="671"/>
      <c r="AT227" s="671"/>
    </row>
    <row r="228" spans="1:46" s="667" customFormat="1">
      <c r="A228" s="227"/>
      <c r="B228" s="227"/>
      <c r="C228" s="274"/>
      <c r="E228" s="618"/>
      <c r="F228" s="671"/>
      <c r="G228" s="229"/>
      <c r="H228" s="229"/>
      <c r="I228" s="229"/>
      <c r="J228" s="229"/>
      <c r="K228" s="229"/>
      <c r="M228" s="618"/>
      <c r="N228" s="671"/>
      <c r="O228" s="671"/>
      <c r="P228" s="618"/>
      <c r="Q228" s="618"/>
      <c r="R228" s="618"/>
      <c r="S228" s="618"/>
      <c r="T228" s="671"/>
      <c r="U228" s="671"/>
      <c r="V228" s="671"/>
      <c r="W228" s="671"/>
      <c r="X228" s="671"/>
      <c r="Y228" s="671"/>
      <c r="Z228" s="671"/>
      <c r="AA228" s="671"/>
      <c r="AB228" s="671"/>
      <c r="AC228" s="671"/>
      <c r="AD228" s="671"/>
      <c r="AE228" s="671"/>
      <c r="AF228" s="671"/>
      <c r="AG228" s="671"/>
      <c r="AH228" s="671"/>
      <c r="AI228" s="671"/>
      <c r="AJ228" s="671"/>
      <c r="AK228" s="671"/>
      <c r="AL228" s="671"/>
      <c r="AM228" s="671"/>
      <c r="AN228" s="671"/>
      <c r="AO228" s="671"/>
      <c r="AP228" s="671"/>
      <c r="AQ228" s="671"/>
      <c r="AR228" s="671"/>
      <c r="AS228" s="671"/>
      <c r="AT228" s="671"/>
    </row>
    <row r="229" spans="1:46" s="667" customFormat="1">
      <c r="A229" s="227"/>
      <c r="B229" s="227"/>
      <c r="C229" s="274"/>
      <c r="E229" s="618"/>
      <c r="F229" s="671"/>
      <c r="G229" s="229"/>
      <c r="H229" s="229"/>
      <c r="I229" s="229"/>
      <c r="J229" s="229"/>
      <c r="K229" s="229"/>
      <c r="M229" s="618"/>
      <c r="N229" s="671"/>
      <c r="O229" s="671"/>
      <c r="P229" s="618"/>
      <c r="Q229" s="618"/>
      <c r="R229" s="618"/>
      <c r="S229" s="618"/>
      <c r="T229" s="671"/>
      <c r="U229" s="671"/>
      <c r="V229" s="671"/>
      <c r="W229" s="671"/>
      <c r="X229" s="671"/>
      <c r="Y229" s="671"/>
      <c r="Z229" s="671"/>
      <c r="AA229" s="671"/>
      <c r="AB229" s="671"/>
      <c r="AC229" s="671"/>
      <c r="AD229" s="671"/>
      <c r="AE229" s="671"/>
      <c r="AF229" s="671"/>
      <c r="AG229" s="671"/>
      <c r="AH229" s="671"/>
      <c r="AI229" s="671"/>
      <c r="AJ229" s="671"/>
      <c r="AK229" s="671"/>
      <c r="AL229" s="671"/>
      <c r="AM229" s="671"/>
      <c r="AN229" s="671"/>
      <c r="AO229" s="671"/>
      <c r="AP229" s="671"/>
      <c r="AQ229" s="671"/>
      <c r="AR229" s="671"/>
      <c r="AS229" s="671"/>
      <c r="AT229" s="671"/>
    </row>
    <row r="230" spans="1:46" s="667" customFormat="1">
      <c r="A230" s="227"/>
      <c r="B230" s="227"/>
      <c r="C230" s="274"/>
      <c r="E230" s="618"/>
      <c r="F230" s="671"/>
      <c r="G230" s="229"/>
      <c r="H230" s="229"/>
      <c r="I230" s="229"/>
      <c r="J230" s="229"/>
      <c r="K230" s="229"/>
      <c r="M230" s="618"/>
      <c r="N230" s="671"/>
      <c r="O230" s="671"/>
      <c r="P230" s="618"/>
      <c r="Q230" s="618"/>
      <c r="R230" s="618"/>
      <c r="S230" s="618"/>
      <c r="T230" s="671"/>
      <c r="U230" s="671"/>
      <c r="V230" s="671"/>
      <c r="W230" s="671"/>
      <c r="X230" s="671"/>
      <c r="Y230" s="671"/>
      <c r="Z230" s="671"/>
      <c r="AA230" s="671"/>
      <c r="AB230" s="671"/>
      <c r="AC230" s="671"/>
      <c r="AD230" s="671"/>
      <c r="AE230" s="671"/>
      <c r="AF230" s="671"/>
      <c r="AG230" s="671"/>
      <c r="AH230" s="671"/>
      <c r="AI230" s="671"/>
      <c r="AJ230" s="671"/>
      <c r="AK230" s="671"/>
      <c r="AL230" s="671"/>
      <c r="AM230" s="671"/>
      <c r="AN230" s="671"/>
      <c r="AO230" s="671"/>
      <c r="AP230" s="671"/>
      <c r="AQ230" s="671"/>
      <c r="AR230" s="671"/>
      <c r="AS230" s="671"/>
      <c r="AT230" s="671"/>
    </row>
    <row r="231" spans="1:46" s="667" customFormat="1">
      <c r="A231" s="227"/>
      <c r="B231" s="227"/>
      <c r="C231" s="274"/>
      <c r="E231" s="618"/>
      <c r="F231" s="671"/>
      <c r="G231" s="229"/>
      <c r="H231" s="229"/>
      <c r="I231" s="229"/>
      <c r="J231" s="229"/>
      <c r="K231" s="229"/>
      <c r="M231" s="618"/>
      <c r="N231" s="671"/>
      <c r="O231" s="671"/>
      <c r="P231" s="618"/>
      <c r="Q231" s="618"/>
      <c r="R231" s="618"/>
      <c r="S231" s="618"/>
      <c r="T231" s="671"/>
      <c r="U231" s="671"/>
      <c r="V231" s="671"/>
      <c r="W231" s="671"/>
      <c r="X231" s="671"/>
      <c r="Y231" s="671"/>
      <c r="Z231" s="671"/>
      <c r="AA231" s="671"/>
      <c r="AB231" s="671"/>
      <c r="AC231" s="671"/>
      <c r="AD231" s="671"/>
      <c r="AE231" s="671"/>
      <c r="AF231" s="671"/>
      <c r="AG231" s="671"/>
      <c r="AH231" s="671"/>
      <c r="AI231" s="671"/>
      <c r="AJ231" s="671"/>
      <c r="AK231" s="671"/>
      <c r="AL231" s="671"/>
      <c r="AM231" s="671"/>
      <c r="AN231" s="671"/>
      <c r="AO231" s="671"/>
      <c r="AP231" s="671"/>
      <c r="AQ231" s="671"/>
      <c r="AR231" s="671"/>
      <c r="AS231" s="671"/>
      <c r="AT231" s="671"/>
    </row>
    <row r="232" spans="1:46" s="667" customFormat="1">
      <c r="A232" s="227"/>
      <c r="B232" s="227"/>
      <c r="C232" s="274"/>
      <c r="E232" s="618"/>
      <c r="F232" s="671"/>
      <c r="G232" s="229"/>
      <c r="H232" s="229"/>
      <c r="I232" s="229"/>
      <c r="J232" s="229"/>
      <c r="K232" s="229"/>
      <c r="M232" s="618"/>
      <c r="N232" s="671"/>
      <c r="O232" s="671"/>
      <c r="P232" s="618"/>
      <c r="Q232" s="618"/>
      <c r="R232" s="618"/>
      <c r="S232" s="618"/>
      <c r="T232" s="671"/>
      <c r="U232" s="671"/>
      <c r="V232" s="671"/>
      <c r="W232" s="671"/>
      <c r="X232" s="671"/>
      <c r="Y232" s="671"/>
      <c r="Z232" s="671"/>
      <c r="AA232" s="671"/>
      <c r="AB232" s="671"/>
      <c r="AC232" s="671"/>
      <c r="AD232" s="671"/>
      <c r="AE232" s="671"/>
      <c r="AF232" s="671"/>
      <c r="AG232" s="671"/>
      <c r="AH232" s="671"/>
      <c r="AI232" s="671"/>
      <c r="AJ232" s="671"/>
      <c r="AK232" s="671"/>
      <c r="AL232" s="671"/>
      <c r="AM232" s="671"/>
      <c r="AN232" s="671"/>
      <c r="AO232" s="671"/>
      <c r="AP232" s="671"/>
      <c r="AQ232" s="671"/>
      <c r="AR232" s="671"/>
      <c r="AS232" s="671"/>
      <c r="AT232" s="671"/>
    </row>
    <row r="233" spans="1:46" s="667" customFormat="1">
      <c r="A233" s="227"/>
      <c r="B233" s="227"/>
      <c r="C233" s="274"/>
      <c r="E233" s="618"/>
      <c r="F233" s="671"/>
      <c r="G233" s="229"/>
      <c r="H233" s="229"/>
      <c r="I233" s="229"/>
      <c r="J233" s="229"/>
      <c r="K233" s="229"/>
      <c r="M233" s="618"/>
      <c r="N233" s="671"/>
      <c r="O233" s="671"/>
      <c r="P233" s="618"/>
      <c r="Q233" s="618"/>
      <c r="R233" s="618"/>
      <c r="S233" s="618"/>
      <c r="T233" s="671"/>
      <c r="U233" s="671"/>
      <c r="V233" s="671"/>
      <c r="W233" s="671"/>
      <c r="X233" s="671"/>
      <c r="Y233" s="671"/>
      <c r="Z233" s="671"/>
      <c r="AA233" s="671"/>
      <c r="AB233" s="671"/>
      <c r="AC233" s="671"/>
      <c r="AD233" s="671"/>
      <c r="AE233" s="671"/>
      <c r="AF233" s="671"/>
      <c r="AG233" s="671"/>
      <c r="AH233" s="671"/>
      <c r="AI233" s="671"/>
      <c r="AJ233" s="671"/>
      <c r="AK233" s="671"/>
      <c r="AL233" s="671"/>
      <c r="AM233" s="671"/>
      <c r="AN233" s="671"/>
      <c r="AO233" s="671"/>
      <c r="AP233" s="671"/>
      <c r="AQ233" s="671"/>
      <c r="AR233" s="671"/>
      <c r="AS233" s="671"/>
      <c r="AT233" s="671"/>
    </row>
    <row r="234" spans="1:46" s="667" customFormat="1">
      <c r="A234" s="227"/>
      <c r="B234" s="227"/>
      <c r="C234" s="274"/>
      <c r="E234" s="618"/>
      <c r="F234" s="671"/>
      <c r="G234" s="229"/>
      <c r="H234" s="229"/>
      <c r="I234" s="229"/>
      <c r="J234" s="229"/>
      <c r="K234" s="229"/>
      <c r="M234" s="618"/>
      <c r="N234" s="671"/>
      <c r="O234" s="671"/>
      <c r="P234" s="618"/>
      <c r="Q234" s="618"/>
      <c r="R234" s="618"/>
      <c r="S234" s="618"/>
      <c r="T234" s="671"/>
      <c r="U234" s="671"/>
      <c r="V234" s="671"/>
      <c r="W234" s="671"/>
      <c r="X234" s="671"/>
      <c r="Y234" s="671"/>
      <c r="Z234" s="671"/>
      <c r="AA234" s="671"/>
      <c r="AB234" s="671"/>
      <c r="AC234" s="671"/>
      <c r="AD234" s="671"/>
      <c r="AE234" s="671"/>
      <c r="AF234" s="671"/>
      <c r="AG234" s="671"/>
      <c r="AH234" s="671"/>
      <c r="AI234" s="671"/>
      <c r="AJ234" s="671"/>
      <c r="AK234" s="671"/>
      <c r="AL234" s="671"/>
      <c r="AM234" s="671"/>
      <c r="AN234" s="671"/>
      <c r="AO234" s="671"/>
      <c r="AP234" s="671"/>
      <c r="AQ234" s="671"/>
      <c r="AR234" s="671"/>
      <c r="AS234" s="671"/>
      <c r="AT234" s="671"/>
    </row>
    <row r="235" spans="1:46" s="667" customFormat="1">
      <c r="A235" s="227"/>
      <c r="B235" s="227"/>
      <c r="C235" s="274"/>
      <c r="E235" s="618"/>
      <c r="F235" s="671"/>
      <c r="G235" s="229"/>
      <c r="H235" s="229"/>
      <c r="I235" s="229"/>
      <c r="J235" s="229"/>
      <c r="K235" s="229"/>
      <c r="M235" s="618"/>
      <c r="N235" s="671"/>
      <c r="O235" s="671"/>
      <c r="P235" s="618"/>
      <c r="Q235" s="618"/>
      <c r="R235" s="618"/>
      <c r="S235" s="618"/>
      <c r="T235" s="671"/>
      <c r="U235" s="671"/>
      <c r="V235" s="671"/>
      <c r="W235" s="671"/>
      <c r="X235" s="671"/>
      <c r="Y235" s="671"/>
      <c r="Z235" s="671"/>
      <c r="AA235" s="671"/>
      <c r="AB235" s="671"/>
      <c r="AC235" s="671"/>
      <c r="AD235" s="671"/>
      <c r="AE235" s="671"/>
      <c r="AF235" s="671"/>
      <c r="AG235" s="671"/>
      <c r="AH235" s="671"/>
      <c r="AI235" s="671"/>
      <c r="AJ235" s="671"/>
      <c r="AK235" s="671"/>
      <c r="AL235" s="671"/>
      <c r="AM235" s="671"/>
      <c r="AN235" s="671"/>
      <c r="AO235" s="671"/>
      <c r="AP235" s="671"/>
      <c r="AQ235" s="671"/>
      <c r="AR235" s="671"/>
      <c r="AS235" s="671"/>
      <c r="AT235" s="671"/>
    </row>
    <row r="236" spans="1:46" s="667" customFormat="1">
      <c r="A236" s="227"/>
      <c r="B236" s="227"/>
      <c r="C236" s="274"/>
      <c r="E236" s="618"/>
      <c r="F236" s="671"/>
      <c r="G236" s="229"/>
      <c r="H236" s="229"/>
      <c r="I236" s="229"/>
      <c r="J236" s="229"/>
      <c r="K236" s="229"/>
      <c r="M236" s="618"/>
      <c r="N236" s="671"/>
      <c r="O236" s="671"/>
      <c r="P236" s="618"/>
      <c r="Q236" s="618"/>
      <c r="R236" s="618"/>
      <c r="S236" s="618"/>
      <c r="T236" s="671"/>
      <c r="U236" s="671"/>
      <c r="V236" s="671"/>
      <c r="W236" s="671"/>
      <c r="X236" s="671"/>
      <c r="Y236" s="671"/>
      <c r="Z236" s="671"/>
      <c r="AA236" s="671"/>
      <c r="AB236" s="671"/>
      <c r="AC236" s="671"/>
      <c r="AD236" s="671"/>
      <c r="AE236" s="671"/>
      <c r="AF236" s="671"/>
      <c r="AG236" s="671"/>
      <c r="AH236" s="671"/>
      <c r="AI236" s="671"/>
      <c r="AJ236" s="671"/>
      <c r="AK236" s="671"/>
      <c r="AL236" s="671"/>
      <c r="AM236" s="671"/>
      <c r="AN236" s="671"/>
      <c r="AO236" s="671"/>
      <c r="AP236" s="671"/>
      <c r="AQ236" s="671"/>
      <c r="AR236" s="671"/>
      <c r="AS236" s="671"/>
      <c r="AT236" s="671"/>
    </row>
    <row r="237" spans="1:46" s="667" customFormat="1">
      <c r="A237" s="227"/>
      <c r="B237" s="227"/>
      <c r="C237" s="274"/>
      <c r="E237" s="618"/>
      <c r="F237" s="671"/>
      <c r="G237" s="229"/>
      <c r="H237" s="229"/>
      <c r="I237" s="229"/>
      <c r="J237" s="229"/>
      <c r="K237" s="229"/>
      <c r="M237" s="618"/>
      <c r="N237" s="671"/>
      <c r="O237" s="671"/>
      <c r="P237" s="618"/>
      <c r="Q237" s="618"/>
      <c r="R237" s="618"/>
      <c r="S237" s="618"/>
      <c r="T237" s="671"/>
      <c r="U237" s="671"/>
      <c r="V237" s="671"/>
      <c r="W237" s="671"/>
      <c r="X237" s="671"/>
      <c r="Y237" s="671"/>
      <c r="Z237" s="671"/>
      <c r="AA237" s="671"/>
      <c r="AB237" s="671"/>
      <c r="AC237" s="671"/>
      <c r="AD237" s="671"/>
      <c r="AE237" s="671"/>
      <c r="AF237" s="671"/>
      <c r="AG237" s="671"/>
      <c r="AH237" s="671"/>
      <c r="AI237" s="671"/>
      <c r="AJ237" s="671"/>
      <c r="AK237" s="671"/>
      <c r="AL237" s="671"/>
      <c r="AM237" s="671"/>
      <c r="AN237" s="671"/>
      <c r="AO237" s="671"/>
      <c r="AP237" s="671"/>
      <c r="AQ237" s="671"/>
      <c r="AR237" s="671"/>
      <c r="AS237" s="671"/>
      <c r="AT237" s="671"/>
    </row>
    <row r="238" spans="1:46" s="667" customFormat="1">
      <c r="A238" s="227"/>
      <c r="B238" s="227"/>
      <c r="C238" s="274"/>
      <c r="E238" s="618"/>
      <c r="F238" s="671"/>
      <c r="G238" s="229"/>
      <c r="H238" s="229"/>
      <c r="I238" s="229"/>
      <c r="J238" s="229"/>
      <c r="K238" s="229"/>
      <c r="M238" s="618"/>
      <c r="N238" s="671"/>
      <c r="O238" s="671"/>
      <c r="P238" s="618"/>
      <c r="Q238" s="618"/>
      <c r="R238" s="618"/>
      <c r="S238" s="618"/>
      <c r="T238" s="671"/>
      <c r="U238" s="671"/>
      <c r="V238" s="671"/>
      <c r="W238" s="671"/>
      <c r="X238" s="671"/>
      <c r="Y238" s="671"/>
      <c r="Z238" s="671"/>
      <c r="AA238" s="671"/>
      <c r="AB238" s="671"/>
      <c r="AC238" s="671"/>
      <c r="AD238" s="671"/>
      <c r="AE238" s="671"/>
      <c r="AF238" s="671"/>
      <c r="AG238" s="671"/>
      <c r="AH238" s="671"/>
      <c r="AI238" s="671"/>
      <c r="AJ238" s="671"/>
      <c r="AK238" s="671"/>
      <c r="AL238" s="671"/>
      <c r="AM238" s="671"/>
      <c r="AN238" s="671"/>
      <c r="AO238" s="671"/>
      <c r="AP238" s="671"/>
      <c r="AQ238" s="671"/>
      <c r="AR238" s="671"/>
      <c r="AS238" s="671"/>
      <c r="AT238" s="671"/>
    </row>
    <row r="239" spans="1:46" s="667" customFormat="1">
      <c r="A239" s="227"/>
      <c r="B239" s="227"/>
      <c r="C239" s="274"/>
      <c r="E239" s="618"/>
      <c r="F239" s="671"/>
      <c r="G239" s="229"/>
      <c r="H239" s="229"/>
      <c r="I239" s="229"/>
      <c r="J239" s="229"/>
      <c r="K239" s="229"/>
      <c r="M239" s="618"/>
      <c r="N239" s="671"/>
      <c r="O239" s="671"/>
      <c r="P239" s="618"/>
      <c r="Q239" s="618"/>
      <c r="R239" s="618"/>
      <c r="S239" s="618"/>
      <c r="T239" s="671"/>
      <c r="U239" s="671"/>
      <c r="V239" s="671"/>
      <c r="W239" s="671"/>
      <c r="X239" s="671"/>
      <c r="Y239" s="671"/>
      <c r="Z239" s="671"/>
      <c r="AA239" s="671"/>
      <c r="AB239" s="671"/>
      <c r="AC239" s="671"/>
      <c r="AD239" s="671"/>
      <c r="AE239" s="671"/>
      <c r="AF239" s="671"/>
      <c r="AG239" s="671"/>
      <c r="AH239" s="671"/>
      <c r="AI239" s="671"/>
      <c r="AJ239" s="671"/>
      <c r="AK239" s="671"/>
      <c r="AL239" s="671"/>
      <c r="AM239" s="671"/>
      <c r="AN239" s="671"/>
      <c r="AO239" s="671"/>
      <c r="AP239" s="671"/>
      <c r="AQ239" s="671"/>
      <c r="AR239" s="671"/>
      <c r="AS239" s="671"/>
      <c r="AT239" s="671"/>
    </row>
    <row r="240" spans="1:46" s="667" customFormat="1">
      <c r="A240" s="227"/>
      <c r="B240" s="227"/>
      <c r="C240" s="274"/>
      <c r="E240" s="618"/>
      <c r="F240" s="671"/>
      <c r="G240" s="229"/>
      <c r="H240" s="229"/>
      <c r="I240" s="229"/>
      <c r="J240" s="229"/>
      <c r="K240" s="229"/>
      <c r="M240" s="618"/>
      <c r="N240" s="671"/>
      <c r="O240" s="671"/>
      <c r="P240" s="618"/>
      <c r="Q240" s="618"/>
      <c r="R240" s="618"/>
      <c r="S240" s="618"/>
      <c r="T240" s="671"/>
      <c r="U240" s="671"/>
      <c r="V240" s="671"/>
      <c r="W240" s="671"/>
      <c r="X240" s="671"/>
      <c r="Y240" s="671"/>
      <c r="Z240" s="671"/>
      <c r="AA240" s="671"/>
      <c r="AB240" s="671"/>
      <c r="AC240" s="671"/>
      <c r="AD240" s="671"/>
      <c r="AE240" s="671"/>
      <c r="AF240" s="671"/>
      <c r="AG240" s="671"/>
      <c r="AH240" s="671"/>
      <c r="AI240" s="671"/>
      <c r="AJ240" s="671"/>
      <c r="AK240" s="671"/>
      <c r="AL240" s="671"/>
      <c r="AM240" s="671"/>
      <c r="AN240" s="671"/>
      <c r="AO240" s="671"/>
      <c r="AP240" s="671"/>
      <c r="AQ240" s="671"/>
      <c r="AR240" s="671"/>
      <c r="AS240" s="671"/>
      <c r="AT240" s="671"/>
    </row>
    <row r="241" spans="1:46" s="667" customFormat="1">
      <c r="A241" s="227"/>
      <c r="B241" s="227"/>
      <c r="C241" s="274"/>
      <c r="E241" s="618"/>
      <c r="F241" s="671"/>
      <c r="G241" s="229"/>
      <c r="H241" s="229"/>
      <c r="I241" s="229"/>
      <c r="J241" s="229"/>
      <c r="K241" s="229"/>
      <c r="M241" s="618"/>
      <c r="N241" s="671"/>
      <c r="O241" s="671"/>
      <c r="P241" s="618"/>
      <c r="Q241" s="618"/>
      <c r="R241" s="618"/>
      <c r="S241" s="618"/>
      <c r="T241" s="671"/>
      <c r="U241" s="671"/>
      <c r="V241" s="671"/>
      <c r="W241" s="671"/>
      <c r="X241" s="671"/>
      <c r="Y241" s="671"/>
      <c r="Z241" s="671"/>
      <c r="AA241" s="671"/>
      <c r="AB241" s="671"/>
      <c r="AC241" s="671"/>
      <c r="AD241" s="671"/>
      <c r="AE241" s="671"/>
      <c r="AF241" s="671"/>
      <c r="AG241" s="671"/>
      <c r="AH241" s="671"/>
      <c r="AI241" s="671"/>
      <c r="AJ241" s="671"/>
      <c r="AK241" s="671"/>
      <c r="AL241" s="671"/>
      <c r="AM241" s="671"/>
      <c r="AN241" s="671"/>
      <c r="AO241" s="671"/>
      <c r="AP241" s="671"/>
      <c r="AQ241" s="671"/>
      <c r="AR241" s="671"/>
      <c r="AS241" s="671"/>
      <c r="AT241" s="671"/>
    </row>
    <row r="242" spans="1:46" s="667" customFormat="1">
      <c r="A242" s="227"/>
      <c r="B242" s="227"/>
      <c r="C242" s="274"/>
      <c r="E242" s="618"/>
      <c r="F242" s="671"/>
      <c r="G242" s="229"/>
      <c r="H242" s="229"/>
      <c r="I242" s="229"/>
      <c r="J242" s="229"/>
      <c r="K242" s="229"/>
      <c r="M242" s="618"/>
      <c r="N242" s="671"/>
      <c r="O242" s="671"/>
      <c r="P242" s="618"/>
      <c r="Q242" s="618"/>
      <c r="R242" s="618"/>
      <c r="S242" s="618"/>
      <c r="T242" s="671"/>
      <c r="U242" s="671"/>
      <c r="V242" s="671"/>
      <c r="W242" s="671"/>
      <c r="X242" s="671"/>
      <c r="Y242" s="671"/>
      <c r="Z242" s="671"/>
      <c r="AA242" s="671"/>
      <c r="AB242" s="671"/>
      <c r="AC242" s="671"/>
      <c r="AD242" s="671"/>
      <c r="AE242" s="671"/>
      <c r="AF242" s="671"/>
      <c r="AG242" s="671"/>
      <c r="AH242" s="671"/>
      <c r="AI242" s="671"/>
      <c r="AJ242" s="671"/>
      <c r="AK242" s="671"/>
      <c r="AL242" s="671"/>
      <c r="AM242" s="671"/>
      <c r="AN242" s="671"/>
      <c r="AO242" s="671"/>
      <c r="AP242" s="671"/>
      <c r="AQ242" s="671"/>
      <c r="AR242" s="671"/>
      <c r="AS242" s="671"/>
      <c r="AT242" s="671"/>
    </row>
    <row r="243" spans="1:46" s="667" customFormat="1">
      <c r="A243" s="227"/>
      <c r="B243" s="227"/>
      <c r="C243" s="274"/>
      <c r="E243" s="618"/>
      <c r="F243" s="671"/>
      <c r="G243" s="229"/>
      <c r="H243" s="229"/>
      <c r="I243" s="229"/>
      <c r="J243" s="229"/>
      <c r="K243" s="229"/>
      <c r="M243" s="618"/>
      <c r="N243" s="671"/>
      <c r="O243" s="671"/>
      <c r="P243" s="618"/>
      <c r="Q243" s="618"/>
      <c r="R243" s="618"/>
      <c r="S243" s="618"/>
      <c r="T243" s="671"/>
      <c r="U243" s="671"/>
      <c r="V243" s="671"/>
      <c r="W243" s="671"/>
      <c r="X243" s="671"/>
      <c r="Y243" s="671"/>
      <c r="Z243" s="671"/>
      <c r="AA243" s="671"/>
      <c r="AB243" s="671"/>
      <c r="AC243" s="671"/>
      <c r="AD243" s="671"/>
      <c r="AE243" s="671"/>
      <c r="AF243" s="671"/>
      <c r="AG243" s="671"/>
      <c r="AH243" s="671"/>
      <c r="AI243" s="671"/>
      <c r="AJ243" s="671"/>
      <c r="AK243" s="671"/>
      <c r="AL243" s="671"/>
      <c r="AM243" s="671"/>
      <c r="AN243" s="671"/>
      <c r="AO243" s="671"/>
      <c r="AP243" s="671"/>
      <c r="AQ243" s="671"/>
      <c r="AR243" s="671"/>
      <c r="AS243" s="671"/>
      <c r="AT243" s="671"/>
    </row>
    <row r="244" spans="1:46" s="667" customFormat="1">
      <c r="A244" s="227"/>
      <c r="B244" s="227"/>
      <c r="C244" s="274"/>
      <c r="E244" s="618"/>
      <c r="F244" s="671"/>
      <c r="G244" s="229"/>
      <c r="H244" s="229"/>
      <c r="I244" s="229"/>
      <c r="J244" s="229"/>
      <c r="K244" s="229"/>
      <c r="M244" s="618"/>
      <c r="N244" s="671"/>
      <c r="O244" s="671"/>
      <c r="P244" s="618"/>
      <c r="Q244" s="618"/>
      <c r="R244" s="618"/>
      <c r="S244" s="618"/>
      <c r="T244" s="671"/>
      <c r="U244" s="671"/>
      <c r="V244" s="671"/>
      <c r="W244" s="671"/>
      <c r="X244" s="671"/>
      <c r="Y244" s="671"/>
      <c r="Z244" s="671"/>
      <c r="AA244" s="671"/>
      <c r="AB244" s="671"/>
      <c r="AC244" s="671"/>
      <c r="AD244" s="671"/>
      <c r="AE244" s="671"/>
      <c r="AF244" s="671"/>
      <c r="AG244" s="671"/>
      <c r="AH244" s="671"/>
      <c r="AI244" s="671"/>
      <c r="AJ244" s="671"/>
      <c r="AK244" s="671"/>
      <c r="AL244" s="671"/>
      <c r="AM244" s="671"/>
      <c r="AN244" s="671"/>
      <c r="AO244" s="671"/>
      <c r="AP244" s="671"/>
      <c r="AQ244" s="671"/>
      <c r="AR244" s="671"/>
      <c r="AS244" s="671"/>
      <c r="AT244" s="671"/>
    </row>
    <row r="245" spans="1:46" s="667" customFormat="1">
      <c r="A245" s="227"/>
      <c r="B245" s="227"/>
      <c r="C245" s="274"/>
      <c r="E245" s="618"/>
      <c r="F245" s="671"/>
      <c r="G245" s="229"/>
      <c r="H245" s="229"/>
      <c r="I245" s="229"/>
      <c r="J245" s="229"/>
      <c r="K245" s="229"/>
      <c r="M245" s="618"/>
      <c r="N245" s="671"/>
      <c r="O245" s="671"/>
      <c r="P245" s="618"/>
      <c r="Q245" s="618"/>
      <c r="R245" s="618"/>
      <c r="S245" s="618"/>
      <c r="T245" s="671"/>
      <c r="U245" s="671"/>
      <c r="V245" s="671"/>
      <c r="W245" s="671"/>
      <c r="X245" s="671"/>
      <c r="Y245" s="671"/>
      <c r="Z245" s="671"/>
      <c r="AA245" s="671"/>
      <c r="AB245" s="671"/>
      <c r="AC245" s="671"/>
      <c r="AD245" s="671"/>
      <c r="AE245" s="671"/>
      <c r="AF245" s="671"/>
      <c r="AG245" s="671"/>
      <c r="AH245" s="671"/>
      <c r="AI245" s="671"/>
      <c r="AJ245" s="671"/>
      <c r="AK245" s="671"/>
      <c r="AL245" s="671"/>
      <c r="AM245" s="671"/>
      <c r="AN245" s="671"/>
      <c r="AO245" s="671"/>
      <c r="AP245" s="671"/>
      <c r="AQ245" s="671"/>
      <c r="AR245" s="671"/>
      <c r="AS245" s="671"/>
      <c r="AT245" s="671"/>
    </row>
    <row r="246" spans="1:46" s="667" customFormat="1">
      <c r="A246" s="227"/>
      <c r="B246" s="227"/>
      <c r="C246" s="274"/>
      <c r="E246" s="618"/>
      <c r="F246" s="671"/>
      <c r="G246" s="229"/>
      <c r="H246" s="229"/>
      <c r="I246" s="229"/>
      <c r="J246" s="229"/>
      <c r="K246" s="229"/>
      <c r="M246" s="618"/>
      <c r="N246" s="671"/>
      <c r="O246" s="671"/>
      <c r="P246" s="618"/>
      <c r="Q246" s="618"/>
      <c r="R246" s="618"/>
      <c r="S246" s="618"/>
      <c r="T246" s="671"/>
      <c r="U246" s="671"/>
      <c r="V246" s="671"/>
      <c r="W246" s="671"/>
      <c r="X246" s="671"/>
      <c r="Y246" s="671"/>
      <c r="Z246" s="671"/>
      <c r="AA246" s="671"/>
      <c r="AB246" s="671"/>
      <c r="AC246" s="671"/>
      <c r="AD246" s="671"/>
      <c r="AE246" s="671"/>
      <c r="AF246" s="671"/>
      <c r="AG246" s="671"/>
      <c r="AH246" s="671"/>
      <c r="AI246" s="671"/>
      <c r="AJ246" s="671"/>
      <c r="AK246" s="671"/>
      <c r="AL246" s="671"/>
      <c r="AM246" s="671"/>
      <c r="AN246" s="671"/>
      <c r="AO246" s="671"/>
      <c r="AP246" s="671"/>
      <c r="AQ246" s="671"/>
      <c r="AR246" s="671"/>
      <c r="AS246" s="671"/>
      <c r="AT246" s="671"/>
    </row>
    <row r="247" spans="1:46" s="667" customFormat="1">
      <c r="A247" s="227"/>
      <c r="B247" s="227"/>
      <c r="C247" s="274"/>
      <c r="E247" s="618"/>
      <c r="F247" s="671"/>
      <c r="G247" s="229"/>
      <c r="H247" s="229"/>
      <c r="I247" s="229"/>
      <c r="J247" s="229"/>
      <c r="K247" s="229"/>
      <c r="M247" s="618"/>
      <c r="N247" s="671"/>
      <c r="O247" s="671"/>
      <c r="P247" s="618"/>
      <c r="Q247" s="618"/>
      <c r="R247" s="618"/>
      <c r="S247" s="618"/>
      <c r="T247" s="671"/>
      <c r="U247" s="671"/>
      <c r="V247" s="671"/>
      <c r="W247" s="671"/>
      <c r="X247" s="671"/>
      <c r="Y247" s="671"/>
      <c r="Z247" s="671"/>
      <c r="AA247" s="671"/>
      <c r="AB247" s="671"/>
      <c r="AC247" s="671"/>
      <c r="AD247" s="671"/>
      <c r="AE247" s="671"/>
      <c r="AF247" s="671"/>
      <c r="AG247" s="671"/>
      <c r="AH247" s="671"/>
      <c r="AI247" s="671"/>
      <c r="AJ247" s="671"/>
      <c r="AK247" s="671"/>
      <c r="AL247" s="671"/>
      <c r="AM247" s="671"/>
      <c r="AN247" s="671"/>
      <c r="AO247" s="671"/>
      <c r="AP247" s="671"/>
      <c r="AQ247" s="671"/>
      <c r="AR247" s="671"/>
      <c r="AS247" s="671"/>
      <c r="AT247" s="671"/>
    </row>
    <row r="248" spans="1:46" s="667" customFormat="1">
      <c r="A248" s="227"/>
      <c r="B248" s="227"/>
      <c r="C248" s="274"/>
      <c r="E248" s="618"/>
      <c r="F248" s="671"/>
      <c r="G248" s="229"/>
      <c r="H248" s="229"/>
      <c r="I248" s="229"/>
      <c r="J248" s="229"/>
      <c r="K248" s="229"/>
      <c r="M248" s="618"/>
      <c r="N248" s="671"/>
      <c r="O248" s="671"/>
      <c r="P248" s="618"/>
      <c r="Q248" s="618"/>
      <c r="R248" s="618"/>
      <c r="S248" s="618"/>
      <c r="T248" s="671"/>
      <c r="U248" s="671"/>
      <c r="V248" s="671"/>
      <c r="W248" s="671"/>
      <c r="X248" s="671"/>
      <c r="Y248" s="671"/>
      <c r="Z248" s="671"/>
      <c r="AA248" s="671"/>
      <c r="AB248" s="671"/>
      <c r="AC248" s="671"/>
      <c r="AD248" s="671"/>
      <c r="AE248" s="671"/>
      <c r="AF248" s="671"/>
      <c r="AG248" s="671"/>
      <c r="AH248" s="671"/>
      <c r="AI248" s="671"/>
      <c r="AJ248" s="671"/>
      <c r="AK248" s="671"/>
      <c r="AL248" s="671"/>
      <c r="AM248" s="671"/>
      <c r="AN248" s="671"/>
      <c r="AO248" s="671"/>
      <c r="AP248" s="671"/>
      <c r="AQ248" s="671"/>
      <c r="AR248" s="671"/>
      <c r="AS248" s="671"/>
      <c r="AT248" s="671"/>
    </row>
    <row r="249" spans="1:46" s="667" customFormat="1">
      <c r="A249" s="227"/>
      <c r="B249" s="227"/>
      <c r="C249" s="274"/>
      <c r="E249" s="618"/>
      <c r="F249" s="671"/>
      <c r="G249" s="229"/>
      <c r="H249" s="229"/>
      <c r="I249" s="229"/>
      <c r="J249" s="229"/>
      <c r="K249" s="229"/>
      <c r="M249" s="618"/>
      <c r="N249" s="671"/>
      <c r="O249" s="671"/>
      <c r="P249" s="618"/>
      <c r="Q249" s="618"/>
      <c r="R249" s="618"/>
      <c r="S249" s="618"/>
      <c r="T249" s="671"/>
      <c r="U249" s="671"/>
      <c r="V249" s="671"/>
      <c r="W249" s="671"/>
      <c r="X249" s="671"/>
      <c r="Y249" s="671"/>
      <c r="Z249" s="671"/>
      <c r="AA249" s="671"/>
      <c r="AB249" s="671"/>
      <c r="AC249" s="671"/>
      <c r="AD249" s="671"/>
      <c r="AE249" s="671"/>
      <c r="AF249" s="671"/>
      <c r="AG249" s="671"/>
      <c r="AH249" s="671"/>
      <c r="AI249" s="671"/>
      <c r="AJ249" s="671"/>
      <c r="AK249" s="671"/>
      <c r="AL249" s="671"/>
      <c r="AM249" s="671"/>
      <c r="AN249" s="671"/>
      <c r="AO249" s="671"/>
      <c r="AP249" s="671"/>
      <c r="AQ249" s="671"/>
      <c r="AR249" s="671"/>
      <c r="AS249" s="671"/>
      <c r="AT249" s="671"/>
    </row>
    <row r="250" spans="1:46" s="667" customFormat="1">
      <c r="A250" s="227"/>
      <c r="B250" s="227"/>
      <c r="C250" s="274"/>
      <c r="E250" s="618"/>
      <c r="F250" s="671"/>
      <c r="G250" s="229"/>
      <c r="H250" s="229"/>
      <c r="I250" s="229"/>
      <c r="J250" s="229"/>
      <c r="K250" s="229"/>
      <c r="M250" s="618"/>
      <c r="N250" s="671"/>
      <c r="O250" s="671"/>
      <c r="P250" s="618"/>
      <c r="Q250" s="618"/>
      <c r="R250" s="618"/>
      <c r="S250" s="618"/>
      <c r="T250" s="671"/>
      <c r="U250" s="671"/>
      <c r="V250" s="671"/>
      <c r="W250" s="671"/>
      <c r="X250" s="671"/>
      <c r="Y250" s="671"/>
      <c r="Z250" s="671"/>
      <c r="AA250" s="671"/>
      <c r="AB250" s="671"/>
      <c r="AC250" s="671"/>
      <c r="AD250" s="671"/>
      <c r="AE250" s="671"/>
      <c r="AF250" s="671"/>
      <c r="AG250" s="671"/>
      <c r="AH250" s="671"/>
      <c r="AI250" s="671"/>
      <c r="AJ250" s="671"/>
      <c r="AK250" s="671"/>
      <c r="AL250" s="671"/>
      <c r="AM250" s="671"/>
      <c r="AN250" s="671"/>
      <c r="AO250" s="671"/>
      <c r="AP250" s="671"/>
      <c r="AQ250" s="671"/>
      <c r="AR250" s="671"/>
      <c r="AS250" s="671"/>
      <c r="AT250" s="671"/>
    </row>
    <row r="251" spans="1:46" s="667" customFormat="1">
      <c r="A251" s="227"/>
      <c r="B251" s="227"/>
      <c r="C251" s="274"/>
      <c r="E251" s="618"/>
      <c r="F251" s="671"/>
      <c r="G251" s="229"/>
      <c r="H251" s="229"/>
      <c r="I251" s="229"/>
      <c r="J251" s="229"/>
      <c r="K251" s="229"/>
      <c r="M251" s="618"/>
      <c r="N251" s="671"/>
      <c r="O251" s="671"/>
      <c r="P251" s="618"/>
      <c r="Q251" s="618"/>
      <c r="R251" s="618"/>
      <c r="S251" s="618"/>
      <c r="T251" s="671"/>
      <c r="U251" s="671"/>
      <c r="V251" s="671"/>
      <c r="W251" s="671"/>
      <c r="X251" s="671"/>
      <c r="Y251" s="671"/>
      <c r="Z251" s="671"/>
      <c r="AA251" s="671"/>
      <c r="AB251" s="671"/>
      <c r="AC251" s="671"/>
      <c r="AD251" s="671"/>
      <c r="AE251" s="671"/>
      <c r="AF251" s="671"/>
      <c r="AG251" s="671"/>
      <c r="AH251" s="671"/>
      <c r="AI251" s="671"/>
      <c r="AJ251" s="671"/>
      <c r="AK251" s="671"/>
      <c r="AL251" s="671"/>
      <c r="AM251" s="671"/>
      <c r="AN251" s="671"/>
      <c r="AO251" s="671"/>
      <c r="AP251" s="671"/>
      <c r="AQ251" s="671"/>
      <c r="AR251" s="671"/>
      <c r="AS251" s="671"/>
      <c r="AT251" s="671"/>
    </row>
    <row r="252" spans="1:46" s="667" customFormat="1">
      <c r="A252" s="227"/>
      <c r="B252" s="227"/>
      <c r="C252" s="274"/>
      <c r="E252" s="618"/>
      <c r="F252" s="671"/>
      <c r="G252" s="229"/>
      <c r="H252" s="229"/>
      <c r="I252" s="229"/>
      <c r="J252" s="229"/>
      <c r="K252" s="229"/>
      <c r="M252" s="618"/>
      <c r="N252" s="671"/>
      <c r="O252" s="671"/>
      <c r="P252" s="618"/>
      <c r="Q252" s="618"/>
      <c r="R252" s="618"/>
      <c r="S252" s="618"/>
      <c r="T252" s="671"/>
      <c r="U252" s="671"/>
      <c r="V252" s="671"/>
      <c r="W252" s="671"/>
      <c r="X252" s="671"/>
      <c r="Y252" s="671"/>
      <c r="Z252" s="671"/>
      <c r="AA252" s="671"/>
      <c r="AB252" s="671"/>
      <c r="AC252" s="671"/>
      <c r="AD252" s="671"/>
      <c r="AE252" s="671"/>
      <c r="AF252" s="671"/>
      <c r="AG252" s="671"/>
      <c r="AH252" s="671"/>
      <c r="AI252" s="671"/>
      <c r="AJ252" s="671"/>
      <c r="AK252" s="671"/>
      <c r="AL252" s="671"/>
      <c r="AM252" s="671"/>
      <c r="AN252" s="671"/>
      <c r="AO252" s="671"/>
      <c r="AP252" s="671"/>
      <c r="AQ252" s="671"/>
      <c r="AR252" s="671"/>
      <c r="AS252" s="671"/>
      <c r="AT252" s="671"/>
    </row>
    <row r="253" spans="1:46" s="667" customFormat="1">
      <c r="A253" s="227"/>
      <c r="B253" s="227"/>
      <c r="C253" s="274"/>
      <c r="E253" s="618"/>
      <c r="F253" s="671"/>
      <c r="G253" s="229"/>
      <c r="H253" s="229"/>
      <c r="I253" s="229"/>
      <c r="J253" s="229"/>
      <c r="K253" s="229"/>
      <c r="M253" s="618"/>
      <c r="N253" s="671"/>
      <c r="O253" s="671"/>
      <c r="P253" s="618"/>
      <c r="Q253" s="618"/>
      <c r="R253" s="618"/>
      <c r="S253" s="618"/>
      <c r="T253" s="671"/>
      <c r="U253" s="671"/>
      <c r="V253" s="671"/>
      <c r="W253" s="671"/>
      <c r="X253" s="671"/>
      <c r="Y253" s="671"/>
      <c r="Z253" s="671"/>
      <c r="AA253" s="671"/>
      <c r="AB253" s="671"/>
      <c r="AC253" s="671"/>
      <c r="AD253" s="671"/>
      <c r="AE253" s="671"/>
      <c r="AF253" s="671"/>
      <c r="AG253" s="671"/>
      <c r="AH253" s="671"/>
      <c r="AI253" s="671"/>
      <c r="AJ253" s="671"/>
      <c r="AK253" s="671"/>
      <c r="AL253" s="671"/>
      <c r="AM253" s="671"/>
      <c r="AN253" s="671"/>
      <c r="AO253" s="671"/>
      <c r="AP253" s="671"/>
      <c r="AQ253" s="671"/>
      <c r="AR253" s="671"/>
      <c r="AS253" s="671"/>
      <c r="AT253" s="671"/>
    </row>
    <row r="254" spans="1:46" s="667" customFormat="1">
      <c r="A254" s="227"/>
      <c r="B254" s="227"/>
      <c r="C254" s="274"/>
      <c r="E254" s="618"/>
      <c r="F254" s="671"/>
      <c r="G254" s="229"/>
      <c r="H254" s="229"/>
      <c r="I254" s="229"/>
      <c r="J254" s="229"/>
      <c r="K254" s="229"/>
      <c r="M254" s="618"/>
      <c r="N254" s="671"/>
      <c r="O254" s="671"/>
      <c r="P254" s="618"/>
      <c r="Q254" s="618"/>
      <c r="R254" s="618"/>
      <c r="S254" s="618"/>
      <c r="T254" s="671"/>
      <c r="U254" s="671"/>
      <c r="V254" s="671"/>
      <c r="W254" s="671"/>
      <c r="X254" s="671"/>
      <c r="Y254" s="671"/>
      <c r="Z254" s="671"/>
      <c r="AA254" s="671"/>
      <c r="AB254" s="671"/>
      <c r="AC254" s="671"/>
      <c r="AD254" s="671"/>
      <c r="AE254" s="671"/>
      <c r="AF254" s="671"/>
      <c r="AG254" s="671"/>
      <c r="AH254" s="671"/>
      <c r="AI254" s="671"/>
      <c r="AJ254" s="671"/>
      <c r="AK254" s="671"/>
      <c r="AL254" s="671"/>
      <c r="AM254" s="671"/>
      <c r="AN254" s="671"/>
      <c r="AO254" s="671"/>
      <c r="AP254" s="671"/>
      <c r="AQ254" s="671"/>
      <c r="AR254" s="671"/>
      <c r="AS254" s="671"/>
      <c r="AT254" s="671"/>
    </row>
    <row r="255" spans="1:46" s="667" customFormat="1">
      <c r="A255" s="227"/>
      <c r="B255" s="227"/>
      <c r="C255" s="274"/>
      <c r="E255" s="618"/>
      <c r="F255" s="671"/>
      <c r="G255" s="229"/>
      <c r="H255" s="229"/>
      <c r="I255" s="229"/>
      <c r="J255" s="229"/>
      <c r="K255" s="229"/>
      <c r="M255" s="618"/>
      <c r="N255" s="671"/>
      <c r="O255" s="671"/>
      <c r="P255" s="618"/>
      <c r="Q255" s="618"/>
      <c r="R255" s="618"/>
      <c r="S255" s="618"/>
      <c r="T255" s="671"/>
      <c r="U255" s="671"/>
      <c r="V255" s="671"/>
      <c r="W255" s="671"/>
      <c r="X255" s="671"/>
      <c r="Y255" s="671"/>
      <c r="Z255" s="671"/>
      <c r="AA255" s="671"/>
      <c r="AB255" s="671"/>
      <c r="AC255" s="671"/>
      <c r="AD255" s="671"/>
      <c r="AE255" s="671"/>
      <c r="AF255" s="671"/>
      <c r="AG255" s="671"/>
      <c r="AH255" s="671"/>
      <c r="AI255" s="671"/>
      <c r="AJ255" s="671"/>
      <c r="AK255" s="671"/>
      <c r="AL255" s="671"/>
      <c r="AM255" s="671"/>
      <c r="AN255" s="671"/>
      <c r="AO255" s="671"/>
      <c r="AP255" s="671"/>
      <c r="AQ255" s="671"/>
      <c r="AR255" s="671"/>
      <c r="AS255" s="671"/>
      <c r="AT255" s="671"/>
    </row>
    <row r="256" spans="1:46" s="667" customFormat="1">
      <c r="A256" s="227"/>
      <c r="B256" s="227"/>
      <c r="C256" s="274"/>
      <c r="E256" s="618"/>
      <c r="F256" s="671"/>
      <c r="G256" s="229"/>
      <c r="H256" s="229"/>
      <c r="I256" s="229"/>
      <c r="J256" s="229"/>
      <c r="K256" s="229"/>
      <c r="M256" s="618"/>
      <c r="N256" s="671"/>
      <c r="O256" s="671"/>
      <c r="P256" s="618"/>
      <c r="Q256" s="618"/>
      <c r="R256" s="618"/>
      <c r="S256" s="618"/>
      <c r="T256" s="671"/>
      <c r="U256" s="671"/>
      <c r="V256" s="671"/>
      <c r="W256" s="671"/>
      <c r="X256" s="671"/>
      <c r="Y256" s="671"/>
      <c r="Z256" s="671"/>
      <c r="AA256" s="671"/>
      <c r="AB256" s="671"/>
      <c r="AC256" s="671"/>
      <c r="AD256" s="671"/>
      <c r="AE256" s="671"/>
      <c r="AF256" s="671"/>
      <c r="AG256" s="671"/>
      <c r="AH256" s="671"/>
      <c r="AI256" s="671"/>
      <c r="AJ256" s="671"/>
      <c r="AK256" s="671"/>
      <c r="AL256" s="671"/>
      <c r="AM256" s="671"/>
      <c r="AN256" s="671"/>
      <c r="AO256" s="671"/>
      <c r="AP256" s="671"/>
      <c r="AQ256" s="671"/>
      <c r="AR256" s="671"/>
      <c r="AS256" s="671"/>
      <c r="AT256" s="671"/>
    </row>
  </sheetData>
  <sheetProtection sheet="1" objects="1" scenarios="1" formatCells="0" formatColumns="0" formatRows="0" sort="0" autoFilter="0"/>
  <autoFilter ref="C5:S63" xr:uid="{491A510F-322B-45BE-9F03-61486DEAAB27}"/>
  <mergeCells count="44">
    <mergeCell ref="Q4:R4"/>
    <mergeCell ref="S4:S5"/>
    <mergeCell ref="A6:A9"/>
    <mergeCell ref="B6:B9"/>
    <mergeCell ref="C6:C9"/>
    <mergeCell ref="M4:M5"/>
    <mergeCell ref="N4:N5"/>
    <mergeCell ref="O4:P4"/>
    <mergeCell ref="G4:G5"/>
    <mergeCell ref="H4:K4"/>
    <mergeCell ref="L4:L5"/>
    <mergeCell ref="A4:A5"/>
    <mergeCell ref="B4:B5"/>
    <mergeCell ref="C4:C5"/>
    <mergeCell ref="D4:D5"/>
    <mergeCell ref="E4:E5"/>
    <mergeCell ref="F4:F5"/>
    <mergeCell ref="B53:B56"/>
    <mergeCell ref="A44:A56"/>
    <mergeCell ref="C54:C55"/>
    <mergeCell ref="C24:C26"/>
    <mergeCell ref="C41:C42"/>
    <mergeCell ref="B41:B42"/>
    <mergeCell ref="C31:C33"/>
    <mergeCell ref="C34:C37"/>
    <mergeCell ref="B44:B49"/>
    <mergeCell ref="C44:C47"/>
    <mergeCell ref="B24:B28"/>
    <mergeCell ref="A10:A29"/>
    <mergeCell ref="B31:B37"/>
    <mergeCell ref="A31:A43"/>
    <mergeCell ref="B21:B23"/>
    <mergeCell ref="B64:B72"/>
    <mergeCell ref="A64:A74"/>
    <mergeCell ref="C58:C74"/>
    <mergeCell ref="C48:C49"/>
    <mergeCell ref="C19:C20"/>
    <mergeCell ref="B50:B52"/>
    <mergeCell ref="C22:C23"/>
    <mergeCell ref="B10:B20"/>
    <mergeCell ref="C10:C14"/>
    <mergeCell ref="C15:C16"/>
    <mergeCell ref="A58:A61"/>
    <mergeCell ref="B58:B6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AC640-513B-4A23-A695-911D79E34221}">
  <sheetPr codeName="Sheet7"/>
  <dimension ref="A1:AD73"/>
  <sheetViews>
    <sheetView zoomScale="87" workbookViewId="0">
      <pane ySplit="2" topLeftCell="A3" activePane="bottomLeft" state="frozen"/>
      <selection activeCell="O16" sqref="O16:O17"/>
      <selection pane="bottomLeft" sqref="A1:A2"/>
    </sheetView>
  </sheetViews>
  <sheetFormatPr defaultColWidth="8.54296875" defaultRowHeight="14.5"/>
  <cols>
    <col min="1" max="1" width="25.453125" style="618" customWidth="1"/>
    <col min="2" max="2" width="30" style="618" customWidth="1"/>
    <col min="3" max="3" width="29" style="617" customWidth="1"/>
    <col min="4" max="4" width="10.453125" style="618" customWidth="1"/>
    <col min="5" max="5" width="12.81640625" style="618" customWidth="1"/>
    <col min="6" max="6" width="14.54296875" style="618" customWidth="1"/>
    <col min="7" max="7" width="26.453125" style="618" customWidth="1"/>
    <col min="8" max="8" width="9.81640625" style="617" customWidth="1"/>
    <col min="9" max="9" width="14.54296875" style="617" customWidth="1"/>
    <col min="10" max="10" width="15.54296875" style="617" customWidth="1"/>
    <col min="11" max="11" width="14.54296875" style="617" customWidth="1"/>
    <col min="12" max="12" width="14.54296875" style="618" customWidth="1"/>
    <col min="13" max="13" width="15.1796875" style="618" customWidth="1"/>
    <col min="14" max="14" width="27.1796875" style="618" customWidth="1"/>
    <col min="15" max="15" width="24.81640625" style="618" customWidth="1"/>
    <col min="16" max="16" width="8.54296875" style="618"/>
    <col min="17" max="17" width="10.81640625" style="618" bestFit="1" customWidth="1"/>
    <col min="18" max="18" width="12.1796875" style="618" bestFit="1" customWidth="1"/>
    <col min="19" max="19" width="10" style="618" bestFit="1" customWidth="1"/>
    <col min="20" max="21" width="12.1796875" style="618" bestFit="1" customWidth="1"/>
    <col min="22" max="22" width="9" style="618" bestFit="1" customWidth="1"/>
    <col min="23" max="23" width="9.54296875" style="618" customWidth="1"/>
    <col min="24" max="24" width="9.453125" style="618" customWidth="1"/>
    <col min="25" max="25" width="8.81640625" style="618" bestFit="1" customWidth="1"/>
    <col min="26" max="26" width="10" style="618" bestFit="1" customWidth="1"/>
    <col min="27" max="29" width="12.1796875" style="618" bestFit="1" customWidth="1"/>
    <col min="30" max="30" width="8.81640625" style="618" bestFit="1" customWidth="1"/>
    <col min="31" max="16384" width="8.54296875" style="618"/>
  </cols>
  <sheetData>
    <row r="1" spans="1:30" ht="23.15" customHeight="1" thickBot="1">
      <c r="A1" s="718" t="s">
        <v>460</v>
      </c>
      <c r="B1" s="718" t="s">
        <v>628</v>
      </c>
      <c r="C1" s="720" t="s">
        <v>629</v>
      </c>
      <c r="D1" s="722" t="s">
        <v>934</v>
      </c>
      <c r="E1" s="729" t="s">
        <v>935</v>
      </c>
      <c r="F1" s="722" t="s">
        <v>445</v>
      </c>
      <c r="G1" s="724" t="s">
        <v>630</v>
      </c>
      <c r="H1" s="701" t="s">
        <v>631</v>
      </c>
      <c r="I1" s="738" t="s">
        <v>936</v>
      </c>
      <c r="J1" s="738"/>
      <c r="K1" s="738"/>
      <c r="L1" s="641" t="s">
        <v>937</v>
      </c>
      <c r="M1" s="641" t="s">
        <v>158</v>
      </c>
      <c r="N1" s="641" t="s">
        <v>159</v>
      </c>
      <c r="O1" s="677" t="s">
        <v>938</v>
      </c>
      <c r="R1" s="739" t="s">
        <v>939</v>
      </c>
      <c r="S1" s="740"/>
      <c r="T1" s="740"/>
      <c r="U1" s="740"/>
      <c r="V1" s="740"/>
      <c r="W1" s="740"/>
      <c r="X1" s="740"/>
      <c r="Y1" s="740"/>
      <c r="Z1" s="740"/>
      <c r="AA1" s="740"/>
      <c r="AB1" s="740"/>
      <c r="AC1" s="740"/>
      <c r="AD1" s="741"/>
    </row>
    <row r="2" spans="1:30" ht="30" customHeight="1">
      <c r="A2" s="727"/>
      <c r="B2" s="727"/>
      <c r="C2" s="728"/>
      <c r="D2" s="698"/>
      <c r="E2" s="730"/>
      <c r="F2" s="726"/>
      <c r="G2" s="736"/>
      <c r="H2" s="737"/>
      <c r="I2" s="640" t="s">
        <v>455</v>
      </c>
      <c r="J2" s="640" t="s">
        <v>940</v>
      </c>
      <c r="K2" s="640" t="s">
        <v>457</v>
      </c>
      <c r="O2" s="677"/>
      <c r="R2" s="324" t="s">
        <v>454</v>
      </c>
      <c r="S2" s="55" t="s">
        <v>941</v>
      </c>
      <c r="T2" s="55" t="s">
        <v>876</v>
      </c>
      <c r="U2" s="55" t="s">
        <v>942</v>
      </c>
      <c r="V2" s="55" t="s">
        <v>943</v>
      </c>
      <c r="W2" s="55" t="s">
        <v>944</v>
      </c>
      <c r="X2" s="55" t="s">
        <v>499</v>
      </c>
      <c r="Y2" s="55" t="s">
        <v>945</v>
      </c>
      <c r="Z2" s="55" t="s">
        <v>490</v>
      </c>
      <c r="AA2" s="55" t="s">
        <v>507</v>
      </c>
      <c r="AB2" s="55" t="s">
        <v>473</v>
      </c>
      <c r="AC2" s="55" t="s">
        <v>35</v>
      </c>
      <c r="AD2" s="53" t="s">
        <v>524</v>
      </c>
    </row>
    <row r="3" spans="1:30" ht="39">
      <c r="A3" s="731" t="s">
        <v>233</v>
      </c>
      <c r="B3" s="731" t="s">
        <v>233</v>
      </c>
      <c r="C3" s="636" t="s">
        <v>946</v>
      </c>
      <c r="D3" s="637" t="s">
        <v>947</v>
      </c>
      <c r="E3" s="634" t="s">
        <v>782</v>
      </c>
      <c r="F3" s="637" t="s">
        <v>948</v>
      </c>
      <c r="G3" s="634" t="s">
        <v>421</v>
      </c>
      <c r="H3" s="632"/>
      <c r="I3" s="647">
        <f>15/100</f>
        <v>0.15</v>
      </c>
      <c r="J3" s="638">
        <f>AVERAGE(I3,K3)</f>
        <v>0.22499999999999998</v>
      </c>
      <c r="K3" s="636">
        <f>30/100</f>
        <v>0.3</v>
      </c>
      <c r="L3" s="634" t="s">
        <v>198</v>
      </c>
      <c r="M3" s="634"/>
      <c r="N3" s="634" t="s">
        <v>949</v>
      </c>
      <c r="O3" s="633"/>
      <c r="R3" s="324">
        <f>K24</f>
        <v>0.70200000000000007</v>
      </c>
      <c r="S3" s="55">
        <f>MAX(K25:K26)</f>
        <v>0.30399999999999999</v>
      </c>
      <c r="T3" s="55">
        <f>K27</f>
        <v>0.128</v>
      </c>
      <c r="U3" s="55">
        <f>K31</f>
        <v>0.33</v>
      </c>
      <c r="V3" s="55">
        <f>K32</f>
        <v>1E-4</v>
      </c>
      <c r="W3" s="55">
        <f>K22</f>
        <v>0.39200000000000002</v>
      </c>
      <c r="X3" s="55">
        <f>K8</f>
        <v>0.44</v>
      </c>
      <c r="Y3" s="55">
        <f>K23</f>
        <v>0.39200000000000002</v>
      </c>
      <c r="Z3" s="55">
        <f>K20</f>
        <v>0.13692599999999999</v>
      </c>
      <c r="AA3" s="55">
        <f>K28</f>
        <v>0.13</v>
      </c>
      <c r="AB3" s="55">
        <f>MAX(K29:K30)</f>
        <v>0.48</v>
      </c>
      <c r="AC3" s="55">
        <f>MAX(K15:K16)</f>
        <v>2.8136999999999999E-2</v>
      </c>
      <c r="AD3" s="53">
        <f>K17</f>
        <v>4.0000000000000003E-5</v>
      </c>
    </row>
    <row r="4" spans="1:30" ht="39" customHeight="1">
      <c r="A4" s="732"/>
      <c r="B4" s="689"/>
      <c r="C4" s="636" t="s">
        <v>950</v>
      </c>
      <c r="D4" s="637" t="s">
        <v>951</v>
      </c>
      <c r="E4" s="634" t="s">
        <v>952</v>
      </c>
      <c r="F4" s="637" t="s">
        <v>948</v>
      </c>
      <c r="G4" s="325" t="s">
        <v>381</v>
      </c>
      <c r="H4" s="636" t="s">
        <v>382</v>
      </c>
      <c r="I4" s="636">
        <f>0.1/100</f>
        <v>1E-3</v>
      </c>
      <c r="J4" s="636">
        <f>AVERAGE(I4,K4)</f>
        <v>1.5E-3</v>
      </c>
      <c r="K4" s="636">
        <f>0.2/100</f>
        <v>2E-3</v>
      </c>
      <c r="L4" s="634" t="s">
        <v>383</v>
      </c>
      <c r="M4" s="634"/>
      <c r="N4" s="634" t="s">
        <v>384</v>
      </c>
      <c r="O4" s="633"/>
      <c r="R4" s="324">
        <f>J24</f>
        <v>0.29002875000000006</v>
      </c>
      <c r="S4" s="55">
        <f>AVERAGE(J25:J26)</f>
        <v>0.1108335</v>
      </c>
      <c r="T4" s="55">
        <f>J27</f>
        <v>0.1075</v>
      </c>
      <c r="U4" s="55">
        <f>J31</f>
        <v>2.3138427777777779E-2</v>
      </c>
      <c r="V4" s="55">
        <f>J32</f>
        <v>1E-4</v>
      </c>
      <c r="W4" s="55">
        <f>J22</f>
        <v>0.12293833333333333</v>
      </c>
      <c r="X4" s="55">
        <f>J8</f>
        <v>0.29499999999999998</v>
      </c>
      <c r="Y4" s="55">
        <f>J23</f>
        <v>0.12293833333333333</v>
      </c>
      <c r="Z4" s="55">
        <f>J20</f>
        <v>0.13692599999999999</v>
      </c>
      <c r="AA4" s="55">
        <f>J28</f>
        <v>7.2239999999999999E-2</v>
      </c>
      <c r="AB4" s="55">
        <f>AVERAGE(J29:J30)</f>
        <v>0.1795525</v>
      </c>
      <c r="AC4" s="55">
        <f>AVERAGE(J15:J16)</f>
        <v>1.4161874999999999E-2</v>
      </c>
      <c r="AD4" s="53">
        <f>J17</f>
        <v>2.5000000000000001E-5</v>
      </c>
    </row>
    <row r="5" spans="1:30" ht="35.5" customHeight="1" thickBot="1">
      <c r="A5" s="732"/>
      <c r="B5" s="689"/>
      <c r="C5" s="636" t="s">
        <v>953</v>
      </c>
      <c r="D5" s="637" t="s">
        <v>951</v>
      </c>
      <c r="E5" s="634" t="s">
        <v>71</v>
      </c>
      <c r="F5" s="637" t="s">
        <v>948</v>
      </c>
      <c r="G5" s="325" t="s">
        <v>361</v>
      </c>
      <c r="H5" s="636" t="s">
        <v>362</v>
      </c>
      <c r="I5" s="636">
        <f>2.5/100</f>
        <v>2.5000000000000001E-2</v>
      </c>
      <c r="J5" s="636">
        <f>AVERAGE(I5,K5)</f>
        <v>6.25E-2</v>
      </c>
      <c r="K5" s="636">
        <f>10/100</f>
        <v>0.1</v>
      </c>
      <c r="L5" s="634" t="s">
        <v>364</v>
      </c>
      <c r="M5" s="634" t="s">
        <v>365</v>
      </c>
      <c r="N5" s="634" t="s">
        <v>366</v>
      </c>
      <c r="O5" s="633"/>
      <c r="R5" s="326">
        <f>I24</f>
        <v>7.2999999999999996E-4</v>
      </c>
      <c r="S5" s="670">
        <f>MIN(I25:I26)</f>
        <v>3.0000000000000001E-5</v>
      </c>
      <c r="T5" s="670">
        <f>I27</f>
        <v>8.6999999999999994E-2</v>
      </c>
      <c r="U5" s="670">
        <f>I31</f>
        <v>8.3000000000000002E-6</v>
      </c>
      <c r="V5" s="670">
        <f>I32</f>
        <v>1E-4</v>
      </c>
      <c r="W5" s="670">
        <f>I22</f>
        <v>2.0000000000000002E-5</v>
      </c>
      <c r="X5" s="670">
        <f>I8</f>
        <v>0.17</v>
      </c>
      <c r="Y5" s="670">
        <f>I23</f>
        <v>2.0000000000000002E-5</v>
      </c>
      <c r="Z5" s="670">
        <f>I20</f>
        <v>0.13692599999999999</v>
      </c>
      <c r="AA5" s="670">
        <f>I28</f>
        <v>1.1999999999999999E-3</v>
      </c>
      <c r="AB5" s="670">
        <f>MIN(I29:I30)</f>
        <v>5.0000000000000001E-4</v>
      </c>
      <c r="AC5" s="670">
        <f>MIN(I15:I16)</f>
        <v>4.85E-5</v>
      </c>
      <c r="AD5" s="156">
        <f>I17</f>
        <v>1.0000000000000001E-5</v>
      </c>
    </row>
    <row r="6" spans="1:30" ht="41.15" customHeight="1" thickBot="1">
      <c r="A6" s="689"/>
      <c r="B6" s="689"/>
      <c r="C6" s="733" t="s">
        <v>954</v>
      </c>
      <c r="D6" s="734" t="s">
        <v>947</v>
      </c>
      <c r="E6" s="735" t="s">
        <v>658</v>
      </c>
      <c r="F6" s="637" t="s">
        <v>948</v>
      </c>
      <c r="G6" s="325" t="s">
        <v>235</v>
      </c>
      <c r="H6" s="636" t="s">
        <v>236</v>
      </c>
      <c r="I6" s="636">
        <f>3/100</f>
        <v>0.03</v>
      </c>
      <c r="J6" s="636">
        <f>AVERAGE(I6,K6)</f>
        <v>0.04</v>
      </c>
      <c r="K6" s="636">
        <f>5/100</f>
        <v>0.05</v>
      </c>
      <c r="L6" s="634" t="s">
        <v>198</v>
      </c>
      <c r="M6" s="634" t="s">
        <v>175</v>
      </c>
      <c r="N6" s="634" t="s">
        <v>238</v>
      </c>
      <c r="O6" s="633" t="s">
        <v>955</v>
      </c>
    </row>
    <row r="7" spans="1:30" ht="38.5" customHeight="1" thickBot="1">
      <c r="A7" s="690"/>
      <c r="B7" s="690"/>
      <c r="C7" s="733"/>
      <c r="D7" s="734"/>
      <c r="E7" s="735"/>
      <c r="F7" s="637" t="s">
        <v>948</v>
      </c>
      <c r="G7" s="325" t="s">
        <v>260</v>
      </c>
      <c r="H7" s="636" t="s">
        <v>261</v>
      </c>
      <c r="I7" s="636">
        <f>1/100</f>
        <v>0.01</v>
      </c>
      <c r="J7" s="636">
        <f>AVERAGE(I7,K7)</f>
        <v>3.0000000000000002E-2</v>
      </c>
      <c r="K7" s="636">
        <f>5/100</f>
        <v>0.05</v>
      </c>
      <c r="L7" s="634" t="s">
        <v>198</v>
      </c>
      <c r="M7" s="634">
        <v>1.57</v>
      </c>
      <c r="N7" s="634" t="s">
        <v>263</v>
      </c>
      <c r="O7" s="633" t="s">
        <v>956</v>
      </c>
      <c r="R7" s="752" t="s">
        <v>957</v>
      </c>
      <c r="S7" s="753"/>
      <c r="T7" s="753"/>
      <c r="U7" s="753"/>
      <c r="V7" s="753"/>
      <c r="W7" s="753"/>
      <c r="X7" s="753"/>
      <c r="Y7" s="753"/>
      <c r="Z7" s="754"/>
    </row>
    <row r="8" spans="1:30" ht="31" customHeight="1">
      <c r="A8" s="742" t="s">
        <v>249</v>
      </c>
      <c r="B8" s="742" t="s">
        <v>249</v>
      </c>
      <c r="C8" s="632" t="s">
        <v>499</v>
      </c>
      <c r="D8" s="633" t="s">
        <v>958</v>
      </c>
      <c r="E8" s="633" t="s">
        <v>71</v>
      </c>
      <c r="F8" s="633">
        <v>6301520</v>
      </c>
      <c r="G8" s="633" t="s">
        <v>499</v>
      </c>
      <c r="H8" s="632" t="s">
        <v>175</v>
      </c>
      <c r="I8" s="632">
        <v>0.17</v>
      </c>
      <c r="J8" s="632">
        <v>0.29499999999999998</v>
      </c>
      <c r="K8" s="632">
        <v>0.44</v>
      </c>
      <c r="L8" s="327"/>
      <c r="M8" s="327"/>
      <c r="N8" s="327"/>
      <c r="O8" s="327"/>
      <c r="R8" s="328" t="s">
        <v>959</v>
      </c>
      <c r="S8" s="158" t="s">
        <v>960</v>
      </c>
      <c r="T8" s="158" t="s">
        <v>961</v>
      </c>
      <c r="U8" s="158" t="s">
        <v>962</v>
      </c>
      <c r="V8" s="158" t="s">
        <v>963</v>
      </c>
      <c r="W8" s="158" t="s">
        <v>964</v>
      </c>
      <c r="X8" s="158" t="s">
        <v>965</v>
      </c>
      <c r="Y8" s="158" t="s">
        <v>966</v>
      </c>
      <c r="Z8" s="177" t="s">
        <v>967</v>
      </c>
    </row>
    <row r="9" spans="1:30" ht="39" customHeight="1">
      <c r="A9" s="742"/>
      <c r="B9" s="742"/>
      <c r="C9" s="329" t="s">
        <v>968</v>
      </c>
      <c r="D9" s="637" t="s">
        <v>951</v>
      </c>
      <c r="E9" s="634" t="s">
        <v>71</v>
      </c>
      <c r="F9" s="637" t="s">
        <v>948</v>
      </c>
      <c r="G9" s="634" t="s">
        <v>252</v>
      </c>
      <c r="H9" s="632" t="s">
        <v>253</v>
      </c>
      <c r="I9" s="647">
        <v>0.8</v>
      </c>
      <c r="J9" s="638">
        <f>AVERAGE(I9,K9)</f>
        <v>0.8</v>
      </c>
      <c r="K9" s="636">
        <v>0.8</v>
      </c>
      <c r="L9" s="634" t="s">
        <v>255</v>
      </c>
      <c r="M9" s="634">
        <v>0.99039999999999995</v>
      </c>
      <c r="N9" s="634" t="s">
        <v>256</v>
      </c>
      <c r="O9" s="633"/>
      <c r="R9" s="324" t="e">
        <f>MAX(K12:K14)</f>
        <v>#REF!</v>
      </c>
      <c r="S9" s="55">
        <f>MAX(K10:K11)</f>
        <v>0.05</v>
      </c>
      <c r="T9" s="55">
        <f>MAX(K6:K7)</f>
        <v>0.05</v>
      </c>
      <c r="U9" s="55">
        <f>K4</f>
        <v>2E-3</v>
      </c>
      <c r="V9" s="55">
        <f>K3</f>
        <v>0.3</v>
      </c>
      <c r="W9" s="55">
        <f>K9</f>
        <v>0.8</v>
      </c>
      <c r="X9" s="55">
        <f>K5</f>
        <v>0.1</v>
      </c>
      <c r="Y9" s="55">
        <f>K18</f>
        <v>0.01</v>
      </c>
      <c r="Z9" s="53">
        <f>K19</f>
        <v>2E-3</v>
      </c>
    </row>
    <row r="10" spans="1:30" ht="39">
      <c r="A10" s="744" t="s">
        <v>412</v>
      </c>
      <c r="B10" s="744" t="s">
        <v>969</v>
      </c>
      <c r="C10" s="745" t="s">
        <v>970</v>
      </c>
      <c r="D10" s="746" t="s">
        <v>947</v>
      </c>
      <c r="E10" s="735" t="s">
        <v>658</v>
      </c>
      <c r="F10" s="637" t="s">
        <v>948</v>
      </c>
      <c r="G10" s="634" t="s">
        <v>413</v>
      </c>
      <c r="H10" s="638" t="s">
        <v>184</v>
      </c>
      <c r="I10" s="638">
        <f>1/100</f>
        <v>0.01</v>
      </c>
      <c r="J10" s="636">
        <f>AVERAGE(I10,K10)</f>
        <v>3.0000000000000002E-2</v>
      </c>
      <c r="K10" s="638">
        <f>5/100</f>
        <v>0.05</v>
      </c>
      <c r="L10" s="634" t="s">
        <v>383</v>
      </c>
      <c r="M10" s="634"/>
      <c r="N10" s="634"/>
      <c r="O10" s="633" t="s">
        <v>971</v>
      </c>
      <c r="R10" s="324" t="e">
        <f>AVERAGE(J12:J14)</f>
        <v>#REF!</v>
      </c>
      <c r="S10" s="55">
        <f>AVERAGE(J10:J11)</f>
        <v>1.6500000000000001E-2</v>
      </c>
      <c r="T10" s="55">
        <f>AVERAGE(J6:J7)</f>
        <v>3.5000000000000003E-2</v>
      </c>
      <c r="U10" s="55">
        <f>J4</f>
        <v>1.5E-3</v>
      </c>
      <c r="V10" s="55">
        <f>J3</f>
        <v>0.22499999999999998</v>
      </c>
      <c r="W10" s="55">
        <f>J9</f>
        <v>0.8</v>
      </c>
      <c r="X10" s="55">
        <f>J5</f>
        <v>6.25E-2</v>
      </c>
      <c r="Y10" s="55">
        <f>J18</f>
        <v>5.4999999999999997E-3</v>
      </c>
      <c r="Z10" s="53">
        <f>J19</f>
        <v>2E-3</v>
      </c>
    </row>
    <row r="11" spans="1:30" ht="39" customHeight="1" thickBot="1">
      <c r="A11" s="689"/>
      <c r="B11" s="689"/>
      <c r="C11" s="745"/>
      <c r="D11" s="747"/>
      <c r="E11" s="748"/>
      <c r="F11" s="637" t="s">
        <v>948</v>
      </c>
      <c r="G11" s="634" t="s">
        <v>417</v>
      </c>
      <c r="H11" s="636" t="s">
        <v>418</v>
      </c>
      <c r="I11" s="647">
        <f>0.3/100</f>
        <v>3.0000000000000001E-3</v>
      </c>
      <c r="J11" s="647">
        <f>0.3/100</f>
        <v>3.0000000000000001E-3</v>
      </c>
      <c r="K11" s="647">
        <f>0.3/100</f>
        <v>3.0000000000000001E-3</v>
      </c>
      <c r="L11" s="634" t="s">
        <v>383</v>
      </c>
      <c r="M11" s="634"/>
      <c r="N11" s="634"/>
      <c r="O11" s="633" t="s">
        <v>972</v>
      </c>
      <c r="R11" s="326" t="e">
        <f>MIN(I12:I14)</f>
        <v>#REF!</v>
      </c>
      <c r="S11" s="670">
        <f>MIN(I10:I11)</f>
        <v>3.0000000000000001E-3</v>
      </c>
      <c r="T11" s="670">
        <f>MIN(I6:I7)</f>
        <v>0.01</v>
      </c>
      <c r="U11" s="670">
        <f>I4</f>
        <v>1E-3</v>
      </c>
      <c r="V11" s="670">
        <f>I3</f>
        <v>0.15</v>
      </c>
      <c r="W11" s="670">
        <f>I9</f>
        <v>0.8</v>
      </c>
      <c r="X11" s="670">
        <f>I5</f>
        <v>2.5000000000000001E-2</v>
      </c>
      <c r="Y11" s="670">
        <f>I18</f>
        <v>1E-3</v>
      </c>
      <c r="Z11" s="156">
        <f>I19</f>
        <v>2E-3</v>
      </c>
    </row>
    <row r="12" spans="1:30" ht="29.15" customHeight="1">
      <c r="A12" s="689"/>
      <c r="B12" s="689"/>
      <c r="C12" s="733" t="s">
        <v>973</v>
      </c>
      <c r="D12" s="734" t="s">
        <v>947</v>
      </c>
      <c r="E12" s="749" t="s">
        <v>658</v>
      </c>
      <c r="F12" s="637" t="s">
        <v>578</v>
      </c>
      <c r="G12" s="325" t="s">
        <v>438</v>
      </c>
      <c r="H12" s="636" t="s">
        <v>175</v>
      </c>
      <c r="I12" s="636" t="e">
        <f>#REF!</f>
        <v>#REF!</v>
      </c>
      <c r="J12" s="636" t="e">
        <f>AVERAGE(I12,K12)</f>
        <v>#REF!</v>
      </c>
      <c r="K12" s="636" t="e">
        <f>#REF!</f>
        <v>#REF!</v>
      </c>
      <c r="L12" s="634" t="s">
        <v>383</v>
      </c>
      <c r="M12" s="633"/>
      <c r="N12" s="633"/>
      <c r="O12" s="633"/>
      <c r="R12" s="618" t="s">
        <v>974</v>
      </c>
    </row>
    <row r="13" spans="1:30" ht="26.15" customHeight="1">
      <c r="A13" s="689"/>
      <c r="B13" s="689"/>
      <c r="C13" s="733"/>
      <c r="D13" s="734"/>
      <c r="E13" s="749"/>
      <c r="F13" s="637" t="s">
        <v>578</v>
      </c>
      <c r="G13" s="325" t="s">
        <v>975</v>
      </c>
      <c r="H13" s="636" t="s">
        <v>175</v>
      </c>
      <c r="I13" s="636" t="e">
        <f>#REF!</f>
        <v>#REF!</v>
      </c>
      <c r="J13" s="636" t="e">
        <f>I13</f>
        <v>#REF!</v>
      </c>
      <c r="K13" s="636" t="e">
        <f>I13</f>
        <v>#REF!</v>
      </c>
      <c r="L13" s="634" t="s">
        <v>383</v>
      </c>
      <c r="M13" s="633"/>
      <c r="N13" s="633"/>
      <c r="O13" s="633"/>
    </row>
    <row r="14" spans="1:30" ht="31" customHeight="1">
      <c r="A14" s="690"/>
      <c r="B14" s="690"/>
      <c r="C14" s="733"/>
      <c r="D14" s="734"/>
      <c r="E14" s="749"/>
      <c r="F14" s="637" t="s">
        <v>578</v>
      </c>
      <c r="G14" s="325" t="s">
        <v>442</v>
      </c>
      <c r="H14" s="636" t="s">
        <v>175</v>
      </c>
      <c r="I14" s="636" t="e">
        <f>#REF!</f>
        <v>#REF!</v>
      </c>
      <c r="J14" s="636" t="e">
        <f>I14</f>
        <v>#REF!</v>
      </c>
      <c r="K14" s="636" t="e">
        <f>I14</f>
        <v>#REF!</v>
      </c>
      <c r="L14" s="634" t="s">
        <v>383</v>
      </c>
      <c r="M14" s="633"/>
      <c r="N14" s="633"/>
      <c r="O14" s="633"/>
    </row>
    <row r="15" spans="1:30" ht="46.5" customHeight="1">
      <c r="A15" s="742" t="s">
        <v>166</v>
      </c>
      <c r="B15" s="631" t="s">
        <v>976</v>
      </c>
      <c r="C15" s="743" t="s">
        <v>35</v>
      </c>
      <c r="D15" s="734" t="s">
        <v>977</v>
      </c>
      <c r="E15" s="735" t="s">
        <v>782</v>
      </c>
      <c r="F15" s="633" t="s">
        <v>510</v>
      </c>
      <c r="G15" s="633" t="s">
        <v>591</v>
      </c>
      <c r="H15" s="632" t="s">
        <v>175</v>
      </c>
      <c r="I15" s="632">
        <v>4.85E-5</v>
      </c>
      <c r="J15" s="632">
        <v>1.8674999999999999E-4</v>
      </c>
      <c r="K15" s="632">
        <v>3.2499999999999999E-4</v>
      </c>
      <c r="L15" s="327"/>
      <c r="M15" s="327"/>
      <c r="N15" s="327"/>
      <c r="O15" s="327"/>
    </row>
    <row r="16" spans="1:30" ht="31" customHeight="1">
      <c r="A16" s="742"/>
      <c r="B16" s="631" t="s">
        <v>976</v>
      </c>
      <c r="C16" s="743"/>
      <c r="D16" s="734"/>
      <c r="E16" s="735"/>
      <c r="F16" s="330" t="s">
        <v>531</v>
      </c>
      <c r="G16" s="633" t="s">
        <v>593</v>
      </c>
      <c r="H16" s="632" t="s">
        <v>175</v>
      </c>
      <c r="I16" s="632">
        <v>2.8136999999999999E-2</v>
      </c>
      <c r="J16" s="632">
        <v>2.8136999999999999E-2</v>
      </c>
      <c r="K16" s="632">
        <v>2.8136999999999999E-2</v>
      </c>
      <c r="L16" s="327"/>
      <c r="M16" s="327"/>
      <c r="N16" s="327"/>
      <c r="O16" s="327"/>
    </row>
    <row r="17" spans="1:15" ht="46.5" customHeight="1">
      <c r="A17" s="742"/>
      <c r="B17" s="631" t="s">
        <v>976</v>
      </c>
      <c r="C17" s="632" t="s">
        <v>524</v>
      </c>
      <c r="D17" s="633" t="s">
        <v>977</v>
      </c>
      <c r="E17" s="633" t="s">
        <v>782</v>
      </c>
      <c r="F17" s="633" t="s">
        <v>510</v>
      </c>
      <c r="G17" s="633" t="s">
        <v>594</v>
      </c>
      <c r="H17" s="632" t="s">
        <v>175</v>
      </c>
      <c r="I17" s="632">
        <v>1.0000000000000001E-5</v>
      </c>
      <c r="J17" s="632">
        <v>2.5000000000000001E-5</v>
      </c>
      <c r="K17" s="632">
        <v>4.0000000000000003E-5</v>
      </c>
      <c r="L17" s="327"/>
      <c r="M17" s="327"/>
      <c r="N17" s="327"/>
      <c r="O17" s="327"/>
    </row>
    <row r="18" spans="1:15" ht="43.5">
      <c r="A18" s="735" t="s">
        <v>193</v>
      </c>
      <c r="B18" s="634" t="s">
        <v>978</v>
      </c>
      <c r="C18" s="636" t="s">
        <v>979</v>
      </c>
      <c r="D18" s="637" t="s">
        <v>951</v>
      </c>
      <c r="E18" s="634" t="s">
        <v>71</v>
      </c>
      <c r="F18" s="637" t="s">
        <v>948</v>
      </c>
      <c r="G18" s="331" t="s">
        <v>195</v>
      </c>
      <c r="H18" s="636" t="s">
        <v>196</v>
      </c>
      <c r="I18" s="636">
        <f>0.1/100</f>
        <v>1E-3</v>
      </c>
      <c r="J18" s="636">
        <f>AVERAGE(I18,K18)</f>
        <v>5.4999999999999997E-3</v>
      </c>
      <c r="K18" s="636">
        <f>1/100</f>
        <v>0.01</v>
      </c>
      <c r="L18" s="634" t="s">
        <v>198</v>
      </c>
      <c r="M18" s="634">
        <v>2.0299999999999998</v>
      </c>
      <c r="N18" s="634" t="s">
        <v>175</v>
      </c>
      <c r="O18" s="633" t="s">
        <v>980</v>
      </c>
    </row>
    <row r="19" spans="1:15" ht="46.5" customHeight="1">
      <c r="A19" s="735"/>
      <c r="B19" s="634" t="s">
        <v>978</v>
      </c>
      <c r="C19" s="636" t="s">
        <v>981</v>
      </c>
      <c r="D19" s="637" t="s">
        <v>951</v>
      </c>
      <c r="E19" s="634" t="s">
        <v>71</v>
      </c>
      <c r="F19" s="637" t="s">
        <v>948</v>
      </c>
      <c r="G19" s="634" t="s">
        <v>393</v>
      </c>
      <c r="H19" s="632" t="s">
        <v>394</v>
      </c>
      <c r="I19" s="647">
        <f>0.2/100</f>
        <v>2E-3</v>
      </c>
      <c r="J19" s="638">
        <f>AVERAGE(I19,K19)</f>
        <v>2E-3</v>
      </c>
      <c r="K19" s="636">
        <f>0.2/100</f>
        <v>2E-3</v>
      </c>
      <c r="L19" s="634" t="s">
        <v>246</v>
      </c>
      <c r="M19" s="634" t="s">
        <v>175</v>
      </c>
      <c r="N19" s="634" t="s">
        <v>396</v>
      </c>
      <c r="O19" s="633"/>
    </row>
    <row r="20" spans="1:15" ht="101.5">
      <c r="A20" s="631" t="s">
        <v>218</v>
      </c>
      <c r="B20" s="631" t="s">
        <v>218</v>
      </c>
      <c r="C20" s="632" t="s">
        <v>490</v>
      </c>
      <c r="D20" s="633" t="s">
        <v>982</v>
      </c>
      <c r="E20" s="633" t="s">
        <v>782</v>
      </c>
      <c r="F20" s="330" t="s">
        <v>531</v>
      </c>
      <c r="G20" s="633" t="s">
        <v>581</v>
      </c>
      <c r="H20" s="632" t="s">
        <v>175</v>
      </c>
      <c r="I20" s="632">
        <v>0.13692599999999999</v>
      </c>
      <c r="J20" s="632">
        <v>0.13692599999999999</v>
      </c>
      <c r="K20" s="632">
        <v>0.13692599999999999</v>
      </c>
      <c r="L20" s="327"/>
      <c r="M20" s="327"/>
      <c r="N20" s="327"/>
      <c r="O20" s="327"/>
    </row>
    <row r="21" spans="1:15" ht="31" customHeight="1">
      <c r="A21" s="735" t="s">
        <v>180</v>
      </c>
      <c r="B21" s="735" t="s">
        <v>180</v>
      </c>
      <c r="C21" s="332" t="s">
        <v>181</v>
      </c>
      <c r="D21" s="333" t="s">
        <v>983</v>
      </c>
      <c r="E21" s="334" t="s">
        <v>71</v>
      </c>
      <c r="F21" s="333" t="s">
        <v>948</v>
      </c>
      <c r="G21" s="335" t="s">
        <v>183</v>
      </c>
      <c r="H21" s="336" t="s">
        <v>184</v>
      </c>
      <c r="I21" s="336">
        <f>0.1/100</f>
        <v>1E-3</v>
      </c>
      <c r="J21" s="336">
        <f>AVERAGE(I21,K21)</f>
        <v>5.4999999999999997E-3</v>
      </c>
      <c r="K21" s="336">
        <f>1/100</f>
        <v>0.01</v>
      </c>
      <c r="L21" s="334" t="s">
        <v>173</v>
      </c>
      <c r="M21" s="334">
        <v>1.1000000000000001</v>
      </c>
      <c r="N21" s="334" t="s">
        <v>187</v>
      </c>
      <c r="O21" s="333" t="s">
        <v>984</v>
      </c>
    </row>
    <row r="22" spans="1:15" ht="31" customHeight="1">
      <c r="A22" s="735"/>
      <c r="B22" s="735"/>
      <c r="C22" s="632" t="s">
        <v>985</v>
      </c>
      <c r="D22" s="633" t="s">
        <v>983</v>
      </c>
      <c r="E22" s="633" t="s">
        <v>71</v>
      </c>
      <c r="F22" s="633" t="s">
        <v>510</v>
      </c>
      <c r="G22" s="633" t="s">
        <v>836</v>
      </c>
      <c r="H22" s="632" t="s">
        <v>175</v>
      </c>
      <c r="I22" s="632">
        <v>2.0000000000000002E-5</v>
      </c>
      <c r="J22" s="632">
        <v>0.12293833333333333</v>
      </c>
      <c r="K22" s="632">
        <v>0.39200000000000002</v>
      </c>
      <c r="L22" s="327"/>
      <c r="M22" s="327"/>
      <c r="N22" s="327"/>
      <c r="O22" s="327"/>
    </row>
    <row r="23" spans="1:15" ht="72.5">
      <c r="A23" s="631" t="s">
        <v>986</v>
      </c>
      <c r="B23" s="631" t="s">
        <v>986</v>
      </c>
      <c r="C23" s="632" t="s">
        <v>987</v>
      </c>
      <c r="D23" s="633" t="s">
        <v>982</v>
      </c>
      <c r="E23" s="633" t="s">
        <v>833</v>
      </c>
      <c r="F23" s="633" t="s">
        <v>510</v>
      </c>
      <c r="G23" s="633" t="s">
        <v>836</v>
      </c>
      <c r="H23" s="632" t="s">
        <v>175</v>
      </c>
      <c r="I23" s="632">
        <f>'[2]DEHP literature Vals'!K27</f>
        <v>2.0000000000000002E-5</v>
      </c>
      <c r="J23" s="632">
        <f>'[2]DEHP literature Vals'!L27</f>
        <v>0.12293833333333333</v>
      </c>
      <c r="K23" s="632">
        <f>'[2]DEHP literature Vals'!M27</f>
        <v>0.39200000000000002</v>
      </c>
      <c r="L23" s="327"/>
      <c r="M23" s="327"/>
      <c r="N23" s="327"/>
      <c r="O23" s="327"/>
    </row>
    <row r="24" spans="1:15" ht="29.15" customHeight="1">
      <c r="A24" s="744" t="s">
        <v>335</v>
      </c>
      <c r="B24" s="744" t="s">
        <v>335</v>
      </c>
      <c r="C24" s="632" t="s">
        <v>454</v>
      </c>
      <c r="D24" s="633" t="s">
        <v>988</v>
      </c>
      <c r="E24" s="633" t="s">
        <v>71</v>
      </c>
      <c r="F24" s="633">
        <v>6302197</v>
      </c>
      <c r="G24" s="633" t="s">
        <v>465</v>
      </c>
      <c r="H24" s="632">
        <v>7.2999999999999996E-4</v>
      </c>
      <c r="I24" s="632">
        <f>'[2]DEHP literature Vals'!K4</f>
        <v>7.2999999999999996E-4</v>
      </c>
      <c r="J24" s="632">
        <f>'[2]DEHP literature Vals'!L4</f>
        <v>0.29002875000000006</v>
      </c>
      <c r="K24" s="632">
        <f>'[2]DEHP literature Vals'!M4</f>
        <v>0.70200000000000007</v>
      </c>
      <c r="L24" s="327"/>
      <c r="M24" s="327"/>
      <c r="N24" s="327"/>
      <c r="O24" s="327"/>
    </row>
    <row r="25" spans="1:15" ht="46.5" customHeight="1">
      <c r="A25" s="750"/>
      <c r="B25" s="750"/>
      <c r="C25" s="743" t="s">
        <v>508</v>
      </c>
      <c r="D25" s="749"/>
      <c r="E25" s="749"/>
      <c r="F25" s="633">
        <v>10622425</v>
      </c>
      <c r="G25" s="633" t="s">
        <v>512</v>
      </c>
      <c r="H25" s="632" t="s">
        <v>175</v>
      </c>
      <c r="I25" s="632">
        <v>0.14000000000000001</v>
      </c>
      <c r="J25" s="632">
        <v>0.14000000000000001</v>
      </c>
      <c r="K25" s="632">
        <v>0.14000000000000001</v>
      </c>
      <c r="L25" s="327"/>
      <c r="M25" s="327"/>
      <c r="N25" s="327"/>
      <c r="O25" s="327"/>
    </row>
    <row r="26" spans="1:15" ht="58" customHeight="1">
      <c r="A26" s="750"/>
      <c r="B26" s="750"/>
      <c r="C26" s="743"/>
      <c r="D26" s="749"/>
      <c r="E26" s="749"/>
      <c r="F26" s="633" t="s">
        <v>510</v>
      </c>
      <c r="G26" s="633" t="s">
        <v>514</v>
      </c>
      <c r="H26" s="632" t="s">
        <v>175</v>
      </c>
      <c r="I26" s="632">
        <f>'[2]DEHP literature Vals'!K18</f>
        <v>3.0000000000000001E-5</v>
      </c>
      <c r="J26" s="632">
        <f>'[2]DEHP literature Vals'!L18</f>
        <v>8.1667000000000003E-2</v>
      </c>
      <c r="K26" s="632">
        <f>'[2]DEHP literature Vals'!M18</f>
        <v>0.30399999999999999</v>
      </c>
      <c r="L26" s="327"/>
      <c r="M26" s="327"/>
      <c r="N26" s="327"/>
      <c r="O26" s="327"/>
    </row>
    <row r="27" spans="1:15" ht="46.5" customHeight="1">
      <c r="A27" s="750"/>
      <c r="B27" s="750"/>
      <c r="C27" s="632" t="s">
        <v>989</v>
      </c>
      <c r="D27" s="633" t="s">
        <v>990</v>
      </c>
      <c r="E27" s="633" t="s">
        <v>991</v>
      </c>
      <c r="F27" s="633">
        <v>11374030</v>
      </c>
      <c r="G27" s="633" t="s">
        <v>483</v>
      </c>
      <c r="H27" s="632" t="s">
        <v>175</v>
      </c>
      <c r="I27" s="632">
        <v>8.6999999999999994E-2</v>
      </c>
      <c r="J27" s="632">
        <v>0.1075</v>
      </c>
      <c r="K27" s="632">
        <v>0.128</v>
      </c>
      <c r="L27" s="327"/>
      <c r="M27" s="327"/>
      <c r="N27" s="327"/>
      <c r="O27" s="327"/>
    </row>
    <row r="28" spans="1:15" ht="46.5" customHeight="1">
      <c r="A28" s="750"/>
      <c r="B28" s="750"/>
      <c r="C28" s="632" t="s">
        <v>507</v>
      </c>
      <c r="D28" s="633" t="s">
        <v>983</v>
      </c>
      <c r="E28" s="633" t="s">
        <v>71</v>
      </c>
      <c r="F28" s="633">
        <v>10622425</v>
      </c>
      <c r="G28" s="633" t="s">
        <v>507</v>
      </c>
      <c r="H28" s="632" t="s">
        <v>175</v>
      </c>
      <c r="I28" s="632">
        <v>1.1999999999999999E-3</v>
      </c>
      <c r="J28" s="632">
        <v>7.2239999999999999E-2</v>
      </c>
      <c r="K28" s="632">
        <v>0.13</v>
      </c>
      <c r="L28" s="327"/>
      <c r="M28" s="327"/>
      <c r="N28" s="327"/>
      <c r="O28" s="327"/>
    </row>
    <row r="29" spans="1:15" ht="43.5" customHeight="1">
      <c r="A29" s="750"/>
      <c r="B29" s="750"/>
      <c r="C29" s="743" t="s">
        <v>498</v>
      </c>
      <c r="D29" s="749" t="s">
        <v>992</v>
      </c>
      <c r="E29" s="749" t="s">
        <v>688</v>
      </c>
      <c r="F29" s="633" t="s">
        <v>993</v>
      </c>
      <c r="G29" s="633" t="s">
        <v>498</v>
      </c>
      <c r="H29" s="632" t="s">
        <v>175</v>
      </c>
      <c r="I29" s="632">
        <v>1.4000000000000002E-3</v>
      </c>
      <c r="J29" s="632">
        <v>0.22627999999999998</v>
      </c>
      <c r="K29" s="632">
        <v>0.48</v>
      </c>
      <c r="L29" s="327"/>
      <c r="M29" s="327"/>
      <c r="N29" s="327"/>
      <c r="O29" s="327"/>
    </row>
    <row r="30" spans="1:15" ht="46.5" customHeight="1">
      <c r="A30" s="751"/>
      <c r="B30" s="751"/>
      <c r="C30" s="743"/>
      <c r="D30" s="749"/>
      <c r="E30" s="749"/>
      <c r="F30" s="633" t="s">
        <v>510</v>
      </c>
      <c r="G30" s="633" t="s">
        <v>498</v>
      </c>
      <c r="H30" s="632" t="s">
        <v>175</v>
      </c>
      <c r="I30" s="632">
        <v>5.0000000000000001E-4</v>
      </c>
      <c r="J30" s="632">
        <v>0.132825</v>
      </c>
      <c r="K30" s="632">
        <v>0.28199999999999997</v>
      </c>
      <c r="L30" s="327"/>
      <c r="M30" s="327"/>
      <c r="N30" s="327"/>
      <c r="O30" s="327"/>
    </row>
    <row r="31" spans="1:15" ht="43.5" customHeight="1">
      <c r="A31" s="742" t="s">
        <v>504</v>
      </c>
      <c r="B31" s="742" t="s">
        <v>504</v>
      </c>
      <c r="C31" s="337" t="s">
        <v>994</v>
      </c>
      <c r="D31" s="294" t="s">
        <v>982</v>
      </c>
      <c r="E31" s="633" t="s">
        <v>883</v>
      </c>
      <c r="F31" s="294" t="s">
        <v>995</v>
      </c>
      <c r="G31" s="338" t="s">
        <v>996</v>
      </c>
      <c r="H31" s="632" t="s">
        <v>997</v>
      </c>
      <c r="I31" s="337">
        <v>8.3000000000000002E-6</v>
      </c>
      <c r="J31" s="337">
        <v>2.3138427777777779E-2</v>
      </c>
      <c r="K31" s="337">
        <v>0.33</v>
      </c>
      <c r="L31" s="327"/>
      <c r="M31" s="327"/>
      <c r="N31" s="327"/>
      <c r="O31" s="327"/>
    </row>
    <row r="32" spans="1:15" ht="46.5" customHeight="1">
      <c r="A32" s="742"/>
      <c r="B32" s="742"/>
      <c r="C32" s="337" t="s">
        <v>998</v>
      </c>
      <c r="D32" s="294" t="s">
        <v>982</v>
      </c>
      <c r="E32" s="633" t="s">
        <v>883</v>
      </c>
      <c r="F32" s="294" t="s">
        <v>999</v>
      </c>
      <c r="G32" s="338" t="s">
        <v>1000</v>
      </c>
      <c r="H32" s="632" t="s">
        <v>997</v>
      </c>
      <c r="I32" s="337">
        <f>0.01/100</f>
        <v>1E-4</v>
      </c>
      <c r="J32" s="337">
        <f>0.01/100</f>
        <v>1E-4</v>
      </c>
      <c r="K32" s="337">
        <f>0.01/100</f>
        <v>1E-4</v>
      </c>
      <c r="L32" s="327"/>
      <c r="M32" s="327"/>
      <c r="N32" s="327"/>
      <c r="O32" s="327"/>
    </row>
    <row r="33" spans="1:15" ht="31" customHeight="1">
      <c r="A33" s="742" t="s">
        <v>249</v>
      </c>
      <c r="B33" s="742" t="s">
        <v>249</v>
      </c>
      <c r="C33" s="743" t="s">
        <v>891</v>
      </c>
      <c r="D33" s="743" t="s">
        <v>983</v>
      </c>
      <c r="E33" s="743" t="s">
        <v>71</v>
      </c>
      <c r="F33" s="294" t="s">
        <v>995</v>
      </c>
      <c r="G33" s="338" t="s">
        <v>474</v>
      </c>
      <c r="H33" s="632" t="s">
        <v>997</v>
      </c>
      <c r="I33" s="337">
        <v>1.7E-5</v>
      </c>
      <c r="J33" s="337">
        <v>2.2664499999999997E-3</v>
      </c>
      <c r="K33" s="337">
        <v>8.9999999999999993E-3</v>
      </c>
      <c r="L33" s="327"/>
      <c r="M33" s="327"/>
      <c r="N33" s="327"/>
      <c r="O33" s="327"/>
    </row>
    <row r="34" spans="1:15" ht="14.5" hidden="1" customHeight="1">
      <c r="A34" s="742"/>
      <c r="B34" s="742"/>
      <c r="C34" s="743"/>
      <c r="D34" s="743"/>
      <c r="E34" s="743"/>
      <c r="F34" s="633">
        <v>6302197</v>
      </c>
      <c r="G34" s="633" t="s">
        <v>465</v>
      </c>
      <c r="H34" s="632">
        <v>7.2999999999999996E-4</v>
      </c>
      <c r="I34" s="632">
        <v>0.29002875000000006</v>
      </c>
      <c r="J34" s="632">
        <v>0.70200000000000007</v>
      </c>
      <c r="K34" s="339"/>
      <c r="L34" s="327"/>
      <c r="M34" s="327"/>
      <c r="N34" s="327"/>
      <c r="O34" s="327"/>
    </row>
    <row r="35" spans="1:15" ht="14.5" hidden="1" customHeight="1">
      <c r="A35" s="742"/>
      <c r="B35" s="742"/>
      <c r="C35" s="743"/>
      <c r="D35" s="743"/>
      <c r="E35" s="743"/>
      <c r="F35" s="633" t="s">
        <v>473</v>
      </c>
      <c r="G35" s="633"/>
      <c r="H35" s="632"/>
      <c r="I35" s="632"/>
      <c r="J35" s="632"/>
      <c r="K35" s="339"/>
      <c r="L35" s="327"/>
      <c r="M35" s="327"/>
      <c r="N35" s="327"/>
      <c r="O35" s="327"/>
    </row>
    <row r="36" spans="1:15" ht="11.15" customHeight="1">
      <c r="A36" s="742"/>
      <c r="B36" s="742"/>
      <c r="C36" s="743"/>
      <c r="D36" s="743"/>
      <c r="E36" s="743"/>
      <c r="F36" s="633">
        <v>11374030</v>
      </c>
      <c r="G36" s="633" t="s">
        <v>605</v>
      </c>
      <c r="H36" s="632" t="s">
        <v>175</v>
      </c>
      <c r="I36" s="632">
        <v>1.2999999999999999E-2</v>
      </c>
      <c r="J36" s="632">
        <v>1.55E-2</v>
      </c>
      <c r="K36" s="632">
        <v>1.7999999999999999E-2</v>
      </c>
      <c r="L36" s="327"/>
      <c r="M36" s="327"/>
      <c r="N36" s="327"/>
      <c r="O36" s="327"/>
    </row>
    <row r="37" spans="1:15" ht="17.149999999999999" customHeight="1">
      <c r="A37" s="742"/>
      <c r="B37" s="742"/>
      <c r="C37" s="743"/>
      <c r="D37" s="743"/>
      <c r="E37" s="743"/>
      <c r="F37" s="633" t="s">
        <v>531</v>
      </c>
      <c r="G37" s="633" t="s">
        <v>606</v>
      </c>
      <c r="H37" s="632" t="s">
        <v>175</v>
      </c>
      <c r="I37" s="632">
        <v>3.2199999999999998E-3</v>
      </c>
      <c r="J37" s="632">
        <v>6.7813999999999999E-2</v>
      </c>
      <c r="K37" s="632">
        <v>0.13670599999999999</v>
      </c>
      <c r="L37" s="327"/>
      <c r="M37" s="327"/>
      <c r="N37" s="327"/>
      <c r="O37" s="327"/>
    </row>
    <row r="38" spans="1:15" ht="14.15" customHeight="1">
      <c r="A38" s="742" t="s">
        <v>218</v>
      </c>
      <c r="B38" s="742" t="s">
        <v>218</v>
      </c>
      <c r="C38" s="743"/>
      <c r="D38" s="743"/>
      <c r="E38" s="743"/>
      <c r="F38" s="633">
        <v>11374030</v>
      </c>
      <c r="G38" s="633" t="s">
        <v>528</v>
      </c>
      <c r="H38" s="632" t="s">
        <v>175</v>
      </c>
      <c r="I38" s="632">
        <v>5.3999999999999994E-3</v>
      </c>
      <c r="J38" s="632">
        <v>5.3999999999999994E-3</v>
      </c>
      <c r="K38" s="632">
        <v>5.3999999999999994E-3</v>
      </c>
      <c r="L38" s="327"/>
      <c r="M38" s="327"/>
      <c r="N38" s="327"/>
      <c r="O38" s="327"/>
    </row>
    <row r="39" spans="1:15" ht="44.15" customHeight="1">
      <c r="A39" s="742"/>
      <c r="B39" s="742"/>
      <c r="C39" s="743"/>
      <c r="D39" s="743"/>
      <c r="E39" s="743"/>
      <c r="F39" s="633" t="s">
        <v>531</v>
      </c>
      <c r="G39" s="633" t="s">
        <v>532</v>
      </c>
      <c r="H39" s="632" t="s">
        <v>175</v>
      </c>
      <c r="I39" s="632">
        <v>0.11409499999999999</v>
      </c>
      <c r="J39" s="632">
        <v>0.11409499999999999</v>
      </c>
      <c r="K39" s="632">
        <v>0.11409499999999999</v>
      </c>
      <c r="L39" s="327"/>
      <c r="M39" s="327"/>
      <c r="N39" s="327"/>
      <c r="O39" s="327"/>
    </row>
    <row r="40" spans="1:15" ht="29.15" customHeight="1">
      <c r="A40" s="742"/>
      <c r="B40" s="742"/>
      <c r="C40" s="743"/>
      <c r="D40" s="743"/>
      <c r="E40" s="743"/>
      <c r="F40" s="637" t="s">
        <v>948</v>
      </c>
      <c r="G40" s="325" t="s">
        <v>227</v>
      </c>
      <c r="H40" s="636" t="s">
        <v>184</v>
      </c>
      <c r="I40" s="636">
        <f>7/100</f>
        <v>7.0000000000000007E-2</v>
      </c>
      <c r="J40" s="636">
        <f>AVERAGE(I40,K40)</f>
        <v>8.5000000000000006E-2</v>
      </c>
      <c r="K40" s="636">
        <f>10/100</f>
        <v>0.1</v>
      </c>
      <c r="L40" s="340"/>
      <c r="M40" s="340"/>
      <c r="N40" s="340"/>
      <c r="O40" s="327"/>
    </row>
    <row r="41" spans="1:15" ht="46.5" customHeight="1">
      <c r="A41" s="742" t="s">
        <v>180</v>
      </c>
      <c r="B41" s="742" t="s">
        <v>180</v>
      </c>
      <c r="C41" s="743"/>
      <c r="D41" s="743"/>
      <c r="E41" s="743"/>
      <c r="F41" s="294" t="s">
        <v>995</v>
      </c>
      <c r="G41" s="338" t="s">
        <v>480</v>
      </c>
      <c r="H41" s="632" t="s">
        <v>997</v>
      </c>
      <c r="I41" s="337">
        <v>1.4099999999999999E-5</v>
      </c>
      <c r="J41" s="337">
        <v>1.2875024999999998E-2</v>
      </c>
      <c r="K41" s="337">
        <v>3.5999999999999997E-2</v>
      </c>
      <c r="L41" s="327"/>
      <c r="M41" s="327"/>
      <c r="N41" s="327"/>
      <c r="O41" s="327"/>
    </row>
    <row r="42" spans="1:15" ht="46.5" customHeight="1">
      <c r="A42" s="742"/>
      <c r="B42" s="742"/>
      <c r="C42" s="743"/>
      <c r="D42" s="743"/>
      <c r="E42" s="743"/>
      <c r="F42" s="294" t="s">
        <v>995</v>
      </c>
      <c r="G42" s="338" t="s">
        <v>484</v>
      </c>
      <c r="H42" s="632" t="s">
        <v>997</v>
      </c>
      <c r="I42" s="337">
        <v>7.4000000000000003E-6</v>
      </c>
      <c r="J42" s="337">
        <v>1.8455000000000001E-4</v>
      </c>
      <c r="K42" s="337">
        <v>3.3099999999999998E-5</v>
      </c>
      <c r="L42" s="327"/>
      <c r="M42" s="327"/>
      <c r="N42" s="327"/>
      <c r="O42" s="327"/>
    </row>
    <row r="43" spans="1:15" ht="46.5" customHeight="1">
      <c r="A43" s="742"/>
      <c r="B43" s="742"/>
      <c r="C43" s="743"/>
      <c r="D43" s="743"/>
      <c r="E43" s="743"/>
      <c r="F43" s="294" t="s">
        <v>995</v>
      </c>
      <c r="G43" s="338" t="s">
        <v>487</v>
      </c>
      <c r="H43" s="632" t="s">
        <v>997</v>
      </c>
      <c r="I43" s="337">
        <v>7.4000000000000003E-6</v>
      </c>
      <c r="J43" s="337">
        <v>7.4000000000000003E-6</v>
      </c>
      <c r="K43" s="337">
        <v>7.4000000000000003E-6</v>
      </c>
      <c r="L43" s="327"/>
      <c r="M43" s="327"/>
      <c r="N43" s="327"/>
      <c r="O43" s="327"/>
    </row>
    <row r="44" spans="1:15" ht="46.5" customHeight="1">
      <c r="A44" s="742"/>
      <c r="B44" s="742"/>
      <c r="C44" s="743"/>
      <c r="D44" s="743"/>
      <c r="E44" s="743"/>
      <c r="F44" s="633">
        <v>10622425</v>
      </c>
      <c r="G44" s="633" t="s">
        <v>555</v>
      </c>
      <c r="H44" s="632" t="s">
        <v>175</v>
      </c>
      <c r="I44" s="632">
        <v>7.000000000000001E-4</v>
      </c>
      <c r="J44" s="632">
        <v>4.0350000000000004E-2</v>
      </c>
      <c r="K44" s="632">
        <v>0.08</v>
      </c>
      <c r="L44" s="327"/>
      <c r="M44" s="327"/>
      <c r="N44" s="327"/>
      <c r="O44" s="327"/>
    </row>
    <row r="45" spans="1:15" ht="31" customHeight="1">
      <c r="A45" s="742" t="s">
        <v>1001</v>
      </c>
      <c r="B45" s="742" t="s">
        <v>1001</v>
      </c>
      <c r="C45" s="743"/>
      <c r="D45" s="743"/>
      <c r="E45" s="743"/>
      <c r="F45" s="633">
        <v>11374030</v>
      </c>
      <c r="G45" s="633" t="s">
        <v>548</v>
      </c>
      <c r="H45" s="632" t="s">
        <v>175</v>
      </c>
      <c r="I45" s="632">
        <v>6.0999999999999999E-2</v>
      </c>
      <c r="J45" s="632">
        <v>6.0999999999999999E-2</v>
      </c>
      <c r="K45" s="632">
        <v>6.0999999999999999E-2</v>
      </c>
      <c r="L45" s="327"/>
      <c r="M45" s="327"/>
      <c r="N45" s="327"/>
      <c r="O45" s="327"/>
    </row>
    <row r="46" spans="1:15" ht="44.15" customHeight="1">
      <c r="A46" s="742"/>
      <c r="B46" s="742"/>
      <c r="C46" s="743"/>
      <c r="D46" s="743"/>
      <c r="E46" s="743"/>
      <c r="F46" s="633" t="s">
        <v>549</v>
      </c>
      <c r="G46" s="633" t="s">
        <v>548</v>
      </c>
      <c r="H46" s="632" t="s">
        <v>175</v>
      </c>
      <c r="I46" s="632">
        <v>1.3000000000000001E-2</v>
      </c>
      <c r="J46" s="632">
        <v>1.9500000000000003E-2</v>
      </c>
      <c r="K46" s="632">
        <v>2.6000000000000002E-2</v>
      </c>
      <c r="L46" s="327"/>
      <c r="M46" s="327"/>
      <c r="N46" s="327"/>
      <c r="O46" s="327"/>
    </row>
    <row r="47" spans="1:15" ht="46.5" customHeight="1">
      <c r="A47" s="742" t="s">
        <v>335</v>
      </c>
      <c r="B47" s="742" t="s">
        <v>335</v>
      </c>
      <c r="C47" s="743"/>
      <c r="D47" s="743"/>
      <c r="E47" s="743"/>
      <c r="F47" s="294" t="s">
        <v>995</v>
      </c>
      <c r="G47" s="338" t="s">
        <v>1002</v>
      </c>
      <c r="H47" s="632" t="s">
        <v>997</v>
      </c>
      <c r="I47" s="337">
        <v>5.2599999999999998E-5</v>
      </c>
      <c r="J47" s="337">
        <v>8.7166666666666667E-5</v>
      </c>
      <c r="K47" s="337">
        <v>1.2299999999999998E-4</v>
      </c>
      <c r="L47" s="327"/>
      <c r="M47" s="327"/>
      <c r="N47" s="327"/>
      <c r="O47" s="327"/>
    </row>
    <row r="48" spans="1:15" ht="46.5" customHeight="1">
      <c r="A48" s="742"/>
      <c r="B48" s="742"/>
      <c r="C48" s="743"/>
      <c r="D48" s="743"/>
      <c r="E48" s="743"/>
      <c r="F48" s="294" t="s">
        <v>995</v>
      </c>
      <c r="G48" s="338" t="s">
        <v>471</v>
      </c>
      <c r="H48" s="632" t="s">
        <v>997</v>
      </c>
      <c r="I48" s="337">
        <v>1.5699999999999999E-5</v>
      </c>
      <c r="J48" s="337">
        <v>2.3909087499999999E-2</v>
      </c>
      <c r="K48" s="337">
        <v>0.19</v>
      </c>
      <c r="L48" s="327"/>
      <c r="M48" s="327"/>
      <c r="N48" s="327"/>
      <c r="O48" s="327"/>
    </row>
    <row r="49" spans="1:15" ht="46.5" customHeight="1">
      <c r="A49" s="742"/>
      <c r="B49" s="742"/>
      <c r="C49" s="743"/>
      <c r="D49" s="743"/>
      <c r="E49" s="743"/>
      <c r="F49" s="294" t="s">
        <v>995</v>
      </c>
      <c r="G49" s="338" t="s">
        <v>477</v>
      </c>
      <c r="H49" s="632" t="s">
        <v>997</v>
      </c>
      <c r="I49" s="337">
        <v>2.3300000000000001E-5</v>
      </c>
      <c r="J49" s="337">
        <v>5.3542659999999992E-2</v>
      </c>
      <c r="K49" s="337">
        <v>0.16</v>
      </c>
      <c r="L49" s="327"/>
      <c r="M49" s="327"/>
      <c r="N49" s="327"/>
      <c r="O49" s="327"/>
    </row>
    <row r="50" spans="1:15" ht="46.5" customHeight="1">
      <c r="A50" s="742"/>
      <c r="B50" s="742"/>
      <c r="C50" s="743"/>
      <c r="D50" s="743"/>
      <c r="E50" s="743"/>
      <c r="F50" s="294" t="s">
        <v>995</v>
      </c>
      <c r="G50" s="338" t="s">
        <v>491</v>
      </c>
      <c r="H50" s="632" t="s">
        <v>997</v>
      </c>
      <c r="I50" s="337">
        <v>2.4000000000000001E-5</v>
      </c>
      <c r="J50" s="337">
        <v>7.1199999999999996E-4</v>
      </c>
      <c r="K50" s="337">
        <v>1.4E-3</v>
      </c>
      <c r="L50" s="327"/>
      <c r="M50" s="327"/>
      <c r="N50" s="327"/>
      <c r="O50" s="327"/>
    </row>
    <row r="51" spans="1:15" ht="46.5" customHeight="1">
      <c r="A51" s="742"/>
      <c r="B51" s="742"/>
      <c r="C51" s="743"/>
      <c r="D51" s="743"/>
      <c r="E51" s="743"/>
      <c r="F51" s="294" t="s">
        <v>995</v>
      </c>
      <c r="G51" s="338" t="s">
        <v>493</v>
      </c>
      <c r="H51" s="632" t="s">
        <v>997</v>
      </c>
      <c r="I51" s="337">
        <v>9.9999999999999991E-6</v>
      </c>
      <c r="J51" s="337">
        <v>2.9478017948717947E-2</v>
      </c>
      <c r="K51" s="337">
        <v>0.20199999999999999</v>
      </c>
      <c r="L51" s="327"/>
      <c r="M51" s="327"/>
      <c r="N51" s="327"/>
      <c r="O51" s="327"/>
    </row>
    <row r="52" spans="1:15" ht="46.5" customHeight="1">
      <c r="A52" s="742"/>
      <c r="B52" s="742"/>
      <c r="C52" s="743"/>
      <c r="D52" s="743"/>
      <c r="E52" s="743"/>
      <c r="F52" s="633">
        <v>11374030</v>
      </c>
      <c r="G52" s="633" t="s">
        <v>540</v>
      </c>
      <c r="H52" s="632" t="s">
        <v>175</v>
      </c>
      <c r="I52" s="632">
        <v>0.16699999999999998</v>
      </c>
      <c r="J52" s="632">
        <v>0.22099999999999997</v>
      </c>
      <c r="K52" s="632">
        <v>0.27499999999999997</v>
      </c>
      <c r="L52" s="327"/>
      <c r="M52" s="327"/>
      <c r="N52" s="327"/>
      <c r="O52" s="327"/>
    </row>
    <row r="53" spans="1:15" ht="46.5" customHeight="1">
      <c r="A53" s="742"/>
      <c r="B53" s="742"/>
      <c r="C53" s="743"/>
      <c r="D53" s="743"/>
      <c r="E53" s="743"/>
      <c r="F53" s="633">
        <v>11374030</v>
      </c>
      <c r="G53" s="633" t="s">
        <v>543</v>
      </c>
      <c r="H53" s="632" t="s">
        <v>175</v>
      </c>
      <c r="I53" s="632">
        <v>6.0999999999999999E-2</v>
      </c>
      <c r="J53" s="632">
        <v>9.8500000000000004E-2</v>
      </c>
      <c r="K53" s="632">
        <v>0.13600000000000001</v>
      </c>
      <c r="L53" s="327"/>
      <c r="M53" s="327"/>
      <c r="N53" s="327"/>
      <c r="O53" s="327"/>
    </row>
    <row r="54" spans="1:15" ht="46.5" customHeight="1">
      <c r="A54" s="742"/>
      <c r="B54" s="742"/>
      <c r="C54" s="743"/>
      <c r="D54" s="743"/>
      <c r="E54" s="743"/>
      <c r="F54" s="633">
        <v>6302975</v>
      </c>
      <c r="G54" s="633" t="s">
        <v>552</v>
      </c>
      <c r="H54" s="632" t="s">
        <v>175</v>
      </c>
      <c r="I54" s="632">
        <v>1.3300000000000001E-4</v>
      </c>
      <c r="J54" s="632">
        <v>3.5695333333333329E-2</v>
      </c>
      <c r="K54" s="632">
        <v>8.0129999999999993E-2</v>
      </c>
      <c r="L54" s="327"/>
      <c r="M54" s="327"/>
      <c r="N54" s="327"/>
      <c r="O54" s="327"/>
    </row>
    <row r="55" spans="1:15" ht="44.15" customHeight="1">
      <c r="A55" s="742"/>
      <c r="B55" s="742"/>
      <c r="C55" s="743"/>
      <c r="D55" s="743"/>
      <c r="E55" s="743"/>
      <c r="F55" s="633">
        <v>683035</v>
      </c>
      <c r="G55" s="633" t="s">
        <v>563</v>
      </c>
      <c r="H55" s="632" t="s">
        <v>175</v>
      </c>
      <c r="I55" s="632">
        <v>7.4999999999999997E-2</v>
      </c>
      <c r="J55" s="632">
        <v>0.25174999999999997</v>
      </c>
      <c r="K55" s="632">
        <v>0.41</v>
      </c>
      <c r="L55" s="327"/>
      <c r="M55" s="327"/>
      <c r="N55" s="327"/>
      <c r="O55" s="327"/>
    </row>
    <row r="56" spans="1:15" ht="46.5" customHeight="1">
      <c r="A56" s="742"/>
      <c r="B56" s="742"/>
      <c r="C56" s="743"/>
      <c r="D56" s="743"/>
      <c r="E56" s="743"/>
      <c r="F56" s="633">
        <v>11374030</v>
      </c>
      <c r="G56" s="633" t="s">
        <v>563</v>
      </c>
      <c r="H56" s="632" t="s">
        <v>175</v>
      </c>
      <c r="I56" s="632">
        <v>0.375</v>
      </c>
      <c r="J56" s="632">
        <v>0.375</v>
      </c>
      <c r="K56" s="632">
        <v>0.375</v>
      </c>
      <c r="L56" s="327"/>
      <c r="M56" s="327"/>
      <c r="N56" s="327"/>
      <c r="O56" s="327"/>
    </row>
    <row r="57" spans="1:15" ht="43.5" customHeight="1">
      <c r="A57" s="742"/>
      <c r="B57" s="742"/>
      <c r="C57" s="743"/>
      <c r="D57" s="743"/>
      <c r="E57" s="743"/>
      <c r="F57" s="633">
        <v>10622425</v>
      </c>
      <c r="G57" s="633" t="s">
        <v>570</v>
      </c>
      <c r="H57" s="632" t="s">
        <v>175</v>
      </c>
      <c r="I57" s="632">
        <v>0.26</v>
      </c>
      <c r="J57" s="632">
        <v>0.26</v>
      </c>
      <c r="K57" s="632">
        <v>0.26</v>
      </c>
      <c r="L57" s="327"/>
      <c r="M57" s="327"/>
      <c r="N57" s="327"/>
      <c r="O57" s="327"/>
    </row>
    <row r="58" spans="1:15" ht="46.5" customHeight="1">
      <c r="A58" s="742"/>
      <c r="B58" s="742"/>
      <c r="C58" s="743"/>
      <c r="D58" s="743"/>
      <c r="E58" s="743"/>
      <c r="F58" s="633">
        <v>11374030</v>
      </c>
      <c r="G58" s="633" t="s">
        <v>559</v>
      </c>
      <c r="H58" s="632" t="s">
        <v>175</v>
      </c>
      <c r="I58" s="632">
        <v>4.9999999999999996E-5</v>
      </c>
      <c r="J58" s="632">
        <v>5.2499999999999997E-4</v>
      </c>
      <c r="K58" s="632">
        <v>1E-3</v>
      </c>
      <c r="L58" s="327"/>
      <c r="M58" s="327"/>
      <c r="N58" s="327"/>
      <c r="O58" s="327"/>
    </row>
    <row r="59" spans="1:15" ht="46.5" customHeight="1">
      <c r="A59" s="742"/>
      <c r="B59" s="742"/>
      <c r="C59" s="743"/>
      <c r="D59" s="743"/>
      <c r="E59" s="743"/>
      <c r="F59" s="633">
        <v>11374030</v>
      </c>
      <c r="G59" s="633" t="s">
        <v>560</v>
      </c>
      <c r="H59" s="632" t="s">
        <v>175</v>
      </c>
      <c r="I59" s="632"/>
      <c r="J59" s="632">
        <v>4.7E-2</v>
      </c>
      <c r="K59" s="632"/>
      <c r="L59" s="327"/>
      <c r="M59" s="327"/>
      <c r="N59" s="327"/>
      <c r="O59" s="327"/>
    </row>
    <row r="60" spans="1:15" ht="101.5">
      <c r="A60" s="742"/>
      <c r="B60" s="742"/>
      <c r="C60" s="743"/>
      <c r="D60" s="743"/>
      <c r="E60" s="743"/>
      <c r="F60" s="633" t="s">
        <v>531</v>
      </c>
      <c r="G60" s="633" t="s">
        <v>571</v>
      </c>
      <c r="H60" s="632" t="s">
        <v>175</v>
      </c>
      <c r="I60" s="632">
        <v>1.629E-3</v>
      </c>
      <c r="J60" s="632">
        <v>1.629E-3</v>
      </c>
      <c r="K60" s="632">
        <v>1.629E-3</v>
      </c>
      <c r="L60" s="327"/>
      <c r="M60" s="327"/>
      <c r="N60" s="327"/>
      <c r="O60" s="327"/>
    </row>
    <row r="61" spans="1:15" ht="101.5">
      <c r="A61" s="742"/>
      <c r="B61" s="742"/>
      <c r="C61" s="743"/>
      <c r="D61" s="743"/>
      <c r="E61" s="743"/>
      <c r="F61" s="633" t="s">
        <v>531</v>
      </c>
      <c r="G61" s="633" t="s">
        <v>573</v>
      </c>
      <c r="H61" s="632" t="s">
        <v>175</v>
      </c>
      <c r="I61" s="632">
        <v>6.8848999999999994E-2</v>
      </c>
      <c r="J61" s="632">
        <v>6.8848999999999994E-2</v>
      </c>
      <c r="K61" s="632">
        <v>6.8848999999999994E-2</v>
      </c>
      <c r="L61" s="327"/>
      <c r="M61" s="327"/>
      <c r="N61" s="327"/>
      <c r="O61" s="327"/>
    </row>
    <row r="62" spans="1:15" ht="46.5" customHeight="1">
      <c r="A62" s="742"/>
      <c r="B62" s="742"/>
      <c r="C62" s="743"/>
      <c r="D62" s="743"/>
      <c r="E62" s="743"/>
      <c r="F62" s="633">
        <v>6302975</v>
      </c>
      <c r="G62" s="633" t="s">
        <v>554</v>
      </c>
      <c r="H62" s="632" t="s">
        <v>175</v>
      </c>
      <c r="I62" s="632">
        <v>0.12862499999999999</v>
      </c>
      <c r="J62" s="632">
        <v>0.12862499999999999</v>
      </c>
      <c r="K62" s="632">
        <v>0.12862499999999999</v>
      </c>
      <c r="L62" s="327"/>
      <c r="M62" s="327"/>
      <c r="N62" s="327"/>
      <c r="O62" s="327"/>
    </row>
    <row r="63" spans="1:15" ht="46.5" customHeight="1">
      <c r="A63" s="742"/>
      <c r="B63" s="742"/>
      <c r="C63" s="743"/>
      <c r="D63" s="743"/>
      <c r="E63" s="743"/>
      <c r="F63" s="633" t="s">
        <v>510</v>
      </c>
      <c r="G63" s="633" t="s">
        <v>569</v>
      </c>
      <c r="H63" s="632" t="s">
        <v>175</v>
      </c>
      <c r="I63" s="632">
        <v>1.0000000000000001E-5</v>
      </c>
      <c r="J63" s="632">
        <v>1.025E-4</v>
      </c>
      <c r="K63" s="632">
        <v>3.6999999999999999E-4</v>
      </c>
      <c r="L63" s="327"/>
      <c r="M63" s="327"/>
      <c r="N63" s="327"/>
      <c r="O63" s="327"/>
    </row>
    <row r="64" spans="1:15" ht="101.5">
      <c r="A64" s="742"/>
      <c r="B64" s="742"/>
      <c r="C64" s="743"/>
      <c r="D64" s="743"/>
      <c r="E64" s="743"/>
      <c r="F64" s="633" t="s">
        <v>531</v>
      </c>
      <c r="G64" s="633" t="s">
        <v>575</v>
      </c>
      <c r="H64" s="632" t="s">
        <v>175</v>
      </c>
      <c r="I64" s="632">
        <v>2.8828999999999997E-2</v>
      </c>
      <c r="J64" s="632">
        <v>2.8828999999999997E-2</v>
      </c>
      <c r="K64" s="632">
        <v>2.8828999999999997E-2</v>
      </c>
      <c r="L64" s="327"/>
      <c r="M64" s="327"/>
      <c r="N64" s="327"/>
      <c r="O64" s="327"/>
    </row>
    <row r="65" spans="1:15" ht="46.5" customHeight="1">
      <c r="A65" s="742"/>
      <c r="B65" s="742"/>
      <c r="C65" s="743"/>
      <c r="D65" s="743"/>
      <c r="E65" s="743"/>
      <c r="F65" s="633" t="s">
        <v>510</v>
      </c>
      <c r="G65" s="633" t="s">
        <v>561</v>
      </c>
      <c r="H65" s="632" t="s">
        <v>175</v>
      </c>
      <c r="I65" s="632">
        <v>1.0000000000000001E-5</v>
      </c>
      <c r="J65" s="632">
        <v>1.0000000000000001E-5</v>
      </c>
      <c r="K65" s="632">
        <v>1.0000000000000001E-5</v>
      </c>
      <c r="L65" s="327"/>
      <c r="M65" s="327"/>
      <c r="N65" s="327"/>
      <c r="O65" s="327"/>
    </row>
    <row r="66" spans="1:15" ht="101.5">
      <c r="A66" s="742"/>
      <c r="B66" s="742"/>
      <c r="C66" s="743"/>
      <c r="D66" s="743"/>
      <c r="E66" s="743"/>
      <c r="F66" s="633" t="s">
        <v>531</v>
      </c>
      <c r="G66" s="633" t="s">
        <v>572</v>
      </c>
      <c r="H66" s="632" t="s">
        <v>175</v>
      </c>
      <c r="I66" s="632">
        <v>0.167129</v>
      </c>
      <c r="J66" s="632">
        <v>0.167129</v>
      </c>
      <c r="K66" s="632">
        <v>0.167129</v>
      </c>
      <c r="L66" s="327"/>
      <c r="M66" s="327"/>
      <c r="N66" s="327"/>
      <c r="O66" s="327"/>
    </row>
    <row r="67" spans="1:15" ht="46.5" customHeight="1">
      <c r="A67" s="742"/>
      <c r="B67" s="742"/>
      <c r="C67" s="743"/>
      <c r="D67" s="743"/>
      <c r="E67" s="743"/>
      <c r="F67" s="633">
        <v>11374030</v>
      </c>
      <c r="G67" s="633" t="s">
        <v>534</v>
      </c>
      <c r="H67" s="632" t="s">
        <v>175</v>
      </c>
      <c r="I67" s="632">
        <v>6.8848999999999994E-2</v>
      </c>
      <c r="J67" s="632">
        <v>6.8848999999999994E-2</v>
      </c>
      <c r="K67" s="632">
        <v>6.8848999999999994E-2</v>
      </c>
      <c r="L67" s="327"/>
      <c r="M67" s="327"/>
      <c r="N67" s="327"/>
      <c r="O67" s="327"/>
    </row>
    <row r="68" spans="1:15" ht="58" customHeight="1">
      <c r="A68" s="742"/>
      <c r="B68" s="742"/>
      <c r="C68" s="743"/>
      <c r="D68" s="743"/>
      <c r="E68" s="743"/>
      <c r="F68" s="633" t="s">
        <v>531</v>
      </c>
      <c r="G68" s="633" t="s">
        <v>574</v>
      </c>
      <c r="H68" s="632" t="s">
        <v>175</v>
      </c>
      <c r="I68" s="632">
        <v>1.5143999999999999E-2</v>
      </c>
      <c r="J68" s="632">
        <v>1.5143999999999999E-2</v>
      </c>
      <c r="K68" s="632">
        <v>1.5143999999999999E-2</v>
      </c>
      <c r="L68" s="327"/>
      <c r="M68" s="327"/>
      <c r="N68" s="327"/>
      <c r="O68" s="327"/>
    </row>
    <row r="69" spans="1:15" ht="43.5" customHeight="1">
      <c r="A69" s="742"/>
      <c r="B69" s="742"/>
      <c r="C69" s="743"/>
      <c r="D69" s="743"/>
      <c r="E69" s="743"/>
      <c r="F69" s="633">
        <v>11374030</v>
      </c>
      <c r="G69" s="633" t="s">
        <v>546</v>
      </c>
      <c r="H69" s="632" t="s">
        <v>175</v>
      </c>
      <c r="I69" s="632">
        <v>0.27599999999999997</v>
      </c>
      <c r="J69" s="632">
        <v>0.11799999999999999</v>
      </c>
      <c r="K69" s="632">
        <v>0.27599999999999997</v>
      </c>
      <c r="L69" s="327"/>
      <c r="M69" s="327"/>
      <c r="N69" s="327"/>
      <c r="O69" s="327"/>
    </row>
    <row r="70" spans="1:15" ht="43.5" customHeight="1">
      <c r="A70" s="742" t="s">
        <v>504</v>
      </c>
      <c r="B70" s="742" t="s">
        <v>504</v>
      </c>
      <c r="C70" s="743"/>
      <c r="D70" s="743"/>
      <c r="E70" s="743"/>
      <c r="F70" s="633" t="s">
        <v>510</v>
      </c>
      <c r="G70" s="633" t="s">
        <v>1003</v>
      </c>
      <c r="H70" s="632" t="s">
        <v>175</v>
      </c>
      <c r="I70" s="632">
        <v>9.0000000000000002E-6</v>
      </c>
      <c r="J70" s="632">
        <v>0.12725985714285715</v>
      </c>
      <c r="K70" s="632">
        <v>0.442</v>
      </c>
      <c r="L70" s="327"/>
      <c r="M70" s="327"/>
      <c r="N70" s="327"/>
      <c r="O70" s="327"/>
    </row>
    <row r="71" spans="1:15">
      <c r="A71" s="742"/>
      <c r="B71" s="742"/>
      <c r="C71" s="743"/>
      <c r="D71" s="743"/>
      <c r="E71" s="743"/>
      <c r="F71" s="633">
        <v>11374030</v>
      </c>
      <c r="G71" s="633" t="s">
        <v>1004</v>
      </c>
      <c r="H71" s="632" t="s">
        <v>175</v>
      </c>
      <c r="I71" s="632">
        <v>8.4000000000000005E-2</v>
      </c>
      <c r="J71" s="632">
        <v>0.1275</v>
      </c>
      <c r="K71" s="632">
        <v>0.17100000000000001</v>
      </c>
      <c r="L71" s="327"/>
      <c r="M71" s="327"/>
      <c r="N71" s="327"/>
      <c r="O71" s="327"/>
    </row>
    <row r="72" spans="1:15">
      <c r="A72" s="742"/>
      <c r="B72" s="742"/>
      <c r="C72" s="743"/>
      <c r="D72" s="743"/>
      <c r="E72" s="743"/>
      <c r="F72" s="633">
        <v>11374030</v>
      </c>
      <c r="G72" s="633" t="s">
        <v>1005</v>
      </c>
      <c r="H72" s="632" t="s">
        <v>175</v>
      </c>
      <c r="I72" s="632">
        <v>6.0000000000000002E-6</v>
      </c>
      <c r="J72" s="632">
        <v>6.0000000000000002E-6</v>
      </c>
      <c r="K72" s="632">
        <v>6.0000000000000002E-6</v>
      </c>
      <c r="L72" s="327"/>
      <c r="M72" s="327"/>
      <c r="N72" s="327"/>
      <c r="O72" s="327"/>
    </row>
    <row r="73" spans="1:15" ht="43.5" customHeight="1">
      <c r="A73" s="742"/>
      <c r="B73" s="742"/>
      <c r="C73" s="743"/>
      <c r="D73" s="743"/>
      <c r="E73" s="743"/>
      <c r="F73" s="633">
        <v>11374030</v>
      </c>
      <c r="G73" s="633" t="s">
        <v>1006</v>
      </c>
      <c r="H73" s="632" t="s">
        <v>175</v>
      </c>
      <c r="I73" s="632">
        <v>6.9999999999999999E-6</v>
      </c>
      <c r="J73" s="632">
        <v>0.1075035</v>
      </c>
      <c r="K73" s="632">
        <v>0.215</v>
      </c>
      <c r="L73" s="327"/>
      <c r="M73" s="327"/>
      <c r="N73" s="327"/>
      <c r="O73" s="327"/>
    </row>
  </sheetData>
  <sheetProtection sheet="1" objects="1" scenarios="1" formatCells="0" formatColumns="0" formatRows="0" sort="0" autoFilter="0"/>
  <autoFilter ref="A2:N13" xr:uid="{4EFD73A6-EDA1-4ACD-A097-DB114CC60125}"/>
  <mergeCells count="59">
    <mergeCell ref="B45:B46"/>
    <mergeCell ref="A47:A69"/>
    <mergeCell ref="B47:B69"/>
    <mergeCell ref="A70:A73"/>
    <mergeCell ref="B70:B73"/>
    <mergeCell ref="R7:Z7"/>
    <mergeCell ref="A33:A37"/>
    <mergeCell ref="B33:B37"/>
    <mergeCell ref="C33:C73"/>
    <mergeCell ref="D33:D73"/>
    <mergeCell ref="E33:E73"/>
    <mergeCell ref="A38:A40"/>
    <mergeCell ref="B38:B40"/>
    <mergeCell ref="A41:A44"/>
    <mergeCell ref="B41:B44"/>
    <mergeCell ref="A45:A46"/>
    <mergeCell ref="D25:D26"/>
    <mergeCell ref="E25:E26"/>
    <mergeCell ref="C29:C30"/>
    <mergeCell ref="D29:D30"/>
    <mergeCell ref="E29:E30"/>
    <mergeCell ref="A31:A32"/>
    <mergeCell ref="B31:B32"/>
    <mergeCell ref="A18:A19"/>
    <mergeCell ref="A21:A22"/>
    <mergeCell ref="B21:B22"/>
    <mergeCell ref="A24:A30"/>
    <mergeCell ref="B24:B30"/>
    <mergeCell ref="C25:C26"/>
    <mergeCell ref="E10:E11"/>
    <mergeCell ref="C12:C14"/>
    <mergeCell ref="D12:D14"/>
    <mergeCell ref="E12:E14"/>
    <mergeCell ref="A15:A17"/>
    <mergeCell ref="C15:C16"/>
    <mergeCell ref="D15:D16"/>
    <mergeCell ref="E15:E16"/>
    <mergeCell ref="A8:A9"/>
    <mergeCell ref="B8:B9"/>
    <mergeCell ref="A10:A14"/>
    <mergeCell ref="B10:B14"/>
    <mergeCell ref="C10:C11"/>
    <mergeCell ref="D10:D11"/>
    <mergeCell ref="G1:G2"/>
    <mergeCell ref="H1:H2"/>
    <mergeCell ref="I1:K1"/>
    <mergeCell ref="O1:O2"/>
    <mergeCell ref="R1:AD1"/>
    <mergeCell ref="A3:A7"/>
    <mergeCell ref="B3:B7"/>
    <mergeCell ref="C6:C7"/>
    <mergeCell ref="D6:D7"/>
    <mergeCell ref="E6:E7"/>
    <mergeCell ref="F1:F2"/>
    <mergeCell ref="A1:A2"/>
    <mergeCell ref="B1:B2"/>
    <mergeCell ref="C1:C2"/>
    <mergeCell ref="D1:D2"/>
    <mergeCell ref="E1:E2"/>
  </mergeCells>
  <dataValidations count="1">
    <dataValidation type="list" allowBlank="1" showInputMessage="1" showErrorMessage="1" sqref="L40 L3:L16" xr:uid="{51D31DD6-01DA-4812-8462-4B834760B09D}">
      <formula1>"Paste (caulk gun), Paste (putty knife or hand application), Liquid (rolled or brushed on), Liquid (sprayed on), Liquid (added to water), Liquid (poured), Solid, Other"</formula1>
    </dataValidation>
  </dataValidations>
  <hyperlinks>
    <hyperlink ref="F16" r:id="rId1" xr:uid="{4764CB40-5DE5-4652-A979-E12FDBC2F365}"/>
    <hyperlink ref="F20" r:id="rId2" xr:uid="{7470F321-C894-4223-9A22-3ECB5D974008}"/>
  </hyperlinks>
  <pageMargins left="0.7" right="0.7" top="0.75" bottom="0.75" header="0.3" footer="0.3"/>
  <pageSetup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E777C-5746-438A-8B53-EDAA7CE8B24F}">
  <sheetPr codeName="Sheet8"/>
  <dimension ref="A1:DR158"/>
  <sheetViews>
    <sheetView zoomScale="122" zoomScaleNormal="100" workbookViewId="0"/>
  </sheetViews>
  <sheetFormatPr defaultColWidth="8.54296875" defaultRowHeight="14.5"/>
  <cols>
    <col min="1" max="1" width="22.453125" style="671" customWidth="1"/>
    <col min="2" max="2" width="12.453125" style="671" customWidth="1"/>
    <col min="3" max="3" width="12.1796875" style="671" customWidth="1"/>
    <col min="4" max="4" width="12.54296875" style="671" customWidth="1"/>
    <col min="5" max="5" width="14.81640625" style="671" customWidth="1"/>
    <col min="6" max="6" width="13.1796875" style="671" customWidth="1"/>
    <col min="7" max="7" width="13.81640625" style="671" customWidth="1"/>
    <col min="8" max="8" width="14.453125" style="671" customWidth="1"/>
    <col min="9" max="9" width="11.81640625" style="671" customWidth="1"/>
    <col min="10" max="10" width="12.453125" style="671" customWidth="1"/>
    <col min="11" max="11" width="13.1796875" style="671" customWidth="1"/>
    <col min="12" max="12" width="9.453125" style="671" customWidth="1"/>
    <col min="13" max="13" width="13.1796875" style="671" customWidth="1"/>
    <col min="14" max="14" width="8.54296875" style="671"/>
    <col min="15" max="16384" width="8.54296875" style="343"/>
  </cols>
  <sheetData>
    <row r="1" spans="1:25" ht="21">
      <c r="A1" s="341" t="s">
        <v>15</v>
      </c>
      <c r="B1" s="342"/>
    </row>
    <row r="2" spans="1:25" ht="18.5">
      <c r="A2" s="344" t="s">
        <v>1007</v>
      </c>
      <c r="B2" s="342"/>
    </row>
    <row r="3" spans="1:25" s="347" customFormat="1" ht="15.5">
      <c r="A3" s="345" t="s">
        <v>1008</v>
      </c>
      <c r="B3" s="346"/>
      <c r="C3" s="344"/>
      <c r="D3" s="344"/>
      <c r="E3" s="344"/>
      <c r="F3" s="344"/>
      <c r="G3" s="344"/>
      <c r="H3" s="344"/>
      <c r="I3" s="344"/>
      <c r="J3" s="344"/>
      <c r="K3" s="344"/>
      <c r="L3" s="344"/>
      <c r="M3" s="344"/>
      <c r="N3" s="344"/>
    </row>
    <row r="4" spans="1:25" s="347" customFormat="1" ht="15.5">
      <c r="A4" s="348" t="s">
        <v>1009</v>
      </c>
      <c r="B4" s="346"/>
      <c r="C4" s="344"/>
      <c r="D4" s="344"/>
      <c r="E4" s="344"/>
      <c r="F4" s="344"/>
      <c r="G4" s="344"/>
      <c r="H4" s="344"/>
      <c r="I4" s="344"/>
      <c r="J4" s="344"/>
      <c r="K4" s="344"/>
      <c r="L4" s="344"/>
      <c r="M4" s="344"/>
      <c r="N4" s="344"/>
    </row>
    <row r="5" spans="1:25" s="347" customFormat="1" ht="15.5">
      <c r="A5" s="348" t="s">
        <v>1010</v>
      </c>
      <c r="B5" s="346"/>
      <c r="C5" s="344"/>
      <c r="D5" s="344"/>
      <c r="E5" s="344"/>
      <c r="F5" s="344"/>
      <c r="G5" s="344"/>
      <c r="H5" s="344"/>
      <c r="I5" s="344"/>
      <c r="J5" s="344"/>
      <c r="K5" s="344"/>
      <c r="L5" s="344"/>
      <c r="M5" s="344"/>
      <c r="N5" s="344"/>
    </row>
    <row r="6" spans="1:25" s="347" customFormat="1" ht="15.5">
      <c r="A6" s="345" t="s">
        <v>1011</v>
      </c>
      <c r="B6" s="346"/>
      <c r="C6" s="344"/>
      <c r="D6" s="344"/>
      <c r="E6" s="344"/>
      <c r="F6" s="344"/>
      <c r="G6" s="344"/>
      <c r="H6" s="344"/>
      <c r="I6" s="344"/>
      <c r="J6" s="344"/>
      <c r="K6" s="344"/>
      <c r="L6" s="344"/>
      <c r="M6" s="344"/>
      <c r="N6" s="344"/>
    </row>
    <row r="7" spans="1:25" s="347" customFormat="1" ht="15.5">
      <c r="A7" s="345" t="s">
        <v>1012</v>
      </c>
      <c r="B7" s="346"/>
      <c r="C7" s="344"/>
      <c r="D7" s="344"/>
      <c r="E7" s="344"/>
      <c r="F7" s="344"/>
      <c r="G7" s="344"/>
      <c r="H7" s="344"/>
      <c r="I7" s="344"/>
      <c r="J7" s="344"/>
      <c r="K7" s="344"/>
      <c r="L7" s="344"/>
      <c r="M7" s="344"/>
      <c r="N7" s="344"/>
    </row>
    <row r="8" spans="1:25" s="347" customFormat="1" ht="21">
      <c r="A8" s="341"/>
      <c r="B8" s="346"/>
      <c r="C8" s="344"/>
      <c r="D8" s="344"/>
      <c r="E8" s="344"/>
      <c r="F8" s="344"/>
      <c r="G8" s="344"/>
      <c r="H8" s="344"/>
      <c r="I8" s="344"/>
      <c r="J8" s="344"/>
      <c r="K8" s="344"/>
      <c r="L8" s="344"/>
      <c r="M8" s="344"/>
      <c r="N8" s="344"/>
    </row>
    <row r="10" spans="1:25" s="351" customFormat="1" ht="15" customHeight="1">
      <c r="A10" s="349" t="s">
        <v>1013</v>
      </c>
      <c r="B10" s="350"/>
      <c r="C10" s="350"/>
      <c r="D10" s="350"/>
      <c r="E10" s="350"/>
      <c r="F10" s="350"/>
      <c r="G10" s="350"/>
      <c r="H10" s="350"/>
      <c r="I10" s="350"/>
      <c r="J10" s="350"/>
      <c r="K10" s="350"/>
      <c r="L10" s="350"/>
      <c r="M10" s="350"/>
      <c r="N10" s="350"/>
    </row>
    <row r="11" spans="1:25" s="353" customFormat="1" ht="15" customHeight="1">
      <c r="A11" s="352"/>
      <c r="B11" s="352"/>
      <c r="C11" s="352"/>
      <c r="D11" s="352"/>
      <c r="E11" s="352"/>
      <c r="F11" s="352"/>
      <c r="G11" s="352"/>
      <c r="H11" s="352"/>
      <c r="I11" s="352"/>
      <c r="J11" s="352"/>
      <c r="K11" s="352"/>
      <c r="L11" s="352"/>
      <c r="M11" s="352"/>
      <c r="N11" s="352"/>
    </row>
    <row r="12" spans="1:25" ht="18" customHeight="1">
      <c r="A12" s="770" t="s">
        <v>1014</v>
      </c>
      <c r="B12" s="770" t="s">
        <v>1015</v>
      </c>
      <c r="C12" s="779" t="s">
        <v>1016</v>
      </c>
      <c r="D12" s="780"/>
      <c r="E12" s="780"/>
      <c r="F12" s="781"/>
      <c r="G12" s="759" t="s">
        <v>1017</v>
      </c>
      <c r="H12" s="759"/>
      <c r="I12" s="759"/>
      <c r="J12" s="759"/>
      <c r="K12" s="759" t="s">
        <v>445</v>
      </c>
    </row>
    <row r="13" spans="1:25" ht="16.5" customHeight="1">
      <c r="A13" s="771"/>
      <c r="B13" s="771"/>
      <c r="C13" s="648" t="s">
        <v>1018</v>
      </c>
      <c r="D13" s="648" t="s">
        <v>1019</v>
      </c>
      <c r="E13" s="648" t="s">
        <v>1020</v>
      </c>
      <c r="F13" s="648" t="s">
        <v>1021</v>
      </c>
      <c r="G13" s="648" t="s">
        <v>1018</v>
      </c>
      <c r="H13" s="648" t="s">
        <v>1019</v>
      </c>
      <c r="I13" s="648" t="s">
        <v>1020</v>
      </c>
      <c r="J13" s="648" t="s">
        <v>1021</v>
      </c>
      <c r="K13" s="759"/>
      <c r="N13" s="354"/>
      <c r="O13" s="355"/>
      <c r="P13" s="355"/>
      <c r="Q13" s="355"/>
      <c r="R13" s="355"/>
      <c r="S13" s="355"/>
      <c r="T13" s="355"/>
      <c r="U13" s="355"/>
      <c r="V13" s="355"/>
      <c r="W13" s="355"/>
      <c r="X13" s="355"/>
      <c r="Y13" s="355"/>
    </row>
    <row r="14" spans="1:25" ht="14.5" customHeight="1">
      <c r="A14" s="773" t="s">
        <v>454</v>
      </c>
      <c r="B14" s="356" t="s">
        <v>69</v>
      </c>
      <c r="C14" s="357" t="s">
        <v>1022</v>
      </c>
      <c r="D14" s="357" t="s">
        <v>1022</v>
      </c>
      <c r="E14" s="357" t="s">
        <v>1022</v>
      </c>
      <c r="F14" s="649">
        <v>60</v>
      </c>
      <c r="G14" s="357" t="s">
        <v>1022</v>
      </c>
      <c r="H14" s="357" t="s">
        <v>1022</v>
      </c>
      <c r="I14" s="357" t="s">
        <v>1022</v>
      </c>
      <c r="J14" s="649">
        <f>F14/24</f>
        <v>2.5</v>
      </c>
      <c r="K14" s="769" t="s">
        <v>1023</v>
      </c>
      <c r="N14" s="61"/>
      <c r="O14" s="355"/>
      <c r="P14" s="355"/>
      <c r="Q14" s="355"/>
      <c r="R14" s="355"/>
      <c r="S14" s="355"/>
      <c r="T14" s="355"/>
      <c r="U14" s="355"/>
      <c r="V14" s="355"/>
      <c r="W14" s="355"/>
      <c r="X14" s="355"/>
      <c r="Y14" s="355"/>
    </row>
    <row r="15" spans="1:25">
      <c r="A15" s="774"/>
      <c r="B15" s="356" t="s">
        <v>67</v>
      </c>
      <c r="C15" s="357" t="s">
        <v>1022</v>
      </c>
      <c r="D15" s="357" t="s">
        <v>1022</v>
      </c>
      <c r="E15" s="357" t="s">
        <v>1022</v>
      </c>
      <c r="F15" s="649">
        <v>30</v>
      </c>
      <c r="G15" s="357" t="s">
        <v>1022</v>
      </c>
      <c r="H15" s="357" t="s">
        <v>1022</v>
      </c>
      <c r="I15" s="357" t="s">
        <v>1022</v>
      </c>
      <c r="J15" s="358">
        <f>F15/24</f>
        <v>1.25</v>
      </c>
      <c r="K15" s="769"/>
    </row>
    <row r="16" spans="1:25" ht="26.15" customHeight="1">
      <c r="A16" s="775"/>
      <c r="B16" s="356" t="s">
        <v>65</v>
      </c>
      <c r="C16" s="357" t="s">
        <v>1022</v>
      </c>
      <c r="D16" s="357" t="s">
        <v>1022</v>
      </c>
      <c r="E16" s="357" t="s">
        <v>1022</v>
      </c>
      <c r="F16" s="649">
        <v>15</v>
      </c>
      <c r="G16" s="357" t="s">
        <v>1022</v>
      </c>
      <c r="H16" s="357" t="s">
        <v>1022</v>
      </c>
      <c r="I16" s="357" t="s">
        <v>1022</v>
      </c>
      <c r="J16" s="358">
        <f>F16/24</f>
        <v>0.625</v>
      </c>
      <c r="K16" s="769"/>
    </row>
    <row r="17" spans="1:16" ht="14.15" customHeight="1">
      <c r="A17" s="760" t="s">
        <v>1024</v>
      </c>
      <c r="B17" s="356" t="s">
        <v>69</v>
      </c>
      <c r="C17" s="359">
        <f>G37</f>
        <v>39.166666666666664</v>
      </c>
      <c r="D17" s="359">
        <f>G41</f>
        <v>16.566666666666666</v>
      </c>
      <c r="E17" s="359">
        <f>G45</f>
        <v>12.383333333333333</v>
      </c>
      <c r="F17" s="357" t="s">
        <v>1022</v>
      </c>
      <c r="G17" s="358">
        <f t="shared" ref="G17:I31" si="0">C17/24</f>
        <v>1.6319444444444444</v>
      </c>
      <c r="H17" s="358">
        <f t="shared" si="0"/>
        <v>0.69027777777777777</v>
      </c>
      <c r="I17" s="358">
        <f t="shared" si="0"/>
        <v>0.51597222222222217</v>
      </c>
      <c r="J17" s="357" t="s">
        <v>1022</v>
      </c>
      <c r="K17" s="769" t="s">
        <v>1025</v>
      </c>
      <c r="N17" s="738"/>
      <c r="O17" s="738"/>
      <c r="P17" s="738"/>
    </row>
    <row r="18" spans="1:16" ht="14">
      <c r="A18" s="761"/>
      <c r="B18" s="356" t="s">
        <v>67</v>
      </c>
      <c r="C18" s="359">
        <f>H37</f>
        <v>22.891666666666666</v>
      </c>
      <c r="D18" s="359">
        <f>H41</f>
        <v>14.6875</v>
      </c>
      <c r="E18" s="359">
        <f>H45</f>
        <v>7.2666666666666666</v>
      </c>
      <c r="F18" s="357" t="s">
        <v>1022</v>
      </c>
      <c r="G18" s="358">
        <f t="shared" si="0"/>
        <v>0.95381944444444444</v>
      </c>
      <c r="H18" s="358">
        <f t="shared" si="0"/>
        <v>0.61197916666666663</v>
      </c>
      <c r="I18" s="358">
        <f t="shared" si="0"/>
        <v>0.30277777777777776</v>
      </c>
      <c r="J18" s="357" t="s">
        <v>1022</v>
      </c>
      <c r="K18" s="769"/>
      <c r="L18" s="805"/>
      <c r="M18" s="806"/>
      <c r="N18" s="791"/>
      <c r="O18" s="791"/>
      <c r="P18" s="791"/>
    </row>
    <row r="19" spans="1:16" thickBot="1">
      <c r="A19" s="761"/>
      <c r="B19" s="360" t="s">
        <v>65</v>
      </c>
      <c r="C19" s="361">
        <f>I37</f>
        <v>1</v>
      </c>
      <c r="D19" s="361">
        <f>I37</f>
        <v>1</v>
      </c>
      <c r="E19" s="361">
        <f>I45</f>
        <v>1.8833333333333333</v>
      </c>
      <c r="F19" s="362" t="s">
        <v>1022</v>
      </c>
      <c r="G19" s="363">
        <f t="shared" si="0"/>
        <v>4.1666666666666664E-2</v>
      </c>
      <c r="H19" s="363">
        <f t="shared" si="0"/>
        <v>4.1666666666666664E-2</v>
      </c>
      <c r="I19" s="363">
        <f t="shared" si="0"/>
        <v>7.8472222222222221E-2</v>
      </c>
      <c r="J19" s="364" t="s">
        <v>1022</v>
      </c>
      <c r="K19" s="769"/>
      <c r="L19" s="805"/>
      <c r="M19" s="806"/>
      <c r="N19" s="365"/>
      <c r="O19" s="365"/>
      <c r="P19" s="365"/>
    </row>
    <row r="20" spans="1:16" thickTop="1">
      <c r="A20" s="767" t="s">
        <v>1026</v>
      </c>
      <c r="B20" s="356" t="s">
        <v>69</v>
      </c>
      <c r="C20" s="359">
        <f>G37</f>
        <v>39.166666666666664</v>
      </c>
      <c r="D20" s="359">
        <f>G41</f>
        <v>16.566666666666666</v>
      </c>
      <c r="E20" s="359">
        <f>G45</f>
        <v>12.383333333333333</v>
      </c>
      <c r="F20" s="357" t="s">
        <v>1022</v>
      </c>
      <c r="G20" s="358">
        <f t="shared" si="0"/>
        <v>1.6319444444444444</v>
      </c>
      <c r="H20" s="358">
        <f t="shared" si="0"/>
        <v>0.69027777777777777</v>
      </c>
      <c r="I20" s="358">
        <f t="shared" si="0"/>
        <v>0.51597222222222217</v>
      </c>
      <c r="J20" s="366" t="s">
        <v>1022</v>
      </c>
      <c r="K20" s="769"/>
      <c r="L20" s="367"/>
      <c r="M20" s="367"/>
      <c r="N20" s="368"/>
      <c r="O20" s="368"/>
      <c r="P20" s="368"/>
    </row>
    <row r="21" spans="1:16" ht="14.15" customHeight="1">
      <c r="A21" s="767"/>
      <c r="B21" s="356" t="s">
        <v>67</v>
      </c>
      <c r="C21" s="359">
        <f>H37</f>
        <v>22.891666666666666</v>
      </c>
      <c r="D21" s="359">
        <f>H41</f>
        <v>14.6875</v>
      </c>
      <c r="E21" s="359">
        <f>H45</f>
        <v>7.2666666666666666</v>
      </c>
      <c r="F21" s="357" t="s">
        <v>1022</v>
      </c>
      <c r="G21" s="358">
        <f t="shared" si="0"/>
        <v>0.95381944444444444</v>
      </c>
      <c r="H21" s="358">
        <f t="shared" si="0"/>
        <v>0.61197916666666663</v>
      </c>
      <c r="I21" s="358">
        <f t="shared" si="0"/>
        <v>0.30277777777777776</v>
      </c>
      <c r="J21" s="357" t="s">
        <v>1022</v>
      </c>
      <c r="K21" s="769"/>
      <c r="L21" s="367"/>
      <c r="M21" s="367"/>
      <c r="N21" s="368"/>
      <c r="O21" s="368"/>
      <c r="P21" s="369"/>
    </row>
    <row r="22" spans="1:16" thickBot="1">
      <c r="A22" s="782"/>
      <c r="B22" s="370" t="s">
        <v>65</v>
      </c>
      <c r="C22" s="371">
        <f>I37</f>
        <v>1</v>
      </c>
      <c r="D22" s="371">
        <f>I41</f>
        <v>11.116666666666667</v>
      </c>
      <c r="E22" s="371">
        <f>I45</f>
        <v>1.8833333333333333</v>
      </c>
      <c r="F22" s="364" t="s">
        <v>1022</v>
      </c>
      <c r="G22" s="372">
        <f t="shared" si="0"/>
        <v>4.1666666666666664E-2</v>
      </c>
      <c r="H22" s="372">
        <f t="shared" si="0"/>
        <v>0.46319444444444446</v>
      </c>
      <c r="I22" s="372">
        <f t="shared" si="0"/>
        <v>7.8472222222222221E-2</v>
      </c>
      <c r="J22" s="357" t="s">
        <v>1022</v>
      </c>
      <c r="K22" s="769"/>
      <c r="L22" s="805"/>
      <c r="M22" s="806"/>
      <c r="N22" s="791"/>
      <c r="O22" s="791"/>
      <c r="P22" s="791"/>
    </row>
    <row r="23" spans="1:16" thickTop="1">
      <c r="A23" s="775" t="s">
        <v>866</v>
      </c>
      <c r="B23" s="373" t="s">
        <v>69</v>
      </c>
      <c r="C23" s="374">
        <f>G38</f>
        <v>24.5</v>
      </c>
      <c r="D23" s="374">
        <f>G42</f>
        <v>23.016666666666666</v>
      </c>
      <c r="E23" s="374">
        <f>G46</f>
        <v>21.766666666666666</v>
      </c>
      <c r="F23" s="366" t="s">
        <v>1022</v>
      </c>
      <c r="G23" s="357" t="s">
        <v>1022</v>
      </c>
      <c r="H23" s="375">
        <f t="shared" si="0"/>
        <v>0.9590277777777777</v>
      </c>
      <c r="I23" s="375">
        <f t="shared" si="0"/>
        <v>0.90694444444444444</v>
      </c>
      <c r="J23" s="357" t="s">
        <v>1022</v>
      </c>
      <c r="K23" s="769" t="s">
        <v>1027</v>
      </c>
      <c r="L23" s="805"/>
      <c r="M23" s="806"/>
      <c r="N23" s="365"/>
      <c r="O23" s="365"/>
      <c r="P23" s="365"/>
    </row>
    <row r="24" spans="1:16" ht="14">
      <c r="A24" s="768"/>
      <c r="B24" s="356" t="s">
        <v>67</v>
      </c>
      <c r="C24" s="359">
        <f>H38</f>
        <v>14.658333333333335</v>
      </c>
      <c r="D24" s="359">
        <f>H42</f>
        <v>16.9375</v>
      </c>
      <c r="E24" s="359">
        <f>H46</f>
        <v>14.441666666666666</v>
      </c>
      <c r="F24" s="357" t="s">
        <v>1022</v>
      </c>
      <c r="G24" s="357" t="s">
        <v>1022</v>
      </c>
      <c r="H24" s="358">
        <f t="shared" si="0"/>
        <v>0.70572916666666663</v>
      </c>
      <c r="I24" s="358">
        <f t="shared" si="0"/>
        <v>0.60173611111111114</v>
      </c>
      <c r="J24" s="357" t="s">
        <v>1022</v>
      </c>
      <c r="K24" s="769"/>
      <c r="L24" s="367"/>
      <c r="M24" s="367"/>
      <c r="N24" s="368"/>
      <c r="O24" s="368"/>
      <c r="P24" s="368"/>
    </row>
    <row r="25" spans="1:16" ht="14.15" customHeight="1">
      <c r="A25" s="768"/>
      <c r="B25" s="356" t="s">
        <v>65</v>
      </c>
      <c r="C25" s="358">
        <f>I38</f>
        <v>5.2333333333333334</v>
      </c>
      <c r="D25" s="359">
        <f>I42</f>
        <v>12.033333333333333</v>
      </c>
      <c r="E25" s="359">
        <f>I46</f>
        <v>10</v>
      </c>
      <c r="F25" s="357" t="s">
        <v>1022</v>
      </c>
      <c r="G25" s="357" t="s">
        <v>1022</v>
      </c>
      <c r="H25" s="358">
        <f t="shared" si="0"/>
        <v>0.50138888888888888</v>
      </c>
      <c r="I25" s="358">
        <f t="shared" si="0"/>
        <v>0.41666666666666669</v>
      </c>
      <c r="J25" s="357" t="s">
        <v>1022</v>
      </c>
      <c r="K25" s="769"/>
      <c r="L25" s="367"/>
      <c r="M25" s="367"/>
      <c r="N25" s="368"/>
      <c r="O25" s="368"/>
      <c r="P25" s="369"/>
    </row>
    <row r="26" spans="1:16" ht="14">
      <c r="A26" s="769" t="s">
        <v>987</v>
      </c>
      <c r="B26" s="356" t="s">
        <v>69</v>
      </c>
      <c r="C26" s="359">
        <f>G38</f>
        <v>24.5</v>
      </c>
      <c r="D26" s="359">
        <f>G42</f>
        <v>23.016666666666666</v>
      </c>
      <c r="E26" s="359">
        <f>G46</f>
        <v>21.766666666666666</v>
      </c>
      <c r="F26" s="357" t="s">
        <v>1022</v>
      </c>
      <c r="G26" s="358">
        <f t="shared" si="0"/>
        <v>1.0208333333333333</v>
      </c>
      <c r="H26" s="358">
        <f t="shared" si="0"/>
        <v>0.9590277777777777</v>
      </c>
      <c r="I26" s="358">
        <f t="shared" si="0"/>
        <v>0.90694444444444444</v>
      </c>
      <c r="J26" s="357" t="s">
        <v>1022</v>
      </c>
      <c r="K26" s="769"/>
      <c r="L26" s="805"/>
      <c r="M26" s="806"/>
      <c r="N26" s="791"/>
      <c r="O26" s="791"/>
      <c r="P26" s="791"/>
    </row>
    <row r="27" spans="1:16" ht="14">
      <c r="A27" s="769"/>
      <c r="B27" s="356" t="s">
        <v>67</v>
      </c>
      <c r="C27" s="359">
        <f>H38</f>
        <v>14.658333333333335</v>
      </c>
      <c r="D27" s="359">
        <f>H42</f>
        <v>16.9375</v>
      </c>
      <c r="E27" s="359">
        <f>H46</f>
        <v>14.441666666666666</v>
      </c>
      <c r="F27" s="357" t="s">
        <v>1022</v>
      </c>
      <c r="G27" s="358">
        <f t="shared" si="0"/>
        <v>0.61076388888888899</v>
      </c>
      <c r="H27" s="358">
        <f t="shared" si="0"/>
        <v>0.70572916666666663</v>
      </c>
      <c r="I27" s="358">
        <f t="shared" si="0"/>
        <v>0.60173611111111114</v>
      </c>
      <c r="J27" s="357" t="s">
        <v>1022</v>
      </c>
      <c r="K27" s="769"/>
      <c r="L27" s="805"/>
      <c r="M27" s="806"/>
      <c r="N27" s="365"/>
      <c r="O27" s="365"/>
      <c r="P27" s="365"/>
    </row>
    <row r="28" spans="1:16">
      <c r="A28" s="769"/>
      <c r="B28" s="356" t="s">
        <v>65</v>
      </c>
      <c r="C28" s="358">
        <f>I38</f>
        <v>5.2333333333333334</v>
      </c>
      <c r="D28" s="359">
        <f>I42</f>
        <v>12.033333333333333</v>
      </c>
      <c r="E28" s="358">
        <f>I46</f>
        <v>10</v>
      </c>
      <c r="F28" s="357" t="s">
        <v>1022</v>
      </c>
      <c r="G28" s="358">
        <f t="shared" si="0"/>
        <v>0.21805555555555556</v>
      </c>
      <c r="H28" s="358">
        <f t="shared" si="0"/>
        <v>0.50138888888888888</v>
      </c>
      <c r="I28" s="358">
        <f t="shared" si="0"/>
        <v>0.41666666666666669</v>
      </c>
      <c r="J28" s="357" t="s">
        <v>1022</v>
      </c>
      <c r="K28" s="769"/>
      <c r="L28" s="367"/>
      <c r="M28" s="367"/>
      <c r="P28" s="368"/>
    </row>
    <row r="29" spans="1:16" ht="14.15" customHeight="1">
      <c r="A29" s="769" t="s">
        <v>789</v>
      </c>
      <c r="B29" s="356" t="s">
        <v>69</v>
      </c>
      <c r="C29" s="359">
        <f>G38</f>
        <v>24.5</v>
      </c>
      <c r="D29" s="359">
        <f>G42</f>
        <v>23.016666666666666</v>
      </c>
      <c r="E29" s="359">
        <f>G46</f>
        <v>21.766666666666666</v>
      </c>
      <c r="F29" s="357" t="s">
        <v>1022</v>
      </c>
      <c r="G29" s="358">
        <f t="shared" si="0"/>
        <v>1.0208333333333333</v>
      </c>
      <c r="H29" s="358">
        <f t="shared" si="0"/>
        <v>0.9590277777777777</v>
      </c>
      <c r="I29" s="358">
        <f t="shared" si="0"/>
        <v>0.90694444444444444</v>
      </c>
      <c r="J29" s="357" t="s">
        <v>1022</v>
      </c>
      <c r="K29" s="769"/>
      <c r="L29" s="367"/>
      <c r="M29" s="367"/>
      <c r="P29" s="369"/>
    </row>
    <row r="30" spans="1:16">
      <c r="A30" s="769"/>
      <c r="B30" s="356" t="s">
        <v>67</v>
      </c>
      <c r="C30" s="359">
        <f>H38</f>
        <v>14.658333333333335</v>
      </c>
      <c r="D30" s="359">
        <f>H42</f>
        <v>16.9375</v>
      </c>
      <c r="E30" s="359">
        <f>H46</f>
        <v>14.441666666666666</v>
      </c>
      <c r="F30" s="357" t="s">
        <v>1022</v>
      </c>
      <c r="G30" s="358">
        <f t="shared" si="0"/>
        <v>0.61076388888888899</v>
      </c>
      <c r="H30" s="358">
        <f t="shared" si="0"/>
        <v>0.70572916666666663</v>
      </c>
      <c r="I30" s="358">
        <f t="shared" si="0"/>
        <v>0.60173611111111114</v>
      </c>
      <c r="J30" s="357" t="s">
        <v>1022</v>
      </c>
      <c r="K30" s="769"/>
    </row>
    <row r="31" spans="1:16" ht="14.15" customHeight="1">
      <c r="A31" s="769"/>
      <c r="B31" s="356" t="s">
        <v>65</v>
      </c>
      <c r="C31" s="358">
        <f>I38</f>
        <v>5.2333333333333334</v>
      </c>
      <c r="D31" s="359">
        <f>I42</f>
        <v>12.033333333333333</v>
      </c>
      <c r="E31" s="359">
        <f>I46</f>
        <v>10</v>
      </c>
      <c r="F31" s="357" t="s">
        <v>1022</v>
      </c>
      <c r="G31" s="358">
        <f t="shared" si="0"/>
        <v>0.21805555555555556</v>
      </c>
      <c r="H31" s="358">
        <f t="shared" si="0"/>
        <v>0.50138888888888888</v>
      </c>
      <c r="I31" s="358">
        <f t="shared" si="0"/>
        <v>0.41666666666666669</v>
      </c>
      <c r="J31" s="357" t="s">
        <v>1022</v>
      </c>
      <c r="K31" s="769"/>
    </row>
    <row r="34" spans="1:15" s="377" customFormat="1" ht="46.5" customHeight="1">
      <c r="A34" s="783" t="s">
        <v>1028</v>
      </c>
      <c r="B34" s="783"/>
      <c r="C34" s="783"/>
      <c r="D34" s="783"/>
      <c r="E34" s="783"/>
      <c r="F34" s="783"/>
      <c r="G34" s="783" t="s">
        <v>1029</v>
      </c>
      <c r="H34" s="783"/>
      <c r="I34" s="783"/>
      <c r="J34" s="671"/>
      <c r="K34" s="3"/>
      <c r="L34" s="3"/>
      <c r="M34" s="3"/>
      <c r="N34" s="3"/>
      <c r="O34" s="376"/>
    </row>
    <row r="35" spans="1:15" s="377" customFormat="1">
      <c r="A35" s="787" t="s">
        <v>1030</v>
      </c>
      <c r="B35" s="789" t="s">
        <v>1031</v>
      </c>
      <c r="C35" s="779" t="s">
        <v>1032</v>
      </c>
      <c r="D35" s="780"/>
      <c r="E35" s="780"/>
      <c r="F35" s="781"/>
      <c r="G35" s="776" t="s">
        <v>1033</v>
      </c>
      <c r="H35" s="777"/>
      <c r="I35" s="778"/>
      <c r="J35" s="671"/>
      <c r="K35" s="3"/>
      <c r="L35" s="3"/>
      <c r="M35" s="3"/>
      <c r="N35" s="3"/>
      <c r="O35" s="376"/>
    </row>
    <row r="36" spans="1:15" s="377" customFormat="1" ht="18" customHeight="1">
      <c r="A36" s="788"/>
      <c r="B36" s="790"/>
      <c r="C36" s="378" t="s">
        <v>1034</v>
      </c>
      <c r="D36" s="378" t="s">
        <v>1035</v>
      </c>
      <c r="E36" s="378" t="s">
        <v>1036</v>
      </c>
      <c r="F36" s="378" t="s">
        <v>1037</v>
      </c>
      <c r="G36" s="379" t="s">
        <v>1038</v>
      </c>
      <c r="H36" s="379" t="s">
        <v>1039</v>
      </c>
      <c r="I36" s="379" t="s">
        <v>1040</v>
      </c>
      <c r="J36" s="671"/>
      <c r="K36" s="3"/>
      <c r="L36" s="3"/>
      <c r="M36" s="3"/>
      <c r="N36" s="3"/>
      <c r="O36" s="376"/>
    </row>
    <row r="37" spans="1:15" s="377" customFormat="1">
      <c r="A37" s="380" t="s">
        <v>1041</v>
      </c>
      <c r="B37" s="380" t="s">
        <v>1042</v>
      </c>
      <c r="C37" s="358">
        <v>1</v>
      </c>
      <c r="D37" s="358">
        <f>28+(20/60)</f>
        <v>28.333333333333332</v>
      </c>
      <c r="E37" s="358">
        <f>39+10/60</f>
        <v>39.166666666666664</v>
      </c>
      <c r="F37" s="358">
        <f>23+(4/60)</f>
        <v>23.066666666666666</v>
      </c>
      <c r="G37" s="359">
        <f>MAX(C37:F37)</f>
        <v>39.166666666666664</v>
      </c>
      <c r="H37" s="359">
        <f>AVERAGE(C37:F37)</f>
        <v>22.891666666666666</v>
      </c>
      <c r="I37" s="359">
        <f>MIN(C37:F37)</f>
        <v>1</v>
      </c>
      <c r="J37" s="671"/>
      <c r="K37" s="3"/>
      <c r="L37" s="3"/>
      <c r="M37" s="3"/>
      <c r="N37" s="3"/>
      <c r="O37" s="376"/>
    </row>
    <row r="38" spans="1:15" s="377" customFormat="1">
      <c r="A38" s="380" t="s">
        <v>1043</v>
      </c>
      <c r="B38" s="380" t="s">
        <v>1042</v>
      </c>
      <c r="C38" s="358">
        <f>5+(14/60)</f>
        <v>5.2333333333333334</v>
      </c>
      <c r="D38" s="358">
        <f>12+(29/60)</f>
        <v>12.483333333333333</v>
      </c>
      <c r="E38" s="358">
        <f>24+(30/60)</f>
        <v>24.5</v>
      </c>
      <c r="F38" s="358">
        <f>16+25/60</f>
        <v>16.416666666666668</v>
      </c>
      <c r="G38" s="359">
        <f>MAX(C38:F38)</f>
        <v>24.5</v>
      </c>
      <c r="H38" s="359">
        <f>AVERAGE(C38:F38)</f>
        <v>14.658333333333335</v>
      </c>
      <c r="I38" s="358">
        <f>MIN(C38:F38)</f>
        <v>5.2333333333333334</v>
      </c>
      <c r="J38" s="671"/>
      <c r="K38" s="3"/>
      <c r="L38" s="3"/>
      <c r="M38" s="3"/>
      <c r="N38" s="3"/>
      <c r="O38" s="376"/>
    </row>
    <row r="39" spans="1:15" s="377" customFormat="1">
      <c r="A39" s="787" t="s">
        <v>1030</v>
      </c>
      <c r="B39" s="789" t="s">
        <v>1031</v>
      </c>
      <c r="C39" s="779" t="s">
        <v>1032</v>
      </c>
      <c r="D39" s="780"/>
      <c r="E39" s="780"/>
      <c r="F39" s="781"/>
      <c r="G39" s="776" t="s">
        <v>1044</v>
      </c>
      <c r="H39" s="777"/>
      <c r="I39" s="778"/>
      <c r="J39" s="671"/>
      <c r="K39" s="3"/>
      <c r="L39" s="3"/>
      <c r="M39" s="3"/>
      <c r="N39" s="3"/>
    </row>
    <row r="40" spans="1:15" s="377" customFormat="1">
      <c r="A40" s="788"/>
      <c r="B40" s="790"/>
      <c r="C40" s="378" t="s">
        <v>1045</v>
      </c>
      <c r="D40" s="378" t="s">
        <v>1046</v>
      </c>
      <c r="E40" s="378" t="s">
        <v>1047</v>
      </c>
      <c r="F40" s="378" t="s">
        <v>1048</v>
      </c>
      <c r="G40" s="379" t="s">
        <v>1038</v>
      </c>
      <c r="H40" s="379" t="s">
        <v>1039</v>
      </c>
      <c r="I40" s="379" t="s">
        <v>1040</v>
      </c>
      <c r="J40" s="671"/>
      <c r="K40" s="3"/>
      <c r="L40" s="3"/>
      <c r="M40" s="3"/>
      <c r="N40" s="3"/>
    </row>
    <row r="41" spans="1:15" s="377" customFormat="1">
      <c r="A41" s="380" t="s">
        <v>1041</v>
      </c>
      <c r="B41" s="380" t="s">
        <v>1042</v>
      </c>
      <c r="C41" s="358">
        <f>15+(18/60)</f>
        <v>15.3</v>
      </c>
      <c r="D41" s="358">
        <f>16+34/60</f>
        <v>16.566666666666666</v>
      </c>
      <c r="E41" s="358">
        <f>11+(7/60)</f>
        <v>11.116666666666667</v>
      </c>
      <c r="F41" s="358">
        <f>15+(46/60)</f>
        <v>15.766666666666667</v>
      </c>
      <c r="G41" s="359">
        <f>MAX(C41:F41)</f>
        <v>16.566666666666666</v>
      </c>
      <c r="H41" s="359">
        <f>AVERAGE(C41:F41)</f>
        <v>14.6875</v>
      </c>
      <c r="I41" s="359">
        <f>MIN(C41:F41)</f>
        <v>11.116666666666667</v>
      </c>
      <c r="J41" s="671"/>
      <c r="K41" s="3"/>
      <c r="L41" s="3"/>
      <c r="M41" s="3"/>
      <c r="N41" s="3"/>
    </row>
    <row r="42" spans="1:15" s="377" customFormat="1">
      <c r="A42" s="380" t="s">
        <v>1043</v>
      </c>
      <c r="B42" s="380" t="s">
        <v>1042</v>
      </c>
      <c r="C42" s="358">
        <f>12+2/60</f>
        <v>12.033333333333333</v>
      </c>
      <c r="D42" s="358">
        <f>23+1/60</f>
        <v>23.016666666666666</v>
      </c>
      <c r="E42" s="358">
        <f>19+49/60</f>
        <v>19.816666666666666</v>
      </c>
      <c r="F42" s="358">
        <f>12+53/60</f>
        <v>12.883333333333333</v>
      </c>
      <c r="G42" s="359">
        <f>MAX(C42:F42)</f>
        <v>23.016666666666666</v>
      </c>
      <c r="H42" s="359">
        <f>AVERAGE(C42:F42)</f>
        <v>16.9375</v>
      </c>
      <c r="I42" s="358">
        <f>MIN(C42:F42)</f>
        <v>12.033333333333333</v>
      </c>
      <c r="J42" s="671"/>
      <c r="K42" s="3"/>
      <c r="L42" s="3"/>
      <c r="M42" s="3"/>
      <c r="N42" s="3"/>
    </row>
    <row r="43" spans="1:15" s="377" customFormat="1">
      <c r="A43" s="787" t="s">
        <v>1030</v>
      </c>
      <c r="B43" s="789" t="s">
        <v>1031</v>
      </c>
      <c r="C43" s="779" t="s">
        <v>1032</v>
      </c>
      <c r="D43" s="780"/>
      <c r="E43" s="780"/>
      <c r="F43" s="781"/>
      <c r="G43" s="776" t="s">
        <v>1049</v>
      </c>
      <c r="H43" s="777"/>
      <c r="I43" s="778"/>
      <c r="J43" s="671"/>
      <c r="K43" s="3"/>
      <c r="L43" s="3"/>
      <c r="M43" s="3"/>
      <c r="N43" s="3"/>
    </row>
    <row r="44" spans="1:15" s="377" customFormat="1">
      <c r="A44" s="788"/>
      <c r="B44" s="790"/>
      <c r="C44" s="378" t="s">
        <v>1050</v>
      </c>
      <c r="D44" s="381" t="s">
        <v>1051</v>
      </c>
      <c r="E44" s="381" t="s">
        <v>1052</v>
      </c>
      <c r="F44" s="381" t="s">
        <v>1053</v>
      </c>
      <c r="G44" s="379" t="s">
        <v>1038</v>
      </c>
      <c r="H44" s="379" t="s">
        <v>1039</v>
      </c>
      <c r="I44" s="379" t="s">
        <v>1040</v>
      </c>
      <c r="J44" s="671"/>
      <c r="K44" s="3"/>
      <c r="L44" s="3"/>
      <c r="M44" s="3"/>
      <c r="N44" s="3"/>
    </row>
    <row r="45" spans="1:15" s="377" customFormat="1">
      <c r="A45" s="380" t="s">
        <v>1041</v>
      </c>
      <c r="B45" s="380" t="s">
        <v>1042</v>
      </c>
      <c r="C45" s="358">
        <f>12+(23/60)</f>
        <v>12.383333333333333</v>
      </c>
      <c r="D45" s="358">
        <f>11+37/60</f>
        <v>11.616666666666667</v>
      </c>
      <c r="E45" s="358">
        <f>3+11/60</f>
        <v>3.1833333333333331</v>
      </c>
      <c r="F45" s="358">
        <f>1+53/60</f>
        <v>1.8833333333333333</v>
      </c>
      <c r="G45" s="359">
        <f>MAX(C45:F45)</f>
        <v>12.383333333333333</v>
      </c>
      <c r="H45" s="359">
        <f>AVERAGE(C45:F45)</f>
        <v>7.2666666666666666</v>
      </c>
      <c r="I45" s="359">
        <f>MIN(C45:F45)</f>
        <v>1.8833333333333333</v>
      </c>
      <c r="J45" s="671"/>
      <c r="K45" s="3"/>
      <c r="L45" s="3"/>
      <c r="M45" s="3"/>
      <c r="N45" s="3"/>
    </row>
    <row r="46" spans="1:15" s="377" customFormat="1">
      <c r="A46" s="380" t="s">
        <v>1043</v>
      </c>
      <c r="B46" s="380" t="s">
        <v>1042</v>
      </c>
      <c r="C46" s="358">
        <f>21+46/60</f>
        <v>21.766666666666666</v>
      </c>
      <c r="D46" s="358">
        <f>15+16/60</f>
        <v>15.266666666666667</v>
      </c>
      <c r="E46" s="358">
        <f>10+44/60</f>
        <v>10.733333333333333</v>
      </c>
      <c r="F46" s="358">
        <f>10</f>
        <v>10</v>
      </c>
      <c r="G46" s="359">
        <f>MAX(C46:F46)</f>
        <v>21.766666666666666</v>
      </c>
      <c r="H46" s="359">
        <f>AVERAGE(C46:F46)</f>
        <v>14.441666666666666</v>
      </c>
      <c r="I46" s="358">
        <f>MIN(C46:F46)</f>
        <v>10</v>
      </c>
      <c r="J46" s="671"/>
      <c r="K46" s="3"/>
      <c r="L46" s="3"/>
      <c r="M46" s="3"/>
      <c r="N46" s="3"/>
    </row>
    <row r="47" spans="1:15" s="377" customFormat="1">
      <c r="A47" s="3"/>
      <c r="B47" s="3"/>
      <c r="C47" s="3"/>
      <c r="D47" s="3"/>
      <c r="E47" s="3"/>
      <c r="F47" s="3"/>
      <c r="G47" s="3"/>
      <c r="H47" s="3"/>
      <c r="I47" s="3"/>
      <c r="J47" s="671"/>
      <c r="K47" s="3"/>
      <c r="L47" s="3"/>
      <c r="M47" s="3"/>
      <c r="N47" s="3"/>
    </row>
    <row r="48" spans="1:15" s="377" customFormat="1">
      <c r="A48" s="3"/>
      <c r="B48" s="3"/>
      <c r="C48" s="3"/>
      <c r="D48" s="3"/>
      <c r="E48" s="3"/>
      <c r="F48" s="3"/>
      <c r="G48" s="3"/>
      <c r="H48" s="3"/>
      <c r="I48" s="3"/>
      <c r="J48" s="671"/>
      <c r="K48" s="3"/>
      <c r="L48" s="671"/>
      <c r="M48" s="3"/>
      <c r="N48" s="671"/>
      <c r="O48" s="3"/>
    </row>
    <row r="49" spans="1:15" s="383" customFormat="1" ht="18.649999999999999" customHeight="1">
      <c r="A49" s="349" t="s">
        <v>1009</v>
      </c>
      <c r="B49" s="382"/>
      <c r="C49" s="382"/>
      <c r="D49" s="382"/>
      <c r="E49" s="382"/>
      <c r="F49" s="382"/>
      <c r="G49" s="382"/>
      <c r="H49" s="382"/>
      <c r="I49" s="382"/>
      <c r="J49" s="382"/>
      <c r="K49" s="382"/>
      <c r="L49" s="382"/>
      <c r="M49" s="382"/>
      <c r="N49" s="382"/>
      <c r="O49" s="382"/>
    </row>
    <row r="50" spans="1:15" s="384" customFormat="1" ht="14.5" customHeight="1">
      <c r="A50" s="3"/>
      <c r="B50" s="3"/>
      <c r="D50" s="3"/>
      <c r="E50" s="3"/>
      <c r="F50" s="3"/>
      <c r="G50" s="3"/>
      <c r="H50" s="3"/>
      <c r="I50" s="3"/>
      <c r="J50" s="3"/>
      <c r="K50" s="3"/>
      <c r="L50" s="3"/>
      <c r="M50" s="3"/>
      <c r="N50" s="3"/>
      <c r="O50" s="3"/>
    </row>
    <row r="51" spans="1:15" s="384" customFormat="1" ht="14.5" customHeight="1">
      <c r="A51" s="770" t="s">
        <v>1014</v>
      </c>
      <c r="B51" s="770" t="s">
        <v>1015</v>
      </c>
      <c r="C51" s="772" t="s">
        <v>1054</v>
      </c>
      <c r="D51" s="759" t="s">
        <v>445</v>
      </c>
      <c r="E51" s="3"/>
      <c r="F51" s="3"/>
      <c r="G51" s="3"/>
      <c r="H51" s="3"/>
      <c r="I51" s="3"/>
      <c r="J51" s="3"/>
      <c r="K51" s="3"/>
      <c r="L51" s="3"/>
      <c r="M51" s="3"/>
      <c r="N51" s="3"/>
      <c r="O51" s="3"/>
    </row>
    <row r="52" spans="1:15" s="384" customFormat="1">
      <c r="A52" s="771"/>
      <c r="B52" s="771"/>
      <c r="C52" s="772"/>
      <c r="D52" s="759"/>
      <c r="E52" s="3"/>
      <c r="F52" s="3"/>
      <c r="G52" s="3"/>
      <c r="H52" s="3"/>
      <c r="I52" s="3"/>
      <c r="J52" s="3"/>
      <c r="K52" s="3"/>
      <c r="L52" s="3"/>
      <c r="M52" s="3"/>
      <c r="N52" s="3"/>
      <c r="O52" s="3"/>
    </row>
    <row r="53" spans="1:15" s="384" customFormat="1">
      <c r="A53" s="773" t="s">
        <v>454</v>
      </c>
      <c r="B53" s="356" t="s">
        <v>69</v>
      </c>
      <c r="C53" s="763">
        <v>50</v>
      </c>
      <c r="D53" s="769" t="s">
        <v>1055</v>
      </c>
      <c r="E53" s="3"/>
      <c r="F53" s="3"/>
      <c r="G53" s="3"/>
      <c r="H53" s="3"/>
      <c r="I53" s="3"/>
      <c r="J53" s="3"/>
      <c r="K53" s="3"/>
      <c r="L53" s="3"/>
      <c r="M53" s="3"/>
      <c r="N53" s="3"/>
      <c r="O53" s="3"/>
    </row>
    <row r="54" spans="1:15" s="384" customFormat="1">
      <c r="A54" s="774"/>
      <c r="B54" s="356" t="s">
        <v>67</v>
      </c>
      <c r="C54" s="763"/>
      <c r="D54" s="769"/>
      <c r="E54" s="3"/>
      <c r="F54" s="3"/>
      <c r="G54" s="3"/>
      <c r="H54" s="3"/>
      <c r="I54" s="3"/>
      <c r="J54" s="3"/>
      <c r="K54" s="3"/>
      <c r="L54" s="3"/>
      <c r="M54" s="3"/>
      <c r="N54" s="3"/>
      <c r="O54" s="3"/>
    </row>
    <row r="55" spans="1:15" s="384" customFormat="1">
      <c r="A55" s="775"/>
      <c r="B55" s="356" t="s">
        <v>65</v>
      </c>
      <c r="C55" s="763"/>
      <c r="D55" s="769"/>
      <c r="E55" s="3"/>
      <c r="F55" s="3"/>
      <c r="G55" s="3"/>
      <c r="H55" s="3"/>
      <c r="I55" s="3"/>
      <c r="J55" s="3"/>
      <c r="K55" s="3"/>
      <c r="L55" s="3"/>
      <c r="M55" s="3"/>
      <c r="N55" s="3"/>
      <c r="O55" s="3"/>
    </row>
    <row r="56" spans="1:15">
      <c r="A56" s="760" t="s">
        <v>1024</v>
      </c>
      <c r="B56" s="356" t="s">
        <v>69</v>
      </c>
      <c r="C56" s="763">
        <v>10</v>
      </c>
      <c r="D56" s="764" t="s">
        <v>1056</v>
      </c>
      <c r="E56" s="3"/>
      <c r="F56" s="3"/>
      <c r="O56" s="671"/>
    </row>
    <row r="57" spans="1:15">
      <c r="A57" s="761"/>
      <c r="B57" s="356" t="s">
        <v>67</v>
      </c>
      <c r="C57" s="763"/>
      <c r="D57" s="765"/>
      <c r="E57" s="3"/>
      <c r="F57" s="3"/>
      <c r="O57" s="671"/>
    </row>
    <row r="58" spans="1:15">
      <c r="A58" s="762"/>
      <c r="B58" s="356" t="s">
        <v>65</v>
      </c>
      <c r="C58" s="763"/>
      <c r="D58" s="765"/>
      <c r="E58" s="3"/>
      <c r="F58" s="3"/>
      <c r="O58" s="671"/>
    </row>
    <row r="59" spans="1:15">
      <c r="A59" s="767" t="s">
        <v>1026</v>
      </c>
      <c r="B59" s="356" t="s">
        <v>69</v>
      </c>
      <c r="C59" s="763">
        <v>10</v>
      </c>
      <c r="D59" s="765"/>
      <c r="E59" s="3"/>
      <c r="F59" s="3"/>
      <c r="O59" s="671"/>
    </row>
    <row r="60" spans="1:15">
      <c r="A60" s="767"/>
      <c r="B60" s="356" t="s">
        <v>67</v>
      </c>
      <c r="C60" s="763"/>
      <c r="D60" s="765"/>
      <c r="E60" s="3"/>
      <c r="F60" s="3"/>
      <c r="O60" s="671"/>
    </row>
    <row r="61" spans="1:15">
      <c r="A61" s="767"/>
      <c r="B61" s="356" t="s">
        <v>65</v>
      </c>
      <c r="C61" s="763"/>
      <c r="D61" s="765"/>
      <c r="E61" s="3"/>
      <c r="F61" s="3"/>
      <c r="O61" s="671"/>
    </row>
    <row r="62" spans="1:15">
      <c r="A62" s="768" t="s">
        <v>866</v>
      </c>
      <c r="B62" s="356" t="s">
        <v>69</v>
      </c>
      <c r="C62" s="763">
        <v>10</v>
      </c>
      <c r="D62" s="765"/>
      <c r="E62" s="3"/>
      <c r="F62" s="3"/>
      <c r="O62" s="671"/>
    </row>
    <row r="63" spans="1:15">
      <c r="A63" s="768"/>
      <c r="B63" s="356" t="s">
        <v>67</v>
      </c>
      <c r="C63" s="763"/>
      <c r="D63" s="765"/>
      <c r="E63" s="3"/>
      <c r="F63" s="3"/>
      <c r="O63" s="671"/>
    </row>
    <row r="64" spans="1:15">
      <c r="A64" s="768"/>
      <c r="B64" s="356" t="s">
        <v>65</v>
      </c>
      <c r="C64" s="763"/>
      <c r="D64" s="765"/>
      <c r="O64" s="671"/>
    </row>
    <row r="65" spans="1:122">
      <c r="A65" s="769" t="s">
        <v>987</v>
      </c>
      <c r="B65" s="356" t="s">
        <v>69</v>
      </c>
      <c r="C65" s="763">
        <v>10</v>
      </c>
      <c r="D65" s="765"/>
      <c r="O65" s="671"/>
    </row>
    <row r="66" spans="1:122">
      <c r="A66" s="769"/>
      <c r="B66" s="356" t="s">
        <v>67</v>
      </c>
      <c r="C66" s="763"/>
      <c r="D66" s="765"/>
      <c r="O66" s="671"/>
    </row>
    <row r="67" spans="1:122">
      <c r="A67" s="769"/>
      <c r="B67" s="356" t="s">
        <v>65</v>
      </c>
      <c r="C67" s="763"/>
      <c r="D67" s="765"/>
      <c r="O67" s="671"/>
    </row>
    <row r="68" spans="1:122">
      <c r="A68" s="769" t="s">
        <v>789</v>
      </c>
      <c r="B68" s="356" t="s">
        <v>69</v>
      </c>
      <c r="C68" s="763">
        <v>10</v>
      </c>
      <c r="D68" s="765"/>
      <c r="O68" s="671"/>
    </row>
    <row r="69" spans="1:122">
      <c r="A69" s="769"/>
      <c r="B69" s="356" t="s">
        <v>67</v>
      </c>
      <c r="C69" s="763"/>
      <c r="D69" s="765"/>
      <c r="O69" s="671"/>
    </row>
    <row r="70" spans="1:122">
      <c r="A70" s="769"/>
      <c r="B70" s="356" t="s">
        <v>65</v>
      </c>
      <c r="C70" s="763"/>
      <c r="D70" s="766"/>
      <c r="O70" s="671"/>
    </row>
    <row r="72" spans="1:122" s="385" customFormat="1" ht="18.5">
      <c r="A72" s="349" t="s">
        <v>1057</v>
      </c>
      <c r="B72" s="382"/>
      <c r="C72" s="382"/>
      <c r="D72" s="382"/>
      <c r="E72" s="288"/>
      <c r="F72" s="288"/>
      <c r="G72" s="288"/>
      <c r="H72" s="288"/>
      <c r="I72" s="288"/>
      <c r="J72" s="288"/>
      <c r="K72" s="288"/>
      <c r="L72" s="288"/>
      <c r="M72" s="288"/>
      <c r="N72" s="288"/>
    </row>
    <row r="73" spans="1:122" ht="14.5" customHeight="1">
      <c r="A73" s="3"/>
      <c r="B73" s="3"/>
      <c r="C73" s="384"/>
      <c r="D73" s="3"/>
    </row>
    <row r="74" spans="1:122" s="386" customFormat="1" ht="42" customHeight="1">
      <c r="A74" s="759" t="s">
        <v>1058</v>
      </c>
      <c r="B74" s="792" t="s">
        <v>1059</v>
      </c>
      <c r="C74" s="793"/>
      <c r="D74" s="793"/>
      <c r="E74" s="793"/>
      <c r="F74" s="794"/>
    </row>
    <row r="75" spans="1:122" s="386" customFormat="1" ht="19" customHeight="1">
      <c r="A75" s="759"/>
      <c r="B75" s="795" t="s">
        <v>1060</v>
      </c>
      <c r="C75" s="796" t="s">
        <v>1061</v>
      </c>
      <c r="D75" s="796"/>
      <c r="E75" s="796"/>
      <c r="F75" s="796"/>
    </row>
    <row r="76" spans="1:122" s="386" customFormat="1" ht="26.5" customHeight="1">
      <c r="A76" s="759"/>
      <c r="B76" s="795"/>
      <c r="C76" s="644" t="s">
        <v>455</v>
      </c>
      <c r="D76" s="644" t="s">
        <v>1062</v>
      </c>
      <c r="E76" s="644" t="s">
        <v>1063</v>
      </c>
      <c r="F76" s="644" t="s">
        <v>457</v>
      </c>
    </row>
    <row r="77" spans="1:122" s="386" customFormat="1" ht="13">
      <c r="A77" s="356" t="s">
        <v>69</v>
      </c>
      <c r="B77" s="387" t="s">
        <v>1064</v>
      </c>
      <c r="C77" s="388">
        <v>2E-3</v>
      </c>
      <c r="D77" s="389">
        <v>0.27</v>
      </c>
      <c r="E77" s="390">
        <v>0.62</v>
      </c>
      <c r="F77" s="390">
        <v>3.31</v>
      </c>
    </row>
    <row r="78" spans="1:122" s="386" customFormat="1" ht="13">
      <c r="A78" s="356" t="s">
        <v>67</v>
      </c>
      <c r="B78" s="387" t="s">
        <v>1065</v>
      </c>
      <c r="C78" s="388">
        <v>0.04</v>
      </c>
      <c r="D78" s="389">
        <v>10.7</v>
      </c>
      <c r="E78" s="390">
        <v>7.99</v>
      </c>
      <c r="F78" s="390">
        <v>31.3</v>
      </c>
    </row>
    <row r="79" spans="1:122" s="386" customFormat="1" ht="13">
      <c r="A79" s="356" t="s">
        <v>65</v>
      </c>
      <c r="B79" s="387" t="s">
        <v>1066</v>
      </c>
      <c r="C79" s="388">
        <v>4.4000000000000004</v>
      </c>
      <c r="D79" s="389">
        <v>54.6</v>
      </c>
      <c r="E79" s="390">
        <v>41</v>
      </c>
      <c r="F79" s="390">
        <v>118</v>
      </c>
    </row>
    <row r="80" spans="1:122">
      <c r="A80" s="343"/>
      <c r="B80" s="343"/>
      <c r="C80" s="343"/>
      <c r="D80" s="343"/>
      <c r="E80" s="343"/>
      <c r="F80" s="61"/>
      <c r="G80" s="61"/>
      <c r="H80" s="61"/>
      <c r="I80" s="61"/>
      <c r="J80" s="386"/>
      <c r="K80" s="386"/>
      <c r="L80" s="386"/>
      <c r="M80" s="386"/>
      <c r="N80" s="386"/>
      <c r="O80" s="386"/>
      <c r="P80" s="386"/>
      <c r="Q80" s="386"/>
      <c r="R80" s="386"/>
      <c r="S80" s="386"/>
      <c r="T80" s="386"/>
      <c r="U80" s="386"/>
      <c r="V80" s="386"/>
      <c r="W80" s="386"/>
      <c r="X80" s="386"/>
      <c r="Y80" s="386"/>
      <c r="Z80" s="386"/>
      <c r="AA80" s="386"/>
      <c r="AB80" s="386"/>
      <c r="AC80" s="386"/>
      <c r="AD80" s="386"/>
      <c r="AE80" s="386"/>
      <c r="AF80" s="386"/>
      <c r="AG80" s="386"/>
      <c r="AH80" s="386"/>
      <c r="AI80" s="386"/>
      <c r="AJ80" s="386"/>
      <c r="AK80" s="386"/>
      <c r="AL80" s="386"/>
      <c r="AM80" s="386"/>
      <c r="AN80" s="386"/>
      <c r="AO80" s="386"/>
      <c r="AP80" s="386"/>
      <c r="AQ80" s="386"/>
      <c r="AR80" s="386"/>
      <c r="AS80" s="386"/>
      <c r="AT80" s="386"/>
      <c r="AU80" s="386"/>
      <c r="AV80" s="386"/>
      <c r="AW80" s="386"/>
      <c r="AX80" s="386"/>
      <c r="AY80" s="386"/>
      <c r="AZ80" s="386"/>
      <c r="BA80" s="386"/>
      <c r="BB80" s="386"/>
      <c r="BC80" s="386"/>
      <c r="BD80" s="386"/>
      <c r="BE80" s="386"/>
      <c r="BF80" s="386"/>
      <c r="BG80" s="386"/>
      <c r="BH80" s="386"/>
      <c r="BI80" s="386"/>
      <c r="BJ80" s="386"/>
      <c r="BK80" s="386"/>
      <c r="BL80" s="386"/>
      <c r="BM80" s="386"/>
      <c r="BN80" s="386"/>
      <c r="BO80" s="386"/>
      <c r="BP80" s="386"/>
      <c r="BQ80" s="386"/>
      <c r="BR80" s="386"/>
      <c r="BS80" s="386"/>
      <c r="BT80" s="386"/>
      <c r="BU80" s="386"/>
      <c r="BV80" s="386"/>
      <c r="BW80" s="386"/>
      <c r="BX80" s="386"/>
      <c r="BY80" s="386"/>
      <c r="BZ80" s="386"/>
      <c r="CA80" s="386"/>
      <c r="CB80" s="386"/>
      <c r="CC80" s="386"/>
      <c r="CD80" s="386"/>
      <c r="CE80" s="386"/>
      <c r="CF80" s="386"/>
      <c r="CG80" s="386"/>
      <c r="CH80" s="386"/>
      <c r="CI80" s="386"/>
      <c r="CJ80" s="386"/>
      <c r="CK80" s="386"/>
      <c r="CL80" s="386"/>
      <c r="CM80" s="386"/>
      <c r="CN80" s="386"/>
      <c r="CO80" s="386"/>
      <c r="CP80" s="386"/>
      <c r="CQ80" s="386"/>
      <c r="CR80" s="386"/>
      <c r="CS80" s="386"/>
      <c r="CT80" s="386"/>
      <c r="CU80" s="386"/>
      <c r="CV80" s="386"/>
      <c r="CW80" s="386"/>
      <c r="CX80" s="386"/>
      <c r="CY80" s="386"/>
      <c r="CZ80" s="386"/>
      <c r="DA80" s="386"/>
      <c r="DB80" s="386"/>
      <c r="DC80" s="386"/>
      <c r="DD80" s="386"/>
      <c r="DE80" s="386"/>
      <c r="DF80" s="386"/>
      <c r="DG80" s="386"/>
      <c r="DH80" s="386"/>
      <c r="DI80" s="386"/>
      <c r="DJ80" s="386"/>
      <c r="DK80" s="386"/>
      <c r="DL80" s="386"/>
      <c r="DM80" s="386"/>
      <c r="DN80" s="386"/>
      <c r="DO80" s="386"/>
      <c r="DP80" s="386"/>
      <c r="DQ80" s="386"/>
      <c r="DR80" s="386"/>
    </row>
    <row r="83" spans="1:18">
      <c r="A83" s="391"/>
    </row>
    <row r="86" spans="1:18">
      <c r="M86" s="671">
        <f>44.8*10*0.66</f>
        <v>295.68</v>
      </c>
    </row>
    <row r="95" spans="1:18" s="671" customFormat="1">
      <c r="G95" s="7"/>
      <c r="H95" s="7"/>
      <c r="I95" s="7"/>
      <c r="J95" s="7"/>
      <c r="K95" s="7"/>
      <c r="L95" s="7"/>
      <c r="M95" s="7"/>
      <c r="N95" s="7"/>
      <c r="O95" s="7"/>
      <c r="P95" s="7"/>
      <c r="Q95" s="7"/>
      <c r="R95" s="7"/>
    </row>
    <row r="96" spans="1:18" s="288" customFormat="1" ht="18.5">
      <c r="A96" s="349" t="s">
        <v>1067</v>
      </c>
      <c r="G96" s="392"/>
      <c r="H96" s="392"/>
      <c r="I96" s="392"/>
      <c r="J96" s="392"/>
      <c r="K96" s="392"/>
      <c r="L96" s="392"/>
      <c r="M96" s="392"/>
      <c r="N96" s="392"/>
      <c r="O96" s="392"/>
      <c r="P96" s="392"/>
      <c r="Q96" s="392"/>
      <c r="R96" s="392"/>
    </row>
    <row r="97" spans="1:18" s="671" customFormat="1" ht="18.5">
      <c r="A97" s="342"/>
      <c r="G97" s="7"/>
      <c r="H97" s="7"/>
      <c r="I97" s="7"/>
      <c r="J97" s="7"/>
      <c r="K97" s="7"/>
      <c r="L97" s="7"/>
      <c r="M97" s="7"/>
      <c r="N97" s="7"/>
      <c r="O97" s="7"/>
      <c r="P97" s="7"/>
      <c r="Q97" s="7"/>
      <c r="R97" s="7"/>
    </row>
    <row r="98" spans="1:18" s="671" customFormat="1" ht="15.5">
      <c r="A98" s="346" t="s">
        <v>1068</v>
      </c>
      <c r="B98" s="61"/>
      <c r="C98" s="3"/>
      <c r="D98" s="61"/>
      <c r="E98" s="61"/>
      <c r="F98" s="61"/>
      <c r="G98" s="7"/>
      <c r="H98" s="7"/>
      <c r="I98" s="7"/>
      <c r="J98" s="7"/>
      <c r="K98" s="7"/>
      <c r="L98" s="7"/>
      <c r="M98" s="7"/>
      <c r="N98" s="7"/>
      <c r="O98" s="7"/>
      <c r="P98" s="7"/>
      <c r="Q98" s="7"/>
      <c r="R98" s="7"/>
    </row>
    <row r="99" spans="1:18" s="671" customFormat="1">
      <c r="A99" s="393" t="s">
        <v>1069</v>
      </c>
      <c r="B99" s="801" t="s">
        <v>1070</v>
      </c>
      <c r="C99" s="801"/>
      <c r="D99" s="804" t="s">
        <v>87</v>
      </c>
      <c r="E99" s="804"/>
      <c r="F99" s="393" t="s">
        <v>1071</v>
      </c>
      <c r="G99" s="393" t="s">
        <v>1072</v>
      </c>
      <c r="H99" s="393" t="s">
        <v>1073</v>
      </c>
      <c r="I99" s="7"/>
      <c r="J99" s="7"/>
      <c r="K99" s="7"/>
      <c r="L99" s="7"/>
      <c r="M99" s="7"/>
      <c r="N99" s="7"/>
      <c r="O99" s="7"/>
      <c r="P99" s="7"/>
      <c r="Q99" s="7"/>
      <c r="R99" s="7"/>
    </row>
    <row r="100" spans="1:18" s="671" customFormat="1" ht="67" customHeight="1">
      <c r="A100" s="645" t="s">
        <v>1074</v>
      </c>
      <c r="B100" s="800" t="s">
        <v>1075</v>
      </c>
      <c r="C100" s="800"/>
      <c r="D100" s="756" t="s">
        <v>1076</v>
      </c>
      <c r="E100" s="756"/>
      <c r="F100" s="645">
        <v>1.3</v>
      </c>
      <c r="G100" s="645">
        <v>1.6</v>
      </c>
      <c r="H100" s="645">
        <f>AVERAGE(F100:G100)</f>
        <v>1.4500000000000002</v>
      </c>
      <c r="I100" s="7"/>
      <c r="J100" s="7"/>
      <c r="K100" s="7"/>
      <c r="L100" s="7"/>
      <c r="M100" s="7"/>
      <c r="N100" s="7"/>
      <c r="O100" s="7"/>
      <c r="P100" s="7"/>
      <c r="Q100" s="7"/>
      <c r="R100" s="7"/>
    </row>
    <row r="101" spans="1:18" s="671" customFormat="1" ht="93.65" customHeight="1">
      <c r="A101" s="394" t="s">
        <v>1077</v>
      </c>
      <c r="B101" s="800" t="s">
        <v>1078</v>
      </c>
      <c r="C101" s="800"/>
      <c r="D101" s="756" t="s">
        <v>1079</v>
      </c>
      <c r="E101" s="756"/>
      <c r="F101" s="395" t="s">
        <v>1022</v>
      </c>
      <c r="G101" s="395" t="s">
        <v>1022</v>
      </c>
      <c r="H101" s="645">
        <v>1.3</v>
      </c>
      <c r="I101" s="7"/>
      <c r="J101" s="7"/>
      <c r="K101" s="7"/>
      <c r="L101" s="7"/>
      <c r="M101" s="7"/>
      <c r="N101" s="7"/>
      <c r="O101" s="7"/>
      <c r="P101" s="7"/>
      <c r="Q101" s="7"/>
      <c r="R101" s="7"/>
    </row>
    <row r="102" spans="1:18" s="671" customFormat="1">
      <c r="A102" s="394" t="s">
        <v>1080</v>
      </c>
      <c r="B102" s="803" t="s">
        <v>1081</v>
      </c>
      <c r="C102" s="803"/>
      <c r="D102" s="757" t="s">
        <v>38</v>
      </c>
      <c r="E102" s="757"/>
      <c r="F102" s="395" t="s">
        <v>1022</v>
      </c>
      <c r="G102" s="395" t="s">
        <v>1022</v>
      </c>
      <c r="H102" s="396">
        <v>1.41</v>
      </c>
      <c r="I102" s="7"/>
      <c r="J102" s="7"/>
      <c r="K102" s="7"/>
      <c r="L102" s="7"/>
      <c r="M102" s="7"/>
      <c r="N102" s="7"/>
      <c r="O102" s="7"/>
      <c r="P102" s="7"/>
      <c r="Q102" s="7"/>
      <c r="R102" s="7"/>
    </row>
    <row r="103" spans="1:18" ht="92.5" customHeight="1">
      <c r="A103" s="651" t="s">
        <v>1082</v>
      </c>
      <c r="B103" s="802" t="s">
        <v>1083</v>
      </c>
      <c r="C103" s="802"/>
      <c r="D103" s="756" t="s">
        <v>1084</v>
      </c>
      <c r="E103" s="756"/>
      <c r="F103" s="395" t="s">
        <v>1022</v>
      </c>
      <c r="G103" s="395" t="s">
        <v>1022</v>
      </c>
      <c r="H103" s="651">
        <v>1.38</v>
      </c>
    </row>
    <row r="104" spans="1:18">
      <c r="A104" s="797" t="s">
        <v>1085</v>
      </c>
      <c r="B104" s="798"/>
      <c r="C104" s="798"/>
      <c r="D104" s="798"/>
      <c r="E104" s="798"/>
      <c r="F104" s="798"/>
      <c r="G104" s="799"/>
      <c r="H104" s="397">
        <f>AVERAGE(H100:H103)</f>
        <v>1.385</v>
      </c>
    </row>
    <row r="105" spans="1:18">
      <c r="A105" s="671" t="s">
        <v>1086</v>
      </c>
      <c r="B105" s="61">
        <v>0.05</v>
      </c>
      <c r="C105" s="671" t="s">
        <v>1087</v>
      </c>
      <c r="D105" s="37"/>
      <c r="E105" s="37"/>
      <c r="F105" s="37"/>
      <c r="G105" s="37"/>
      <c r="H105" s="398"/>
    </row>
    <row r="107" spans="1:18" s="385" customFormat="1" ht="18.5">
      <c r="A107" s="349" t="s">
        <v>1088</v>
      </c>
      <c r="B107" s="288"/>
      <c r="C107" s="288"/>
      <c r="D107" s="288"/>
      <c r="E107" s="288"/>
      <c r="F107" s="288"/>
      <c r="G107" s="288"/>
      <c r="H107" s="288"/>
      <c r="I107" s="288"/>
      <c r="J107" s="288"/>
      <c r="K107" s="288"/>
      <c r="L107" s="288"/>
      <c r="M107" s="288"/>
      <c r="N107" s="288"/>
    </row>
    <row r="109" spans="1:18" s="347" customFormat="1" ht="16" customHeight="1">
      <c r="A109" s="346" t="s">
        <v>1089</v>
      </c>
      <c r="B109" s="346"/>
      <c r="C109" s="399"/>
      <c r="D109" s="399"/>
      <c r="E109" s="399"/>
      <c r="F109" s="399"/>
      <c r="G109" s="344"/>
      <c r="H109" s="344"/>
      <c r="I109" s="344"/>
      <c r="J109" s="344"/>
      <c r="K109" s="344"/>
      <c r="L109" s="344"/>
      <c r="M109" s="344"/>
      <c r="N109" s="344"/>
    </row>
    <row r="110" spans="1:18" s="347" customFormat="1" ht="15.5">
      <c r="A110" s="400" t="s">
        <v>1090</v>
      </c>
      <c r="B110" s="401"/>
      <c r="C110" s="399"/>
      <c r="D110" s="399"/>
      <c r="E110" s="399"/>
      <c r="F110" s="399"/>
      <c r="G110" s="344"/>
      <c r="H110" s="344"/>
      <c r="I110" s="344"/>
      <c r="J110" s="344"/>
      <c r="K110" s="344"/>
      <c r="L110" s="344"/>
      <c r="M110" s="344"/>
      <c r="N110" s="344"/>
    </row>
    <row r="111" spans="1:18" ht="43.5">
      <c r="A111" s="646" t="s">
        <v>1091</v>
      </c>
      <c r="B111" s="646" t="s">
        <v>445</v>
      </c>
      <c r="C111" s="646" t="s">
        <v>1092</v>
      </c>
      <c r="D111" s="646" t="s">
        <v>1093</v>
      </c>
      <c r="E111" s="646" t="s">
        <v>1094</v>
      </c>
      <c r="F111" s="646" t="s">
        <v>1095</v>
      </c>
      <c r="G111" s="646" t="s">
        <v>1096</v>
      </c>
    </row>
    <row r="112" spans="1:18" ht="43.5">
      <c r="A112" s="635" t="s">
        <v>1097</v>
      </c>
      <c r="B112" s="635" t="s">
        <v>1023</v>
      </c>
      <c r="C112" s="239">
        <v>30</v>
      </c>
      <c r="D112" s="650">
        <f>30*0.01</f>
        <v>0.3</v>
      </c>
      <c r="E112" s="650">
        <f>25*0.01</f>
        <v>0.25</v>
      </c>
      <c r="F112" s="239">
        <f>15*0.01</f>
        <v>0.15</v>
      </c>
      <c r="G112" s="650">
        <f t="shared" ref="G112" si="1">C112*2*(D112*E112+E112*F112+D112*F112)</f>
        <v>9.4499999999999993</v>
      </c>
    </row>
    <row r="113" spans="1:7" ht="43.5">
      <c r="A113" s="635" t="s">
        <v>1098</v>
      </c>
      <c r="B113" s="635" t="s">
        <v>1023</v>
      </c>
      <c r="C113" s="239">
        <v>20</v>
      </c>
      <c r="D113" s="650">
        <f>20*0.01</f>
        <v>0.2</v>
      </c>
      <c r="E113" s="239">
        <f>15*0.01</f>
        <v>0.15</v>
      </c>
      <c r="F113" s="239">
        <f>8*0.01</f>
        <v>0.08</v>
      </c>
      <c r="G113" s="650">
        <f>C113*2*(D113*E113+E113*F113+D113*F113)</f>
        <v>2.3199999999999998</v>
      </c>
    </row>
    <row r="114" spans="1:7" ht="43.5">
      <c r="A114" s="635" t="s">
        <v>1099</v>
      </c>
      <c r="B114" s="635" t="s">
        <v>1023</v>
      </c>
      <c r="C114" s="239">
        <v>5</v>
      </c>
      <c r="D114" s="239">
        <f>15*0.01</f>
        <v>0.15</v>
      </c>
      <c r="E114" s="650">
        <f>10*0.01</f>
        <v>0.1</v>
      </c>
      <c r="F114" s="239">
        <f>5*0.01</f>
        <v>0.05</v>
      </c>
      <c r="G114" s="650">
        <f>C114*2*(D114*E114+E114*F114+D114*F114)</f>
        <v>0.27500000000000002</v>
      </c>
    </row>
    <row r="116" spans="1:7" ht="15.5">
      <c r="A116" s="346" t="s">
        <v>1100</v>
      </c>
    </row>
    <row r="118" spans="1:7" ht="43.5">
      <c r="A118" s="646" t="s">
        <v>1091</v>
      </c>
      <c r="B118" s="646" t="s">
        <v>445</v>
      </c>
      <c r="C118" s="646" t="s">
        <v>1070</v>
      </c>
      <c r="D118" s="646" t="s">
        <v>1093</v>
      </c>
      <c r="E118" s="646" t="s">
        <v>1094</v>
      </c>
      <c r="F118" s="646" t="s">
        <v>1101</v>
      </c>
      <c r="G118" s="646" t="s">
        <v>1096</v>
      </c>
    </row>
    <row r="119" spans="1:7" ht="87">
      <c r="A119" s="632" t="s">
        <v>1102</v>
      </c>
      <c r="B119" s="632" t="s">
        <v>1103</v>
      </c>
      <c r="C119" s="402" t="s">
        <v>1104</v>
      </c>
      <c r="D119" s="239">
        <f>72*0.0254</f>
        <v>1.8288</v>
      </c>
      <c r="E119" s="239">
        <f>70*0.0254</f>
        <v>1.778</v>
      </c>
      <c r="F119" s="239">
        <v>2</v>
      </c>
      <c r="G119" s="403">
        <f>D119*E119*F119</f>
        <v>6.5032128</v>
      </c>
    </row>
    <row r="120" spans="1:7">
      <c r="B120" s="3"/>
      <c r="C120" s="3"/>
    </row>
    <row r="125" spans="1:7" ht="15.5">
      <c r="A125" s="346" t="s">
        <v>1105</v>
      </c>
    </row>
    <row r="126" spans="1:7">
      <c r="B126" s="3"/>
      <c r="C126" s="3"/>
    </row>
    <row r="127" spans="1:7" ht="29">
      <c r="A127" s="646" t="s">
        <v>1091</v>
      </c>
      <c r="B127" s="646" t="s">
        <v>445</v>
      </c>
      <c r="C127" s="646" t="s">
        <v>1106</v>
      </c>
      <c r="D127" s="646" t="s">
        <v>1107</v>
      </c>
      <c r="E127" s="646" t="s">
        <v>1108</v>
      </c>
      <c r="G127" s="343"/>
    </row>
    <row r="128" spans="1:7" ht="72.5">
      <c r="A128" s="632" t="s">
        <v>1109</v>
      </c>
      <c r="B128" s="632" t="s">
        <v>1110</v>
      </c>
      <c r="C128" s="239">
        <v>492</v>
      </c>
      <c r="D128" s="650">
        <f>0.3048 * 8</f>
        <v>2.4384000000000001</v>
      </c>
      <c r="E128" s="404">
        <f>C128/D128</f>
        <v>201.77165354330708</v>
      </c>
      <c r="G128" s="343"/>
    </row>
    <row r="129" spans="1:7">
      <c r="A129" s="61"/>
      <c r="B129" s="3"/>
      <c r="C129" s="3"/>
    </row>
    <row r="136" spans="1:7" ht="15.5">
      <c r="A136" s="346"/>
    </row>
    <row r="139" spans="1:7" ht="15.5">
      <c r="A139" s="346" t="s">
        <v>1111</v>
      </c>
    </row>
    <row r="140" spans="1:7">
      <c r="A140" s="405" t="s">
        <v>1112</v>
      </c>
    </row>
    <row r="141" spans="1:7" ht="29">
      <c r="A141" s="646" t="s">
        <v>1091</v>
      </c>
      <c r="B141" s="646" t="s">
        <v>1113</v>
      </c>
      <c r="C141" s="646" t="s">
        <v>1114</v>
      </c>
      <c r="D141" s="646" t="s">
        <v>1115</v>
      </c>
      <c r="E141" s="646" t="s">
        <v>1116</v>
      </c>
      <c r="F141" s="646" t="s">
        <v>1117</v>
      </c>
      <c r="G141" s="646" t="s">
        <v>1118</v>
      </c>
    </row>
    <row r="142" spans="1:7" s="671" customFormat="1" ht="38.15" customHeight="1">
      <c r="A142" s="758" t="s">
        <v>1119</v>
      </c>
      <c r="B142" s="264" t="s">
        <v>1120</v>
      </c>
      <c r="C142" s="239">
        <v>100</v>
      </c>
      <c r="D142" s="239">
        <v>42</v>
      </c>
      <c r="E142" s="239">
        <v>35</v>
      </c>
      <c r="F142" s="239">
        <f t="shared" ref="F142:F147" si="2">((C142*D142)+(C142*E142)+(D142*E142))*2</f>
        <v>18340</v>
      </c>
      <c r="G142" s="755">
        <f>(F142+F143)*0.00064516</f>
        <v>20.882538879999998</v>
      </c>
    </row>
    <row r="143" spans="1:7" s="671" customFormat="1" ht="37.5" customHeight="1">
      <c r="A143" s="758"/>
      <c r="B143" s="264" t="s">
        <v>1121</v>
      </c>
      <c r="C143" s="239">
        <v>72</v>
      </c>
      <c r="D143" s="239">
        <v>42</v>
      </c>
      <c r="E143" s="239">
        <v>35</v>
      </c>
      <c r="F143" s="239">
        <f t="shared" si="2"/>
        <v>14028</v>
      </c>
      <c r="G143" s="755"/>
    </row>
    <row r="144" spans="1:7" s="671" customFormat="1" ht="43.5" customHeight="1">
      <c r="A144" s="758" t="s">
        <v>1122</v>
      </c>
      <c r="B144" s="264" t="s">
        <v>1120</v>
      </c>
      <c r="C144" s="239">
        <v>80</v>
      </c>
      <c r="D144" s="239">
        <v>36</v>
      </c>
      <c r="E144" s="239">
        <v>30</v>
      </c>
      <c r="F144" s="239">
        <f t="shared" si="2"/>
        <v>12720</v>
      </c>
      <c r="G144" s="755">
        <f>(F144+F145)*0.00064516</f>
        <v>14.709648</v>
      </c>
    </row>
    <row r="145" spans="1:19" s="671" customFormat="1" ht="36.65" customHeight="1">
      <c r="A145" s="758"/>
      <c r="B145" s="264" t="s">
        <v>1121</v>
      </c>
      <c r="C145" s="239">
        <v>60</v>
      </c>
      <c r="D145" s="239">
        <v>36</v>
      </c>
      <c r="E145" s="239">
        <v>30</v>
      </c>
      <c r="F145" s="239">
        <f t="shared" si="2"/>
        <v>10080</v>
      </c>
      <c r="G145" s="755"/>
    </row>
    <row r="146" spans="1:19" ht="46" customHeight="1">
      <c r="A146" s="758" t="s">
        <v>1123</v>
      </c>
      <c r="B146" s="264" t="s">
        <v>1120</v>
      </c>
      <c r="C146" s="239">
        <v>60</v>
      </c>
      <c r="D146" s="239">
        <v>30</v>
      </c>
      <c r="E146" s="239">
        <v>25</v>
      </c>
      <c r="F146" s="239">
        <f t="shared" si="2"/>
        <v>8100</v>
      </c>
      <c r="G146" s="755">
        <f>(F146+F147)*0.00064516</f>
        <v>9.5999807999999991</v>
      </c>
    </row>
    <row r="147" spans="1:19" ht="37.5" customHeight="1">
      <c r="A147" s="758"/>
      <c r="B147" s="264" t="s">
        <v>1121</v>
      </c>
      <c r="C147" s="239">
        <v>48</v>
      </c>
      <c r="D147" s="239">
        <v>30</v>
      </c>
      <c r="E147" s="239">
        <v>25</v>
      </c>
      <c r="F147" s="239">
        <f t="shared" si="2"/>
        <v>6780</v>
      </c>
      <c r="G147" s="755"/>
    </row>
    <row r="148" spans="1:19" s="671" customFormat="1" ht="14.5" customHeight="1">
      <c r="A148" s="291"/>
      <c r="B148" s="291"/>
      <c r="C148" s="291"/>
      <c r="D148" s="291"/>
      <c r="E148" s="291"/>
      <c r="F148" s="291"/>
      <c r="G148" s="291"/>
      <c r="H148" s="291"/>
    </row>
    <row r="149" spans="1:19" s="671" customFormat="1" ht="15.5">
      <c r="A149" s="346" t="s">
        <v>1124</v>
      </c>
      <c r="B149" s="617"/>
      <c r="C149" s="667"/>
      <c r="D149" s="406"/>
      <c r="E149" s="407"/>
      <c r="F149" s="3"/>
      <c r="G149" s="408"/>
      <c r="H149" s="408"/>
      <c r="I149" s="408"/>
      <c r="K149" s="408"/>
      <c r="L149" s="408"/>
      <c r="M149" s="408"/>
      <c r="N149" s="408"/>
      <c r="O149" s="408"/>
      <c r="P149" s="408"/>
      <c r="Q149" s="408"/>
      <c r="R149" s="408"/>
      <c r="S149" s="408"/>
    </row>
    <row r="150" spans="1:19" s="671" customFormat="1">
      <c r="F150" s="3"/>
      <c r="G150" s="408"/>
      <c r="H150" s="408"/>
      <c r="I150" s="408"/>
      <c r="J150" s="408"/>
      <c r="K150" s="408"/>
      <c r="L150" s="408"/>
      <c r="M150" s="408"/>
      <c r="N150" s="408"/>
      <c r="O150" s="408"/>
      <c r="P150" s="408"/>
      <c r="Q150" s="408"/>
      <c r="R150" s="408"/>
      <c r="S150" s="408"/>
    </row>
    <row r="151" spans="1:19" s="671" customFormat="1" ht="87">
      <c r="A151" s="646" t="s">
        <v>1058</v>
      </c>
      <c r="B151" s="646" t="s">
        <v>1125</v>
      </c>
      <c r="C151" s="646" t="s">
        <v>1126</v>
      </c>
      <c r="D151" s="646" t="s">
        <v>1127</v>
      </c>
      <c r="E151" s="646" t="s">
        <v>1128</v>
      </c>
      <c r="F151" s="646" t="s">
        <v>1129</v>
      </c>
      <c r="G151" s="646" t="s">
        <v>1130</v>
      </c>
      <c r="H151" s="646" t="s">
        <v>1131</v>
      </c>
      <c r="I151" s="646" t="s">
        <v>1132</v>
      </c>
      <c r="J151" s="646" t="s">
        <v>1133</v>
      </c>
      <c r="K151" s="646" t="s">
        <v>1134</v>
      </c>
      <c r="L151" s="646" t="s">
        <v>1135</v>
      </c>
      <c r="M151" s="646" t="s">
        <v>1136</v>
      </c>
    </row>
    <row r="152" spans="1:19" s="671" customFormat="1">
      <c r="A152" s="244" t="s">
        <v>65</v>
      </c>
      <c r="B152" s="244">
        <v>1</v>
      </c>
      <c r="C152" s="244">
        <v>11</v>
      </c>
      <c r="D152" s="784">
        <v>10</v>
      </c>
      <c r="E152" s="784">
        <v>4</v>
      </c>
      <c r="F152" s="784">
        <v>4</v>
      </c>
      <c r="G152" s="784">
        <v>6</v>
      </c>
      <c r="H152" s="244">
        <f>C152+D152+E152+(F152*B152)+(G152*B152)</f>
        <v>35</v>
      </c>
      <c r="I152" s="244">
        <v>2</v>
      </c>
      <c r="J152" s="244">
        <v>6.36</v>
      </c>
      <c r="K152" s="409">
        <f>2*3.14159*(J152*0.001/2)</f>
        <v>1.9980512400000001E-2</v>
      </c>
      <c r="L152" s="244">
        <f>H152*I152</f>
        <v>70</v>
      </c>
      <c r="M152" s="410">
        <f>K152*L152</f>
        <v>1.3986358679999999</v>
      </c>
    </row>
    <row r="153" spans="1:19" s="671" customFormat="1">
      <c r="A153" s="244" t="s">
        <v>1065</v>
      </c>
      <c r="B153" s="244">
        <v>2</v>
      </c>
      <c r="C153" s="244">
        <v>14</v>
      </c>
      <c r="D153" s="785"/>
      <c r="E153" s="785"/>
      <c r="F153" s="785"/>
      <c r="G153" s="785"/>
      <c r="H153" s="244">
        <f>C153+D152+E152+(F152*B153)+(G152*B153)</f>
        <v>48</v>
      </c>
      <c r="I153" s="244">
        <v>2</v>
      </c>
      <c r="J153" s="244">
        <v>6.36</v>
      </c>
      <c r="K153" s="409">
        <f>2*3.14159*(J153*0.001/2)</f>
        <v>1.9980512400000001E-2</v>
      </c>
      <c r="L153" s="244">
        <f>H153*I153</f>
        <v>96</v>
      </c>
      <c r="M153" s="410">
        <f>K153*L153</f>
        <v>1.9181291904000002</v>
      </c>
    </row>
    <row r="154" spans="1:19" s="671" customFormat="1">
      <c r="A154" s="244" t="s">
        <v>69</v>
      </c>
      <c r="B154" s="244">
        <v>6</v>
      </c>
      <c r="C154" s="244">
        <v>18</v>
      </c>
      <c r="D154" s="786"/>
      <c r="E154" s="786"/>
      <c r="F154" s="786"/>
      <c r="G154" s="786"/>
      <c r="H154" s="244">
        <f>C154+D152+E152+(F152*B154)+(G152*B154)</f>
        <v>92</v>
      </c>
      <c r="I154" s="244">
        <v>2</v>
      </c>
      <c r="J154" s="244">
        <v>6.36</v>
      </c>
      <c r="K154" s="409">
        <f>2*3.14159*(J154*0.001/2)</f>
        <v>1.9980512400000001E-2</v>
      </c>
      <c r="L154" s="244">
        <f>H154*I154</f>
        <v>184</v>
      </c>
      <c r="M154" s="410">
        <f>K154*L154</f>
        <v>3.6764142816000001</v>
      </c>
    </row>
    <row r="155" spans="1:19" s="671" customFormat="1">
      <c r="A155" s="3" t="s">
        <v>1137</v>
      </c>
      <c r="C155" s="61"/>
      <c r="G155" s="3"/>
      <c r="H155" s="61"/>
      <c r="I155" s="61"/>
      <c r="J155" s="61"/>
      <c r="K155" s="61"/>
    </row>
    <row r="156" spans="1:19" s="671" customFormat="1">
      <c r="A156" s="345" t="s">
        <v>1138</v>
      </c>
      <c r="C156" s="61"/>
      <c r="E156" s="3"/>
      <c r="G156" s="3"/>
      <c r="H156" s="61"/>
      <c r="I156" s="61"/>
      <c r="J156" s="61"/>
      <c r="K156" s="61"/>
    </row>
    <row r="157" spans="1:19" s="671" customFormat="1">
      <c r="C157" s="61"/>
      <c r="E157" s="3"/>
      <c r="G157" s="3"/>
      <c r="H157" s="61"/>
      <c r="I157" s="61"/>
      <c r="J157" s="61"/>
      <c r="K157" s="61"/>
    </row>
    <row r="158" spans="1:19">
      <c r="O158" s="671"/>
      <c r="P158" s="671"/>
    </row>
  </sheetData>
  <sheetProtection sheet="1" objects="1" scenarios="1" formatCells="0" formatColumns="0" formatRows="0" sort="0" autoFilter="0"/>
  <mergeCells count="81">
    <mergeCell ref="L18:L19"/>
    <mergeCell ref="M18:M19"/>
    <mergeCell ref="L22:L23"/>
    <mergeCell ref="M22:M23"/>
    <mergeCell ref="L26:L27"/>
    <mergeCell ref="M26:M27"/>
    <mergeCell ref="N18:P18"/>
    <mergeCell ref="N17:P17"/>
    <mergeCell ref="N22:P22"/>
    <mergeCell ref="N26:P26"/>
    <mergeCell ref="F152:F154"/>
    <mergeCell ref="B74:F74"/>
    <mergeCell ref="B75:B76"/>
    <mergeCell ref="C75:F75"/>
    <mergeCell ref="A104:G104"/>
    <mergeCell ref="B100:C100"/>
    <mergeCell ref="B101:C101"/>
    <mergeCell ref="B99:C99"/>
    <mergeCell ref="B103:C103"/>
    <mergeCell ref="B102:C102"/>
    <mergeCell ref="D99:E99"/>
    <mergeCell ref="D100:E100"/>
    <mergeCell ref="E152:E154"/>
    <mergeCell ref="G152:G154"/>
    <mergeCell ref="D152:D154"/>
    <mergeCell ref="A14:A16"/>
    <mergeCell ref="G34:I34"/>
    <mergeCell ref="A35:A36"/>
    <mergeCell ref="B35:B36"/>
    <mergeCell ref="C35:F35"/>
    <mergeCell ref="G35:I35"/>
    <mergeCell ref="A39:A40"/>
    <mergeCell ref="B39:B40"/>
    <mergeCell ref="C39:F39"/>
    <mergeCell ref="A43:A44"/>
    <mergeCell ref="B43:B44"/>
    <mergeCell ref="C43:F43"/>
    <mergeCell ref="A51:A52"/>
    <mergeCell ref="K14:K16"/>
    <mergeCell ref="G39:I39"/>
    <mergeCell ref="G43:I43"/>
    <mergeCell ref="A12:A13"/>
    <mergeCell ref="B12:B13"/>
    <mergeCell ref="C12:F12"/>
    <mergeCell ref="G12:J12"/>
    <mergeCell ref="K12:K13"/>
    <mergeCell ref="A17:A19"/>
    <mergeCell ref="K17:K22"/>
    <mergeCell ref="A20:A22"/>
    <mergeCell ref="A23:A25"/>
    <mergeCell ref="K23:K31"/>
    <mergeCell ref="A26:A28"/>
    <mergeCell ref="A29:A31"/>
    <mergeCell ref="A34:F34"/>
    <mergeCell ref="B51:B52"/>
    <mergeCell ref="C51:C52"/>
    <mergeCell ref="D51:D52"/>
    <mergeCell ref="A53:A55"/>
    <mergeCell ref="C53:C55"/>
    <mergeCell ref="D53:D55"/>
    <mergeCell ref="C56:C58"/>
    <mergeCell ref="D56:D70"/>
    <mergeCell ref="A59:A61"/>
    <mergeCell ref="C59:C61"/>
    <mergeCell ref="A62:A64"/>
    <mergeCell ref="C62:C64"/>
    <mergeCell ref="A65:A67"/>
    <mergeCell ref="C65:C67"/>
    <mergeCell ref="A68:A70"/>
    <mergeCell ref="C68:C70"/>
    <mergeCell ref="A146:A147"/>
    <mergeCell ref="A144:A145"/>
    <mergeCell ref="A142:A143"/>
    <mergeCell ref="A74:A76"/>
    <mergeCell ref="A56:A58"/>
    <mergeCell ref="G146:G147"/>
    <mergeCell ref="G144:G145"/>
    <mergeCell ref="G142:G143"/>
    <mergeCell ref="D101:E101"/>
    <mergeCell ref="D102:E102"/>
    <mergeCell ref="D103:E103"/>
  </mergeCells>
  <hyperlinks>
    <hyperlink ref="B100" r:id="rId1" display="https://www.ansys.com/content/dam/amp/2021/august/webpage-requests/education-resources-dam-upload-batch-2/material-property-data-for-eng-materials-BOKENGEN21.pdf" xr:uid="{8C7FF7A4-79FB-45E2-95FC-2B6B450BD6C2}"/>
    <hyperlink ref="B101" r:id="rId2" display="https://www.nature.com/articles/s41370-021-00354-0" xr:uid="{4465ABB5-AE1D-4D9D-B5E1-F9BD777306BF}"/>
    <hyperlink ref="B102" r:id="rId3" display="https://www.ipolymer.com/pdf/PVC.pdf" xr:uid="{B3CBCBCC-2058-492E-B5F4-47AD2FEEFA25}"/>
    <hyperlink ref="B103" r:id="rId4" display="https://www.matec-conferences.org/articles/matecconf/pdf/2018/34/matecconf_ifcae-iot2018_03014.pdf" xr:uid="{8AD5CB52-DE1A-4CBD-ABA4-19F78BF74B02}"/>
    <hyperlink ref="A3" location="CEM_Input__Mouthing_Duration" display="CEM Input: Mouthing Duration" xr:uid="{ACA2C108-803C-4021-952C-955D18C2BABF}"/>
    <hyperlink ref="A5" location="CEM_Input__Chemical_Migration_Rate" display="CEM Input: Chemical Migration Rate" xr:uid="{F046B434-28C3-412F-9DA5-EBDD9BDEA25A}"/>
    <hyperlink ref="A4" location="CEM_Input__Area_of_Article_Mouthed" display="CEM Input: Area of Article Mouthed" xr:uid="{422EC625-EE73-4F38-9DA7-861B3E66CE67}"/>
    <hyperlink ref="A6" location="CEM_Input__Product_Density" display="CEM Input: Density of Product" xr:uid="{525C5C9E-509B-45C6-9DF5-41F5C0087FE2}"/>
    <hyperlink ref="A7" location="CEM_Input__Surface_Area_of_Articles" display="CEM Input: Surface Area of Articles" xr:uid="{AA14422D-7F02-4377-9B94-162753182AFF}"/>
    <hyperlink ref="C119" r:id="rId5" xr:uid="{D101AB3D-2361-4E8C-83F1-C9235518800E}"/>
    <hyperlink ref="A156" r:id="rId6" display="https://www.scientific.net/AMM.672-674.2165" xr:uid="{1D645620-B7CC-4EBB-AEFA-666D4CC931C4}"/>
  </hyperlinks>
  <pageMargins left="0.7" right="0.7" top="0.75" bottom="0.75" header="0.3" footer="0.3"/>
  <pageSetup orientation="portrait" r:id="rId7"/>
  <drawing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B7D2C-200E-4AE6-AAF8-9BFB20DC87E8}">
  <sheetPr codeName="Sheet9"/>
  <dimension ref="A1:CA146"/>
  <sheetViews>
    <sheetView zoomScale="93" zoomScaleNormal="120" workbookViewId="0">
      <pane ySplit="1" topLeftCell="A2" activePane="bottomLeft" state="frozen"/>
      <selection activeCell="O16" sqref="N16:P17"/>
      <selection pane="bottomLeft"/>
    </sheetView>
  </sheetViews>
  <sheetFormatPr defaultRowHeight="14.5"/>
  <cols>
    <col min="1" max="1" width="35" style="671" customWidth="1"/>
    <col min="2" max="3" width="14.81640625" style="671" customWidth="1"/>
    <col min="4" max="5" width="25.54296875" style="671" customWidth="1"/>
    <col min="6" max="6" width="25.54296875" style="617" customWidth="1"/>
    <col min="7" max="7" width="25.54296875" style="667" customWidth="1"/>
    <col min="8" max="8" width="25.54296875" style="617" customWidth="1"/>
    <col min="9" max="10" width="25.54296875" style="671" customWidth="1"/>
    <col min="11" max="16384" width="8.7265625" style="671"/>
  </cols>
  <sheetData>
    <row r="1" spans="1:79" ht="26.15" customHeight="1">
      <c r="A1" s="411" t="s">
        <v>1139</v>
      </c>
      <c r="B1" s="412"/>
      <c r="C1" s="412"/>
      <c r="D1" s="413" t="str">
        <f>'DEHP Crosswalk'!R8</f>
        <v>Auto Care Products</v>
      </c>
      <c r="E1" s="669" t="str">
        <f>'DEHP Crosswalk'!S8</f>
        <v>Auto Coatings</v>
      </c>
      <c r="F1" s="669" t="str">
        <f>'DEHP Crosswalk'!T8</f>
        <v>Auto Repair Putty</v>
      </c>
      <c r="G1" s="669" t="str">
        <f>'DEHP Crosswalk'!U8</f>
        <v>Concrete Sealant</v>
      </c>
      <c r="H1" s="669" t="str">
        <f>'DEHP Crosswalk'!V8</f>
        <v>Flooring Adhesive</v>
      </c>
      <c r="I1" s="413" t="str">
        <f>'DEHP Crosswalk'!W8</f>
        <v>Fragrance Oil</v>
      </c>
      <c r="J1" s="669" t="str">
        <f>'DEHP Crosswalk'!X8</f>
        <v>Inductance Loop Sealant</v>
      </c>
    </row>
    <row r="2" spans="1:79" s="618" customFormat="1">
      <c r="A2" s="668" t="s">
        <v>1140</v>
      </c>
      <c r="B2" s="668"/>
      <c r="C2" s="668"/>
      <c r="D2" s="668" t="s">
        <v>1141</v>
      </c>
      <c r="E2" s="668" t="s">
        <v>1141</v>
      </c>
      <c r="F2" s="668" t="s">
        <v>1141</v>
      </c>
      <c r="G2" s="668" t="s">
        <v>1141</v>
      </c>
      <c r="H2" s="668" t="s">
        <v>1141</v>
      </c>
      <c r="I2" s="668" t="s">
        <v>1141</v>
      </c>
      <c r="J2" s="668" t="s">
        <v>1141</v>
      </c>
      <c r="K2" s="668"/>
      <c r="L2" s="668"/>
      <c r="M2" s="668"/>
      <c r="N2" s="668"/>
      <c r="O2" s="668"/>
      <c r="P2" s="668"/>
      <c r="Q2" s="668"/>
      <c r="R2" s="668"/>
      <c r="S2" s="668"/>
      <c r="T2" s="668"/>
      <c r="U2" s="668"/>
      <c r="V2" s="668"/>
    </row>
    <row r="3" spans="1:79" s="418" customFormat="1">
      <c r="A3" s="414" t="s">
        <v>1142</v>
      </c>
      <c r="B3" s="415" t="s">
        <v>1143</v>
      </c>
      <c r="C3" s="415" t="s">
        <v>1058</v>
      </c>
      <c r="D3" s="415" t="s">
        <v>644</v>
      </c>
      <c r="E3" s="415" t="s">
        <v>644</v>
      </c>
      <c r="F3" s="415" t="s">
        <v>644</v>
      </c>
      <c r="G3" s="415" t="s">
        <v>644</v>
      </c>
      <c r="H3" s="415" t="s">
        <v>644</v>
      </c>
      <c r="I3" s="416" t="s">
        <v>644</v>
      </c>
      <c r="J3" s="416" t="s">
        <v>644</v>
      </c>
      <c r="K3" s="417"/>
      <c r="L3" s="417"/>
      <c r="M3" s="417"/>
      <c r="N3" s="417"/>
      <c r="O3" s="417"/>
      <c r="P3" s="417"/>
      <c r="Q3" s="417"/>
      <c r="R3" s="417"/>
      <c r="S3" s="417"/>
      <c r="T3" s="417"/>
      <c r="U3" s="417"/>
      <c r="V3" s="417"/>
      <c r="W3" s="671"/>
      <c r="X3" s="671"/>
      <c r="Y3" s="671"/>
      <c r="Z3" s="671"/>
      <c r="AA3" s="671"/>
      <c r="AB3" s="671"/>
      <c r="AC3" s="671"/>
      <c r="AD3" s="671"/>
      <c r="AE3" s="671"/>
      <c r="AF3" s="671"/>
      <c r="AG3" s="671"/>
      <c r="AH3" s="671"/>
      <c r="AI3" s="671"/>
      <c r="AJ3" s="671"/>
      <c r="AK3" s="671"/>
      <c r="AL3" s="671"/>
      <c r="AM3" s="671"/>
      <c r="AN3" s="671"/>
      <c r="AO3" s="671"/>
      <c r="AP3" s="671"/>
      <c r="AQ3" s="671"/>
      <c r="AR3" s="671"/>
      <c r="AS3" s="671"/>
      <c r="AT3" s="671"/>
      <c r="AU3" s="671"/>
      <c r="AV3" s="671"/>
      <c r="AW3" s="671"/>
      <c r="AX3" s="671"/>
      <c r="AY3" s="671"/>
      <c r="AZ3" s="671"/>
      <c r="BA3" s="671"/>
      <c r="BB3" s="671"/>
      <c r="BC3" s="671"/>
      <c r="BD3" s="671"/>
      <c r="BE3" s="671"/>
      <c r="BF3" s="671"/>
      <c r="BG3" s="671"/>
      <c r="BH3" s="671"/>
      <c r="BI3" s="671"/>
      <c r="BJ3" s="671"/>
      <c r="BK3" s="671"/>
      <c r="BL3" s="671"/>
      <c r="BM3" s="671"/>
      <c r="BN3" s="671"/>
      <c r="BO3" s="671"/>
      <c r="BP3" s="671"/>
      <c r="BQ3" s="671"/>
      <c r="BR3" s="671"/>
      <c r="BS3" s="671"/>
      <c r="BT3" s="671"/>
      <c r="BU3" s="671"/>
      <c r="BV3" s="671"/>
      <c r="BW3" s="671"/>
      <c r="BX3" s="671"/>
      <c r="BY3" s="671"/>
      <c r="BZ3" s="671"/>
      <c r="CA3" s="671"/>
    </row>
    <row r="4" spans="1:79" s="618" customFormat="1" ht="40.5" customHeight="1">
      <c r="A4" s="817" t="s">
        <v>1144</v>
      </c>
      <c r="B4" s="818"/>
      <c r="C4" s="654"/>
      <c r="D4" s="419" t="s">
        <v>1145</v>
      </c>
      <c r="E4" s="419" t="s">
        <v>1145</v>
      </c>
      <c r="F4" s="419" t="s">
        <v>1145</v>
      </c>
      <c r="G4" s="419" t="s">
        <v>1145</v>
      </c>
      <c r="H4" s="419" t="s">
        <v>1145</v>
      </c>
      <c r="I4" s="270" t="s">
        <v>1146</v>
      </c>
      <c r="J4" s="270" t="s">
        <v>1145</v>
      </c>
      <c r="K4" s="420"/>
      <c r="L4" s="420"/>
      <c r="M4" s="420"/>
      <c r="N4" s="420"/>
      <c r="O4" s="420"/>
      <c r="P4" s="420"/>
      <c r="Q4" s="420"/>
      <c r="R4" s="420"/>
      <c r="S4" s="420"/>
      <c r="T4" s="420"/>
      <c r="U4" s="420"/>
      <c r="V4" s="420"/>
    </row>
    <row r="5" spans="1:79" s="618" customFormat="1" ht="17.5" customHeight="1">
      <c r="A5" s="653" t="s">
        <v>1147</v>
      </c>
      <c r="B5" s="421" t="s">
        <v>1148</v>
      </c>
      <c r="C5" s="421"/>
      <c r="D5" s="235">
        <v>1</v>
      </c>
      <c r="E5" s="235">
        <v>1</v>
      </c>
      <c r="F5" s="235">
        <v>1</v>
      </c>
      <c r="G5" s="235">
        <v>1</v>
      </c>
      <c r="H5" s="235">
        <v>1</v>
      </c>
      <c r="I5" s="235">
        <v>1</v>
      </c>
      <c r="J5" s="235">
        <v>1</v>
      </c>
      <c r="K5" s="420"/>
      <c r="L5" s="420"/>
      <c r="M5" s="420"/>
      <c r="N5" s="420"/>
      <c r="O5" s="420"/>
      <c r="P5" s="420"/>
      <c r="Q5" s="420"/>
      <c r="R5" s="420"/>
      <c r="S5" s="420"/>
      <c r="T5" s="420"/>
      <c r="U5" s="420"/>
      <c r="V5" s="420"/>
    </row>
    <row r="6" spans="1:79" s="618" customFormat="1" ht="23.15" customHeight="1">
      <c r="A6" s="653" t="s">
        <v>1147</v>
      </c>
      <c r="B6" s="421" t="s">
        <v>1149</v>
      </c>
      <c r="C6" s="421"/>
      <c r="D6" s="235">
        <v>52</v>
      </c>
      <c r="E6" s="235">
        <v>52</v>
      </c>
      <c r="F6" s="235">
        <v>2</v>
      </c>
      <c r="G6" s="235">
        <v>365</v>
      </c>
      <c r="H6" s="235">
        <v>2</v>
      </c>
      <c r="I6" s="235">
        <v>52</v>
      </c>
      <c r="J6" s="422">
        <v>365</v>
      </c>
      <c r="K6" s="420"/>
      <c r="L6" s="420"/>
      <c r="M6" s="420"/>
      <c r="N6" s="420"/>
      <c r="O6" s="420"/>
      <c r="P6" s="420"/>
      <c r="Q6" s="420"/>
      <c r="R6" s="420"/>
      <c r="S6" s="420"/>
      <c r="T6" s="420"/>
      <c r="U6" s="420"/>
      <c r="V6" s="420"/>
    </row>
    <row r="7" spans="1:79" s="618" customFormat="1" ht="19.5" customHeight="1">
      <c r="A7" s="819" t="s">
        <v>1150</v>
      </c>
      <c r="B7" s="821" t="s">
        <v>1151</v>
      </c>
      <c r="C7" s="423" t="s">
        <v>69</v>
      </c>
      <c r="D7" s="423">
        <v>120</v>
      </c>
      <c r="E7" s="423">
        <v>120</v>
      </c>
      <c r="F7" s="423">
        <v>120</v>
      </c>
      <c r="G7" s="423">
        <v>480</v>
      </c>
      <c r="H7" s="423">
        <v>480</v>
      </c>
      <c r="I7" s="423">
        <v>120</v>
      </c>
      <c r="J7" s="423">
        <v>480</v>
      </c>
      <c r="K7" s="420"/>
      <c r="L7" s="420"/>
      <c r="M7" s="420"/>
      <c r="N7" s="420"/>
      <c r="O7" s="420"/>
      <c r="P7" s="420"/>
      <c r="Q7" s="420"/>
      <c r="R7" s="420"/>
      <c r="S7" s="420"/>
      <c r="T7" s="420"/>
      <c r="U7" s="420"/>
      <c r="V7" s="420"/>
    </row>
    <row r="8" spans="1:79" s="618" customFormat="1" ht="18.649999999999999" customHeight="1">
      <c r="A8" s="820"/>
      <c r="B8" s="822"/>
      <c r="C8" s="423" t="s">
        <v>67</v>
      </c>
      <c r="D8" s="423">
        <v>60</v>
      </c>
      <c r="E8" s="423">
        <v>60</v>
      </c>
      <c r="F8" s="423">
        <v>60</v>
      </c>
      <c r="G8" s="423">
        <v>240</v>
      </c>
      <c r="H8" s="423">
        <v>240</v>
      </c>
      <c r="I8" s="423">
        <v>60</v>
      </c>
      <c r="J8" s="423">
        <v>240</v>
      </c>
      <c r="K8" s="420"/>
      <c r="L8" s="420"/>
      <c r="M8" s="420"/>
      <c r="N8" s="420"/>
      <c r="O8" s="420"/>
      <c r="P8" s="420"/>
      <c r="Q8" s="420"/>
      <c r="R8" s="420"/>
      <c r="S8" s="420"/>
      <c r="T8" s="420"/>
      <c r="U8" s="420"/>
      <c r="V8" s="420"/>
    </row>
    <row r="9" spans="1:79" s="618" customFormat="1" ht="15" customHeight="1">
      <c r="A9" s="820"/>
      <c r="B9" s="822"/>
      <c r="C9" s="423" t="s">
        <v>65</v>
      </c>
      <c r="D9" s="423">
        <v>30</v>
      </c>
      <c r="E9" s="423">
        <v>30</v>
      </c>
      <c r="F9" s="423">
        <v>30</v>
      </c>
      <c r="G9" s="423">
        <v>120</v>
      </c>
      <c r="H9" s="423">
        <v>120</v>
      </c>
      <c r="I9" s="423">
        <v>30</v>
      </c>
      <c r="J9" s="423">
        <v>120</v>
      </c>
      <c r="K9" s="420"/>
      <c r="L9" s="420"/>
      <c r="M9" s="420"/>
      <c r="N9" s="420"/>
      <c r="O9" s="420"/>
      <c r="P9" s="420"/>
      <c r="Q9" s="420"/>
      <c r="R9" s="420"/>
      <c r="S9" s="420"/>
      <c r="T9" s="420"/>
      <c r="U9" s="420"/>
      <c r="V9" s="420"/>
    </row>
    <row r="10" spans="1:79" s="428" customFormat="1" ht="20.149999999999999" customHeight="1">
      <c r="A10" s="424" t="s">
        <v>1152</v>
      </c>
      <c r="B10" s="425"/>
      <c r="C10" s="425"/>
      <c r="D10" s="426"/>
      <c r="E10" s="426"/>
      <c r="F10" s="426"/>
      <c r="G10" s="426"/>
      <c r="H10" s="426"/>
      <c r="I10" s="427"/>
      <c r="J10" s="427"/>
      <c r="K10" s="420"/>
      <c r="L10" s="420"/>
      <c r="M10" s="420"/>
      <c r="N10" s="420"/>
      <c r="O10" s="420"/>
      <c r="P10" s="420"/>
      <c r="Q10" s="420"/>
      <c r="R10" s="420"/>
      <c r="S10" s="420"/>
      <c r="T10" s="420"/>
      <c r="U10" s="420"/>
      <c r="V10" s="420"/>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18"/>
      <c r="AT10" s="618"/>
      <c r="AU10" s="618"/>
      <c r="AV10" s="618"/>
      <c r="AW10" s="618"/>
      <c r="AX10" s="618"/>
      <c r="AY10" s="618"/>
      <c r="AZ10" s="618"/>
      <c r="BA10" s="618"/>
      <c r="BB10" s="618"/>
      <c r="BC10" s="618"/>
      <c r="BD10" s="618"/>
      <c r="BE10" s="618"/>
      <c r="BF10" s="618"/>
      <c r="BG10" s="618"/>
      <c r="BH10" s="618"/>
      <c r="BI10" s="618"/>
      <c r="BJ10" s="618"/>
      <c r="BK10" s="618"/>
      <c r="BL10" s="618"/>
      <c r="BM10" s="618"/>
      <c r="BN10" s="618"/>
      <c r="BO10" s="618"/>
      <c r="BP10" s="618"/>
      <c r="BQ10" s="618"/>
      <c r="BR10" s="618"/>
      <c r="BS10" s="618"/>
      <c r="BT10" s="618"/>
      <c r="BU10" s="618"/>
      <c r="BV10" s="618"/>
      <c r="BW10" s="618"/>
      <c r="BX10" s="618"/>
      <c r="BY10" s="618"/>
      <c r="BZ10" s="618"/>
      <c r="CA10" s="618"/>
    </row>
    <row r="11" spans="1:79" s="618" customFormat="1" ht="32.5" customHeight="1">
      <c r="A11" s="815" t="s">
        <v>1153</v>
      </c>
      <c r="B11" s="816"/>
      <c r="C11" s="652"/>
      <c r="D11" s="429" t="s">
        <v>1154</v>
      </c>
      <c r="E11" s="429" t="s">
        <v>1154</v>
      </c>
      <c r="F11" s="807" t="s">
        <v>1155</v>
      </c>
      <c r="G11" s="429" t="s">
        <v>1154</v>
      </c>
      <c r="H11" s="429" t="s">
        <v>1156</v>
      </c>
      <c r="I11" s="429" t="s">
        <v>1157</v>
      </c>
      <c r="J11" s="429" t="s">
        <v>1154</v>
      </c>
    </row>
    <row r="12" spans="1:79" s="618" customFormat="1" ht="44.5" customHeight="1">
      <c r="A12" s="815" t="s">
        <v>1158</v>
      </c>
      <c r="B12" s="816"/>
      <c r="C12" s="652"/>
      <c r="D12" s="429" t="s">
        <v>1159</v>
      </c>
      <c r="E12" s="429" t="s">
        <v>1159</v>
      </c>
      <c r="F12" s="808"/>
      <c r="G12" s="429" t="s">
        <v>1159</v>
      </c>
      <c r="H12" s="429" t="s">
        <v>1160</v>
      </c>
      <c r="I12" s="429" t="s">
        <v>1161</v>
      </c>
      <c r="J12" s="429" t="s">
        <v>1159</v>
      </c>
    </row>
    <row r="13" spans="1:79" s="618" customFormat="1" ht="14.5" customHeight="1">
      <c r="A13" s="430" t="s">
        <v>1162</v>
      </c>
      <c r="B13" s="430" t="s">
        <v>1143</v>
      </c>
      <c r="C13" s="430"/>
      <c r="D13" s="415" t="s">
        <v>644</v>
      </c>
      <c r="E13" s="415" t="s">
        <v>644</v>
      </c>
      <c r="F13" s="415" t="s">
        <v>644</v>
      </c>
      <c r="G13" s="415" t="s">
        <v>644</v>
      </c>
      <c r="H13" s="415" t="s">
        <v>644</v>
      </c>
      <c r="I13" s="415" t="s">
        <v>644</v>
      </c>
      <c r="J13" s="415" t="s">
        <v>644</v>
      </c>
    </row>
    <row r="14" spans="1:79">
      <c r="A14" s="431" t="s">
        <v>1163</v>
      </c>
      <c r="B14" s="432"/>
      <c r="C14" s="432"/>
      <c r="D14" s="433"/>
      <c r="E14" s="433"/>
      <c r="F14" s="434"/>
      <c r="G14" s="433"/>
      <c r="H14" s="434"/>
      <c r="I14" s="433"/>
      <c r="J14" s="433"/>
    </row>
    <row r="15" spans="1:79">
      <c r="A15" s="809" t="s">
        <v>1164</v>
      </c>
      <c r="B15" s="812" t="s">
        <v>1165</v>
      </c>
      <c r="C15" s="423" t="s">
        <v>69</v>
      </c>
      <c r="D15" s="435">
        <v>0.05</v>
      </c>
      <c r="E15" s="435">
        <v>0.05</v>
      </c>
      <c r="F15" s="435">
        <v>0.3</v>
      </c>
      <c r="G15" s="435">
        <v>3.9E-2</v>
      </c>
      <c r="H15" s="435">
        <v>0.01</v>
      </c>
      <c r="I15" s="435">
        <v>0.7</v>
      </c>
      <c r="J15" s="435">
        <v>0.31</v>
      </c>
    </row>
    <row r="16" spans="1:79">
      <c r="A16" s="810"/>
      <c r="B16" s="813"/>
      <c r="C16" s="423" t="s">
        <v>67</v>
      </c>
      <c r="D16" s="435">
        <v>2.1250000000000002E-2</v>
      </c>
      <c r="E16" s="435">
        <v>2.1250000000000002E-2</v>
      </c>
      <c r="F16" s="435">
        <v>0.16625000000000001</v>
      </c>
      <c r="G16" s="435">
        <v>3.9E-2</v>
      </c>
      <c r="H16" s="435">
        <v>5.5000000000000005E-3</v>
      </c>
      <c r="I16" s="435">
        <v>0.65</v>
      </c>
      <c r="J16" s="435">
        <v>0.30499999999999999</v>
      </c>
    </row>
    <row r="17" spans="1:49">
      <c r="A17" s="811"/>
      <c r="B17" s="814"/>
      <c r="C17" s="423" t="s">
        <v>65</v>
      </c>
      <c r="D17" s="435">
        <v>0.01</v>
      </c>
      <c r="E17" s="435">
        <v>0.01</v>
      </c>
      <c r="F17" s="435">
        <v>0.03</v>
      </c>
      <c r="G17" s="435">
        <v>3.9E-2</v>
      </c>
      <c r="H17" s="435">
        <v>1E-3</v>
      </c>
      <c r="I17" s="435">
        <v>0.6</v>
      </c>
      <c r="J17" s="435">
        <v>0.3</v>
      </c>
    </row>
    <row r="18" spans="1:49" s="440" customFormat="1">
      <c r="A18" s="436" t="s">
        <v>1166</v>
      </c>
      <c r="B18" s="437" t="s">
        <v>1167</v>
      </c>
      <c r="C18" s="437"/>
      <c r="D18" s="438" t="s">
        <v>768</v>
      </c>
      <c r="E18" s="438" t="s">
        <v>768</v>
      </c>
      <c r="F18" s="439" t="s">
        <v>768</v>
      </c>
      <c r="G18" s="438" t="s">
        <v>768</v>
      </c>
      <c r="H18" s="439" t="s">
        <v>768</v>
      </c>
      <c r="I18" s="438" t="s">
        <v>768</v>
      </c>
      <c r="J18" s="438" t="s">
        <v>768</v>
      </c>
      <c r="K18" s="671"/>
      <c r="L18" s="671"/>
      <c r="M18" s="671"/>
      <c r="N18" s="671"/>
      <c r="O18" s="671"/>
      <c r="P18" s="671"/>
      <c r="Q18" s="671"/>
      <c r="R18" s="671"/>
      <c r="S18" s="671"/>
      <c r="T18" s="671"/>
      <c r="U18" s="671"/>
      <c r="V18" s="671"/>
      <c r="W18" s="671"/>
      <c r="X18" s="671"/>
      <c r="Y18" s="671"/>
      <c r="Z18" s="671"/>
      <c r="AA18" s="671"/>
      <c r="AB18" s="671"/>
      <c r="AC18" s="671"/>
      <c r="AD18" s="671"/>
      <c r="AE18" s="671"/>
      <c r="AF18" s="671"/>
      <c r="AG18" s="671"/>
      <c r="AH18" s="671"/>
      <c r="AI18" s="671"/>
      <c r="AJ18" s="671"/>
      <c r="AK18" s="671"/>
      <c r="AL18" s="671"/>
      <c r="AM18" s="671"/>
      <c r="AN18" s="671"/>
      <c r="AO18" s="671"/>
      <c r="AP18" s="671"/>
      <c r="AQ18" s="671"/>
      <c r="AR18" s="671"/>
      <c r="AS18" s="671"/>
      <c r="AT18" s="671"/>
      <c r="AU18" s="671"/>
      <c r="AV18" s="671"/>
      <c r="AW18" s="671"/>
    </row>
    <row r="19" spans="1:49">
      <c r="A19" s="441" t="s">
        <v>1168</v>
      </c>
      <c r="B19" s="244" t="s">
        <v>1169</v>
      </c>
      <c r="C19" s="244"/>
      <c r="D19" s="239">
        <v>0</v>
      </c>
      <c r="E19" s="239">
        <v>0</v>
      </c>
      <c r="F19" s="632">
        <v>0</v>
      </c>
      <c r="G19" s="239">
        <v>0</v>
      </c>
      <c r="H19" s="632">
        <v>0</v>
      </c>
      <c r="I19" s="127"/>
      <c r="J19" s="239">
        <v>0</v>
      </c>
    </row>
    <row r="20" spans="1:49">
      <c r="A20" s="441" t="s">
        <v>1170</v>
      </c>
      <c r="B20" s="244" t="s">
        <v>1171</v>
      </c>
      <c r="C20" s="244"/>
      <c r="D20" s="239">
        <v>0</v>
      </c>
      <c r="E20" s="239">
        <v>0</v>
      </c>
      <c r="F20" s="632">
        <v>0</v>
      </c>
      <c r="G20" s="239">
        <v>0</v>
      </c>
      <c r="H20" s="632">
        <v>0</v>
      </c>
      <c r="I20" s="127"/>
      <c r="J20" s="239">
        <v>0</v>
      </c>
    </row>
    <row r="21" spans="1:49">
      <c r="A21" s="441" t="s">
        <v>1172</v>
      </c>
      <c r="B21" s="244" t="s">
        <v>47</v>
      </c>
      <c r="C21" s="244"/>
      <c r="D21" s="239" t="s">
        <v>1173</v>
      </c>
      <c r="E21" s="239" t="s">
        <v>1173</v>
      </c>
      <c r="F21" s="632" t="s">
        <v>1173</v>
      </c>
      <c r="G21" s="239" t="s">
        <v>952</v>
      </c>
      <c r="H21" s="632" t="s">
        <v>1173</v>
      </c>
      <c r="I21" s="244" t="s">
        <v>1174</v>
      </c>
      <c r="J21" s="239" t="s">
        <v>952</v>
      </c>
    </row>
    <row r="22" spans="1:49">
      <c r="A22" s="441" t="s">
        <v>1175</v>
      </c>
      <c r="B22" s="244" t="s">
        <v>47</v>
      </c>
      <c r="C22" s="244"/>
      <c r="D22" s="239" t="s">
        <v>1176</v>
      </c>
      <c r="E22" s="239" t="s">
        <v>1176</v>
      </c>
      <c r="F22" s="632" t="s">
        <v>1176</v>
      </c>
      <c r="G22" s="239" t="s">
        <v>1176</v>
      </c>
      <c r="H22" s="632" t="s">
        <v>1176</v>
      </c>
      <c r="I22" s="244" t="s">
        <v>1176</v>
      </c>
      <c r="J22" s="239" t="s">
        <v>1176</v>
      </c>
    </row>
    <row r="23" spans="1:49">
      <c r="A23" s="441" t="s">
        <v>1177</v>
      </c>
      <c r="B23" s="244" t="s">
        <v>47</v>
      </c>
      <c r="C23" s="244"/>
      <c r="D23" s="239" t="s">
        <v>1145</v>
      </c>
      <c r="E23" s="239" t="s">
        <v>1145</v>
      </c>
      <c r="F23" s="632" t="s">
        <v>1145</v>
      </c>
      <c r="G23" s="239" t="s">
        <v>1145</v>
      </c>
      <c r="H23" s="632" t="s">
        <v>1145</v>
      </c>
      <c r="I23" s="244" t="s">
        <v>1178</v>
      </c>
      <c r="J23" s="239" t="s">
        <v>1145</v>
      </c>
    </row>
    <row r="24" spans="1:49">
      <c r="A24" s="441" t="s">
        <v>1179</v>
      </c>
      <c r="B24" s="244" t="s">
        <v>47</v>
      </c>
      <c r="C24" s="244"/>
      <c r="D24" s="239" t="s">
        <v>1180</v>
      </c>
      <c r="E24" s="239" t="s">
        <v>1180</v>
      </c>
      <c r="F24" s="632" t="s">
        <v>1181</v>
      </c>
      <c r="G24" s="239" t="s">
        <v>1180</v>
      </c>
      <c r="H24" s="632" t="s">
        <v>1180</v>
      </c>
      <c r="I24" s="239" t="s">
        <v>1180</v>
      </c>
      <c r="J24" s="239" t="s">
        <v>1180</v>
      </c>
    </row>
    <row r="25" spans="1:49" ht="29">
      <c r="A25" s="441" t="s">
        <v>1182</v>
      </c>
      <c r="B25" s="244" t="s">
        <v>47</v>
      </c>
      <c r="C25" s="244"/>
      <c r="D25" s="632" t="s">
        <v>1183</v>
      </c>
      <c r="E25" s="632" t="s">
        <v>1183</v>
      </c>
      <c r="F25" s="632" t="s">
        <v>1183</v>
      </c>
      <c r="G25" s="632" t="s">
        <v>1183</v>
      </c>
      <c r="H25" s="632" t="s">
        <v>1183</v>
      </c>
      <c r="I25" s="632" t="s">
        <v>1183</v>
      </c>
      <c r="J25" s="632" t="s">
        <v>1183</v>
      </c>
    </row>
    <row r="26" spans="1:49" ht="29">
      <c r="A26" s="441" t="s">
        <v>1184</v>
      </c>
      <c r="B26" s="244" t="s">
        <v>47</v>
      </c>
      <c r="C26" s="244"/>
      <c r="D26" s="632" t="s">
        <v>1185</v>
      </c>
      <c r="E26" s="632" t="s">
        <v>1185</v>
      </c>
      <c r="F26" s="632" t="s">
        <v>1185</v>
      </c>
      <c r="G26" s="632" t="s">
        <v>1185</v>
      </c>
      <c r="H26" s="632" t="s">
        <v>1185</v>
      </c>
      <c r="I26" s="632" t="s">
        <v>1185</v>
      </c>
      <c r="J26" s="632" t="s">
        <v>1185</v>
      </c>
    </row>
    <row r="27" spans="1:49" s="440" customFormat="1">
      <c r="A27" s="436" t="s">
        <v>1186</v>
      </c>
      <c r="B27" s="437" t="s">
        <v>47</v>
      </c>
      <c r="C27" s="437"/>
      <c r="D27" s="438" t="s">
        <v>768</v>
      </c>
      <c r="E27" s="438" t="s">
        <v>768</v>
      </c>
      <c r="F27" s="439" t="s">
        <v>768</v>
      </c>
      <c r="G27" s="438" t="s">
        <v>768</v>
      </c>
      <c r="H27" s="439" t="s">
        <v>768</v>
      </c>
      <c r="I27" s="442"/>
      <c r="J27" s="438" t="s">
        <v>768</v>
      </c>
      <c r="K27" s="671"/>
      <c r="L27" s="671"/>
      <c r="M27" s="671"/>
      <c r="N27" s="671"/>
      <c r="O27" s="671"/>
      <c r="P27" s="671"/>
      <c r="Q27" s="671"/>
      <c r="R27" s="671"/>
      <c r="S27" s="671"/>
      <c r="T27" s="671"/>
      <c r="U27" s="671"/>
      <c r="V27" s="671"/>
      <c r="W27" s="671"/>
      <c r="X27" s="671"/>
      <c r="Y27" s="671"/>
      <c r="Z27" s="671"/>
      <c r="AA27" s="671"/>
      <c r="AB27" s="671"/>
      <c r="AC27" s="671"/>
      <c r="AD27" s="671"/>
      <c r="AE27" s="671"/>
      <c r="AF27" s="671"/>
      <c r="AG27" s="671"/>
      <c r="AH27" s="671"/>
      <c r="AI27" s="671"/>
      <c r="AJ27" s="671"/>
      <c r="AK27" s="671"/>
      <c r="AL27" s="671"/>
      <c r="AM27" s="671"/>
      <c r="AN27" s="671"/>
      <c r="AO27" s="671"/>
      <c r="AP27" s="671"/>
      <c r="AQ27" s="671"/>
      <c r="AR27" s="671"/>
      <c r="AS27" s="671"/>
      <c r="AT27" s="671"/>
      <c r="AU27" s="671"/>
      <c r="AV27" s="671"/>
      <c r="AW27" s="671"/>
    </row>
    <row r="28" spans="1:49">
      <c r="A28" s="441" t="s">
        <v>1187</v>
      </c>
      <c r="B28" s="244" t="s">
        <v>47</v>
      </c>
      <c r="C28" s="244"/>
      <c r="D28" s="239" t="s">
        <v>768</v>
      </c>
      <c r="E28" s="239" t="s">
        <v>768</v>
      </c>
      <c r="F28" s="632" t="s">
        <v>1188</v>
      </c>
      <c r="G28" s="239" t="s">
        <v>768</v>
      </c>
      <c r="H28" s="632" t="s">
        <v>1188</v>
      </c>
      <c r="I28" s="244" t="s">
        <v>768</v>
      </c>
      <c r="J28" s="239" t="s">
        <v>768</v>
      </c>
    </row>
    <row r="29" spans="1:49">
      <c r="A29" s="431" t="s">
        <v>1189</v>
      </c>
      <c r="B29" s="432"/>
      <c r="C29" s="432"/>
      <c r="D29" s="433"/>
      <c r="E29" s="433"/>
      <c r="F29" s="434"/>
      <c r="G29" s="433"/>
      <c r="H29" s="434"/>
      <c r="I29" s="433"/>
      <c r="J29" s="433"/>
    </row>
    <row r="30" spans="1:49">
      <c r="A30" s="443" t="s">
        <v>1190</v>
      </c>
      <c r="B30" s="444"/>
      <c r="C30" s="444"/>
      <c r="D30" s="445"/>
      <c r="E30" s="445"/>
      <c r="F30" s="446"/>
      <c r="G30" s="445"/>
      <c r="H30" s="446"/>
      <c r="I30" s="445"/>
      <c r="J30" s="445"/>
    </row>
    <row r="31" spans="1:49">
      <c r="A31" s="441" t="s">
        <v>1191</v>
      </c>
      <c r="B31" s="127" t="s">
        <v>1192</v>
      </c>
      <c r="C31" s="127"/>
      <c r="D31" s="239" t="s">
        <v>768</v>
      </c>
      <c r="E31" s="239" t="s">
        <v>768</v>
      </c>
      <c r="F31" s="632" t="s">
        <v>768</v>
      </c>
      <c r="G31" s="239" t="s">
        <v>768</v>
      </c>
      <c r="H31" s="632" t="s">
        <v>768</v>
      </c>
      <c r="I31" s="127"/>
      <c r="J31" s="239" t="s">
        <v>768</v>
      </c>
    </row>
    <row r="32" spans="1:49">
      <c r="A32" s="441" t="s">
        <v>1193</v>
      </c>
      <c r="B32" s="127" t="s">
        <v>664</v>
      </c>
      <c r="C32" s="127"/>
      <c r="D32" s="239">
        <v>0.95</v>
      </c>
      <c r="E32" s="239">
        <v>0.95</v>
      </c>
      <c r="F32" s="632">
        <v>1.38</v>
      </c>
      <c r="G32" s="239">
        <v>0.95</v>
      </c>
      <c r="H32" s="632">
        <v>0.72599999999999998</v>
      </c>
      <c r="I32" s="127"/>
      <c r="J32" s="239">
        <v>0.88</v>
      </c>
    </row>
    <row r="33" spans="1:49" s="440" customFormat="1">
      <c r="A33" s="436" t="s">
        <v>1194</v>
      </c>
      <c r="B33" s="442" t="s">
        <v>1195</v>
      </c>
      <c r="C33" s="442"/>
      <c r="D33" s="438" t="s">
        <v>768</v>
      </c>
      <c r="E33" s="438" t="s">
        <v>768</v>
      </c>
      <c r="F33" s="439" t="s">
        <v>768</v>
      </c>
      <c r="G33" s="438" t="s">
        <v>768</v>
      </c>
      <c r="H33" s="439" t="s">
        <v>768</v>
      </c>
      <c r="I33" s="442"/>
      <c r="J33" s="438" t="s">
        <v>768</v>
      </c>
      <c r="K33" s="671"/>
      <c r="L33" s="671"/>
      <c r="M33" s="671"/>
      <c r="N33" s="671"/>
      <c r="O33" s="671"/>
      <c r="P33" s="671"/>
      <c r="Q33" s="671"/>
      <c r="R33" s="671"/>
      <c r="S33" s="671"/>
      <c r="T33" s="671"/>
      <c r="U33" s="671"/>
      <c r="V33" s="671"/>
      <c r="W33" s="671"/>
      <c r="X33" s="671"/>
      <c r="Y33" s="671"/>
      <c r="Z33" s="671"/>
      <c r="AA33" s="671"/>
      <c r="AB33" s="671"/>
      <c r="AC33" s="671"/>
      <c r="AD33" s="671"/>
      <c r="AE33" s="671"/>
      <c r="AF33" s="671"/>
      <c r="AG33" s="671"/>
      <c r="AH33" s="671"/>
      <c r="AI33" s="671"/>
      <c r="AJ33" s="671"/>
      <c r="AK33" s="671"/>
      <c r="AL33" s="671"/>
      <c r="AM33" s="671"/>
      <c r="AN33" s="671"/>
      <c r="AO33" s="671"/>
      <c r="AP33" s="671"/>
      <c r="AQ33" s="671"/>
      <c r="AR33" s="671"/>
      <c r="AS33" s="671"/>
      <c r="AT33" s="671"/>
      <c r="AU33" s="671"/>
      <c r="AV33" s="671"/>
      <c r="AW33" s="671"/>
    </row>
    <row r="34" spans="1:49" s="440" customFormat="1">
      <c r="A34" s="436" t="s">
        <v>1196</v>
      </c>
      <c r="B34" s="442" t="s">
        <v>1197</v>
      </c>
      <c r="C34" s="442"/>
      <c r="D34" s="438" t="s">
        <v>768</v>
      </c>
      <c r="E34" s="438" t="s">
        <v>768</v>
      </c>
      <c r="F34" s="439" t="s">
        <v>768</v>
      </c>
      <c r="G34" s="438" t="s">
        <v>768</v>
      </c>
      <c r="H34" s="439" t="s">
        <v>768</v>
      </c>
      <c r="I34" s="442"/>
      <c r="J34" s="438" t="s">
        <v>768</v>
      </c>
      <c r="K34" s="671"/>
      <c r="L34" s="671"/>
      <c r="M34" s="671"/>
      <c r="N34" s="671"/>
      <c r="O34" s="671"/>
      <c r="P34" s="671"/>
      <c r="Q34" s="671"/>
      <c r="R34" s="671"/>
      <c r="S34" s="671"/>
      <c r="T34" s="671"/>
      <c r="U34" s="671"/>
      <c r="V34" s="671"/>
      <c r="W34" s="671"/>
      <c r="X34" s="671"/>
      <c r="Y34" s="671"/>
      <c r="Z34" s="671"/>
      <c r="AA34" s="671"/>
      <c r="AB34" s="671"/>
      <c r="AC34" s="671"/>
      <c r="AD34" s="671"/>
      <c r="AE34" s="671"/>
      <c r="AF34" s="671"/>
      <c r="AG34" s="671"/>
      <c r="AH34" s="671"/>
      <c r="AI34" s="671"/>
      <c r="AJ34" s="671"/>
      <c r="AK34" s="671"/>
      <c r="AL34" s="671"/>
      <c r="AM34" s="671"/>
      <c r="AN34" s="671"/>
      <c r="AO34" s="671"/>
      <c r="AP34" s="671"/>
      <c r="AQ34" s="671"/>
      <c r="AR34" s="671"/>
      <c r="AS34" s="671"/>
      <c r="AT34" s="671"/>
      <c r="AU34" s="671"/>
      <c r="AV34" s="671"/>
      <c r="AW34" s="671"/>
    </row>
    <row r="35" spans="1:49" s="440" customFormat="1">
      <c r="A35" s="436" t="s">
        <v>1198</v>
      </c>
      <c r="B35" s="442" t="s">
        <v>1042</v>
      </c>
      <c r="C35" s="442"/>
      <c r="D35" s="438" t="s">
        <v>768</v>
      </c>
      <c r="E35" s="438" t="s">
        <v>768</v>
      </c>
      <c r="F35" s="439" t="s">
        <v>768</v>
      </c>
      <c r="G35" s="438" t="s">
        <v>768</v>
      </c>
      <c r="H35" s="439" t="s">
        <v>768</v>
      </c>
      <c r="I35" s="442"/>
      <c r="J35" s="438" t="s">
        <v>768</v>
      </c>
      <c r="K35" s="671"/>
      <c r="L35" s="671"/>
      <c r="M35" s="671"/>
      <c r="N35" s="671"/>
      <c r="O35" s="671"/>
      <c r="P35" s="671"/>
      <c r="Q35" s="671"/>
      <c r="R35" s="671"/>
      <c r="S35" s="671"/>
      <c r="T35" s="671"/>
      <c r="U35" s="671"/>
      <c r="V35" s="671"/>
      <c r="W35" s="671"/>
      <c r="X35" s="671"/>
      <c r="Y35" s="671"/>
      <c r="Z35" s="671"/>
      <c r="AA35" s="671"/>
      <c r="AB35" s="671"/>
      <c r="AC35" s="671"/>
      <c r="AD35" s="671"/>
      <c r="AE35" s="671"/>
      <c r="AF35" s="671"/>
      <c r="AG35" s="671"/>
      <c r="AH35" s="671"/>
      <c r="AI35" s="671"/>
      <c r="AJ35" s="671"/>
      <c r="AK35" s="671"/>
      <c r="AL35" s="671"/>
      <c r="AM35" s="671"/>
      <c r="AN35" s="671"/>
      <c r="AO35" s="671"/>
      <c r="AP35" s="671"/>
      <c r="AQ35" s="671"/>
      <c r="AR35" s="671"/>
      <c r="AS35" s="671"/>
      <c r="AT35" s="671"/>
      <c r="AU35" s="671"/>
      <c r="AV35" s="671"/>
      <c r="AW35" s="671"/>
    </row>
    <row r="36" spans="1:49" s="440" customFormat="1">
      <c r="A36" s="436" t="s">
        <v>1199</v>
      </c>
      <c r="B36" s="442" t="s">
        <v>1200</v>
      </c>
      <c r="C36" s="442"/>
      <c r="D36" s="438" t="s">
        <v>768</v>
      </c>
      <c r="E36" s="438" t="s">
        <v>768</v>
      </c>
      <c r="F36" s="439" t="s">
        <v>768</v>
      </c>
      <c r="G36" s="438" t="s">
        <v>768</v>
      </c>
      <c r="H36" s="439" t="s">
        <v>768</v>
      </c>
      <c r="I36" s="442"/>
      <c r="J36" s="438" t="s">
        <v>768</v>
      </c>
      <c r="K36" s="671"/>
      <c r="L36" s="671"/>
      <c r="M36" s="671"/>
      <c r="N36" s="671"/>
      <c r="O36" s="671"/>
      <c r="P36" s="671"/>
      <c r="Q36" s="671"/>
      <c r="R36" s="671"/>
      <c r="S36" s="671"/>
      <c r="T36" s="671"/>
      <c r="U36" s="671"/>
      <c r="V36" s="671"/>
      <c r="W36" s="671"/>
      <c r="X36" s="671"/>
      <c r="Y36" s="671"/>
      <c r="Z36" s="671"/>
      <c r="AA36" s="671"/>
      <c r="AB36" s="671"/>
      <c r="AC36" s="671"/>
      <c r="AD36" s="671"/>
      <c r="AE36" s="671"/>
      <c r="AF36" s="671"/>
      <c r="AG36" s="671"/>
      <c r="AH36" s="671"/>
      <c r="AI36" s="671"/>
      <c r="AJ36" s="671"/>
      <c r="AK36" s="671"/>
      <c r="AL36" s="671"/>
      <c r="AM36" s="671"/>
      <c r="AN36" s="671"/>
      <c r="AO36" s="671"/>
      <c r="AP36" s="671"/>
      <c r="AQ36" s="671"/>
      <c r="AR36" s="671"/>
      <c r="AS36" s="671"/>
      <c r="AT36" s="671"/>
      <c r="AU36" s="671"/>
      <c r="AV36" s="671"/>
      <c r="AW36" s="671"/>
    </row>
    <row r="37" spans="1:49">
      <c r="A37" s="443" t="s">
        <v>1201</v>
      </c>
      <c r="B37" s="444"/>
      <c r="C37" s="444"/>
      <c r="D37" s="445"/>
      <c r="E37" s="445"/>
      <c r="F37" s="446"/>
      <c r="G37" s="445"/>
      <c r="H37" s="446"/>
      <c r="I37" s="445"/>
      <c r="J37" s="445"/>
    </row>
    <row r="38" spans="1:49">
      <c r="A38" s="812" t="s">
        <v>1202</v>
      </c>
      <c r="B38" s="812" t="s">
        <v>1151</v>
      </c>
      <c r="C38" s="423" t="s">
        <v>69</v>
      </c>
      <c r="D38" s="423">
        <v>120</v>
      </c>
      <c r="E38" s="423">
        <v>120</v>
      </c>
      <c r="F38" s="423">
        <v>120</v>
      </c>
      <c r="G38" s="423">
        <v>480</v>
      </c>
      <c r="H38" s="423">
        <v>480</v>
      </c>
      <c r="I38" s="423">
        <v>120</v>
      </c>
      <c r="J38" s="423">
        <v>480</v>
      </c>
    </row>
    <row r="39" spans="1:49">
      <c r="A39" s="813"/>
      <c r="B39" s="813"/>
      <c r="C39" s="423" t="s">
        <v>67</v>
      </c>
      <c r="D39" s="423">
        <v>60</v>
      </c>
      <c r="E39" s="423">
        <v>60</v>
      </c>
      <c r="F39" s="423">
        <v>60</v>
      </c>
      <c r="G39" s="423">
        <v>240</v>
      </c>
      <c r="H39" s="423">
        <v>240</v>
      </c>
      <c r="I39" s="423">
        <v>60</v>
      </c>
      <c r="J39" s="423">
        <v>240</v>
      </c>
    </row>
    <row r="40" spans="1:49">
      <c r="A40" s="814"/>
      <c r="B40" s="814"/>
      <c r="C40" s="423" t="s">
        <v>65</v>
      </c>
      <c r="D40" s="423">
        <v>30</v>
      </c>
      <c r="E40" s="423">
        <v>30</v>
      </c>
      <c r="F40" s="423">
        <v>30</v>
      </c>
      <c r="G40" s="423">
        <v>120</v>
      </c>
      <c r="H40" s="423">
        <v>120</v>
      </c>
      <c r="I40" s="423">
        <v>30</v>
      </c>
      <c r="J40" s="423">
        <v>120</v>
      </c>
    </row>
    <row r="41" spans="1:49" s="440" customFormat="1">
      <c r="A41" s="447" t="s">
        <v>1203</v>
      </c>
      <c r="B41" s="442" t="s">
        <v>1204</v>
      </c>
      <c r="C41" s="442"/>
      <c r="D41" s="439" t="s">
        <v>768</v>
      </c>
      <c r="E41" s="439" t="s">
        <v>768</v>
      </c>
      <c r="F41" s="439" t="s">
        <v>768</v>
      </c>
      <c r="G41" s="439" t="s">
        <v>768</v>
      </c>
      <c r="H41" s="439" t="s">
        <v>768</v>
      </c>
      <c r="I41" s="442"/>
      <c r="J41" s="439" t="s">
        <v>768</v>
      </c>
      <c r="K41" s="671"/>
      <c r="L41" s="671"/>
      <c r="M41" s="671"/>
      <c r="N41" s="671"/>
      <c r="O41" s="671"/>
      <c r="P41" s="671"/>
      <c r="Q41" s="671"/>
      <c r="R41" s="671"/>
      <c r="S41" s="671"/>
      <c r="T41" s="671"/>
      <c r="U41" s="671"/>
      <c r="V41" s="671"/>
      <c r="W41" s="671"/>
      <c r="X41" s="671"/>
      <c r="Y41" s="671"/>
      <c r="Z41" s="671"/>
      <c r="AA41" s="671"/>
      <c r="AB41" s="671"/>
      <c r="AC41" s="671"/>
      <c r="AD41" s="671"/>
      <c r="AE41" s="671"/>
      <c r="AF41" s="671"/>
      <c r="AG41" s="671"/>
      <c r="AH41" s="671"/>
      <c r="AI41" s="671"/>
      <c r="AJ41" s="671"/>
      <c r="AK41" s="671"/>
      <c r="AL41" s="671"/>
      <c r="AM41" s="671"/>
      <c r="AN41" s="671"/>
      <c r="AO41" s="671"/>
      <c r="AP41" s="671"/>
      <c r="AQ41" s="671"/>
      <c r="AR41" s="671"/>
      <c r="AS41" s="671"/>
      <c r="AT41" s="671"/>
      <c r="AU41" s="671"/>
      <c r="AV41" s="671"/>
      <c r="AW41" s="671"/>
    </row>
    <row r="42" spans="1:49">
      <c r="A42" s="812" t="s">
        <v>1205</v>
      </c>
      <c r="B42" s="812" t="s">
        <v>1206</v>
      </c>
      <c r="C42" s="423" t="s">
        <v>69</v>
      </c>
      <c r="D42" s="435">
        <v>320</v>
      </c>
      <c r="E42" s="435">
        <v>320</v>
      </c>
      <c r="F42" s="435">
        <v>300</v>
      </c>
      <c r="G42" s="448">
        <f>3785.41*5*1.04</f>
        <v>19684.132000000001</v>
      </c>
      <c r="H42" s="435">
        <v>5000</v>
      </c>
      <c r="I42" s="449">
        <v>60</v>
      </c>
      <c r="J42" s="435">
        <v>18000</v>
      </c>
    </row>
    <row r="43" spans="1:49">
      <c r="A43" s="813"/>
      <c r="B43" s="813"/>
      <c r="C43" s="423" t="s">
        <v>67</v>
      </c>
      <c r="D43" s="435">
        <v>160</v>
      </c>
      <c r="E43" s="435">
        <v>160</v>
      </c>
      <c r="F43" s="435">
        <v>150</v>
      </c>
      <c r="G43" s="448">
        <f>3785.41*2.5*1.04</f>
        <v>9842.0660000000007</v>
      </c>
      <c r="H43" s="435">
        <v>500</v>
      </c>
      <c r="I43" s="449">
        <v>30</v>
      </c>
      <c r="J43" s="435">
        <v>5000</v>
      </c>
    </row>
    <row r="44" spans="1:49">
      <c r="A44" s="814"/>
      <c r="B44" s="814"/>
      <c r="C44" s="423" t="s">
        <v>65</v>
      </c>
      <c r="D44" s="435">
        <v>80</v>
      </c>
      <c r="E44" s="435">
        <v>80</v>
      </c>
      <c r="F44" s="435">
        <v>75</v>
      </c>
      <c r="G44" s="448">
        <f>3785.41*1*1.04</f>
        <v>3936.8263999999999</v>
      </c>
      <c r="H44" s="435">
        <v>100</v>
      </c>
      <c r="I44" s="449">
        <v>15</v>
      </c>
      <c r="J44" s="435">
        <v>2500</v>
      </c>
    </row>
    <row r="45" spans="1:49">
      <c r="A45" s="450" t="s">
        <v>1207</v>
      </c>
      <c r="B45" s="127" t="s">
        <v>1208</v>
      </c>
      <c r="C45" s="127"/>
      <c r="D45" s="235">
        <v>52</v>
      </c>
      <c r="E45" s="235">
        <v>52</v>
      </c>
      <c r="F45" s="235">
        <v>2</v>
      </c>
      <c r="G45" s="235">
        <v>365</v>
      </c>
      <c r="H45" s="235">
        <v>2</v>
      </c>
      <c r="I45" s="235">
        <v>52</v>
      </c>
      <c r="J45" s="235">
        <v>365</v>
      </c>
    </row>
    <row r="46" spans="1:49">
      <c r="A46" s="450" t="s">
        <v>1209</v>
      </c>
      <c r="B46" s="127" t="s">
        <v>1148</v>
      </c>
      <c r="C46" s="127"/>
      <c r="D46" s="235">
        <v>1</v>
      </c>
      <c r="E46" s="235">
        <v>1</v>
      </c>
      <c r="F46" s="235">
        <v>1</v>
      </c>
      <c r="G46" s="235">
        <v>1</v>
      </c>
      <c r="H46" s="235">
        <v>1</v>
      </c>
      <c r="I46" s="235">
        <v>1</v>
      </c>
      <c r="J46" s="235">
        <v>1</v>
      </c>
    </row>
    <row r="47" spans="1:49">
      <c r="A47" s="443" t="s">
        <v>1210</v>
      </c>
      <c r="B47" s="444"/>
      <c r="C47" s="444"/>
      <c r="D47" s="445"/>
      <c r="E47" s="445"/>
      <c r="F47" s="446"/>
      <c r="G47" s="445"/>
      <c r="H47" s="446"/>
      <c r="I47" s="445"/>
      <c r="J47" s="445"/>
    </row>
    <row r="48" spans="1:49">
      <c r="A48" s="441" t="s">
        <v>1211</v>
      </c>
      <c r="B48" s="127" t="s">
        <v>1212</v>
      </c>
      <c r="C48" s="127"/>
      <c r="D48" s="239">
        <v>0.06</v>
      </c>
      <c r="E48" s="239">
        <v>0.06</v>
      </c>
      <c r="F48" s="632" t="s">
        <v>768</v>
      </c>
      <c r="G48" s="239">
        <v>0.06</v>
      </c>
      <c r="H48" s="632" t="s">
        <v>768</v>
      </c>
      <c r="I48" s="244" t="s">
        <v>768</v>
      </c>
      <c r="J48" s="239">
        <v>0.06</v>
      </c>
    </row>
    <row r="49" spans="1:49">
      <c r="A49" s="441" t="s">
        <v>1213</v>
      </c>
      <c r="B49" s="127" t="s">
        <v>1212</v>
      </c>
      <c r="C49" s="127"/>
      <c r="D49" s="239" t="s">
        <v>768</v>
      </c>
      <c r="E49" s="239" t="s">
        <v>768</v>
      </c>
      <c r="F49" s="632" t="s">
        <v>768</v>
      </c>
      <c r="G49" s="239" t="s">
        <v>768</v>
      </c>
      <c r="H49" s="632" t="s">
        <v>768</v>
      </c>
      <c r="I49" s="239" t="s">
        <v>768</v>
      </c>
      <c r="J49" s="239" t="s">
        <v>768</v>
      </c>
    </row>
    <row r="50" spans="1:49">
      <c r="A50" s="443" t="s">
        <v>1214</v>
      </c>
      <c r="B50" s="444"/>
      <c r="C50" s="444"/>
      <c r="D50" s="445"/>
      <c r="E50" s="445"/>
      <c r="F50" s="446"/>
      <c r="G50" s="445"/>
      <c r="H50" s="446"/>
      <c r="I50" s="445"/>
      <c r="J50" s="445"/>
    </row>
    <row r="51" spans="1:49" s="440" customFormat="1">
      <c r="A51" s="436" t="s">
        <v>1215</v>
      </c>
      <c r="B51" s="442" t="s">
        <v>1197</v>
      </c>
      <c r="C51" s="442"/>
      <c r="D51" s="438" t="s">
        <v>768</v>
      </c>
      <c r="E51" s="438" t="s">
        <v>768</v>
      </c>
      <c r="F51" s="439" t="s">
        <v>768</v>
      </c>
      <c r="G51" s="438" t="s">
        <v>768</v>
      </c>
      <c r="H51" s="439" t="s">
        <v>768</v>
      </c>
      <c r="I51" s="438" t="s">
        <v>768</v>
      </c>
      <c r="J51" s="438" t="s">
        <v>768</v>
      </c>
      <c r="K51" s="671"/>
      <c r="L51" s="671"/>
      <c r="M51" s="671"/>
      <c r="N51" s="671"/>
      <c r="O51" s="671"/>
      <c r="P51" s="671"/>
      <c r="Q51" s="671"/>
      <c r="R51" s="671"/>
      <c r="S51" s="671"/>
      <c r="T51" s="671"/>
      <c r="U51" s="671"/>
      <c r="V51" s="671"/>
      <c r="W51" s="671"/>
      <c r="X51" s="671"/>
      <c r="Y51" s="671"/>
      <c r="Z51" s="671"/>
      <c r="AA51" s="671"/>
      <c r="AB51" s="671"/>
      <c r="AC51" s="671"/>
      <c r="AD51" s="671"/>
      <c r="AE51" s="671"/>
      <c r="AF51" s="671"/>
      <c r="AG51" s="671"/>
      <c r="AH51" s="671"/>
      <c r="AI51" s="671"/>
      <c r="AJ51" s="671"/>
      <c r="AK51" s="671"/>
      <c r="AL51" s="671"/>
      <c r="AM51" s="671"/>
      <c r="AN51" s="671"/>
      <c r="AO51" s="671"/>
      <c r="AP51" s="671"/>
      <c r="AQ51" s="671"/>
      <c r="AR51" s="671"/>
      <c r="AS51" s="671"/>
      <c r="AT51" s="671"/>
      <c r="AU51" s="671"/>
      <c r="AV51" s="671"/>
      <c r="AW51" s="671"/>
    </row>
    <row r="52" spans="1:49" s="440" customFormat="1">
      <c r="A52" s="436" t="s">
        <v>1216</v>
      </c>
      <c r="B52" s="442" t="s">
        <v>1217</v>
      </c>
      <c r="C52" s="442"/>
      <c r="D52" s="438" t="s">
        <v>768</v>
      </c>
      <c r="E52" s="438" t="s">
        <v>768</v>
      </c>
      <c r="F52" s="439" t="s">
        <v>768</v>
      </c>
      <c r="G52" s="438" t="s">
        <v>768</v>
      </c>
      <c r="H52" s="439" t="s">
        <v>768</v>
      </c>
      <c r="I52" s="438" t="s">
        <v>768</v>
      </c>
      <c r="J52" s="438" t="s">
        <v>768</v>
      </c>
      <c r="K52" s="671"/>
      <c r="L52" s="671"/>
      <c r="M52" s="671"/>
      <c r="N52" s="671"/>
      <c r="O52" s="671"/>
      <c r="P52" s="671"/>
      <c r="Q52" s="671"/>
      <c r="R52" s="671"/>
      <c r="S52" s="671"/>
      <c r="T52" s="671"/>
      <c r="U52" s="671"/>
      <c r="V52" s="671"/>
      <c r="W52" s="671"/>
      <c r="X52" s="671"/>
      <c r="Y52" s="671"/>
      <c r="Z52" s="671"/>
      <c r="AA52" s="671"/>
      <c r="AB52" s="671"/>
      <c r="AC52" s="671"/>
      <c r="AD52" s="671"/>
      <c r="AE52" s="671"/>
      <c r="AF52" s="671"/>
      <c r="AG52" s="671"/>
      <c r="AH52" s="671"/>
      <c r="AI52" s="671"/>
      <c r="AJ52" s="671"/>
      <c r="AK52" s="671"/>
      <c r="AL52" s="671"/>
      <c r="AM52" s="671"/>
      <c r="AN52" s="671"/>
      <c r="AO52" s="671"/>
      <c r="AP52" s="671"/>
      <c r="AQ52" s="671"/>
      <c r="AR52" s="671"/>
      <c r="AS52" s="671"/>
      <c r="AT52" s="671"/>
      <c r="AU52" s="671"/>
      <c r="AV52" s="671"/>
      <c r="AW52" s="671"/>
    </row>
    <row r="53" spans="1:49" s="440" customFormat="1">
      <c r="A53" s="436" t="s">
        <v>1218</v>
      </c>
      <c r="B53" s="442" t="s">
        <v>1219</v>
      </c>
      <c r="C53" s="442"/>
      <c r="D53" s="438" t="s">
        <v>768</v>
      </c>
      <c r="E53" s="438" t="s">
        <v>768</v>
      </c>
      <c r="F53" s="439" t="s">
        <v>768</v>
      </c>
      <c r="G53" s="438" t="s">
        <v>768</v>
      </c>
      <c r="H53" s="439" t="s">
        <v>768</v>
      </c>
      <c r="I53" s="438" t="s">
        <v>768</v>
      </c>
      <c r="J53" s="438" t="s">
        <v>768</v>
      </c>
      <c r="K53" s="671"/>
      <c r="L53" s="671"/>
      <c r="M53" s="671"/>
      <c r="N53" s="671"/>
      <c r="O53" s="671"/>
      <c r="P53" s="671"/>
      <c r="Q53" s="671"/>
      <c r="R53" s="671"/>
      <c r="S53" s="671"/>
      <c r="T53" s="671"/>
      <c r="U53" s="671"/>
      <c r="V53" s="671"/>
      <c r="W53" s="671"/>
      <c r="X53" s="671"/>
      <c r="Y53" s="671"/>
      <c r="Z53" s="671"/>
      <c r="AA53" s="671"/>
      <c r="AB53" s="671"/>
      <c r="AC53" s="671"/>
      <c r="AD53" s="671"/>
      <c r="AE53" s="671"/>
      <c r="AF53" s="671"/>
      <c r="AG53" s="671"/>
      <c r="AH53" s="671"/>
      <c r="AI53" s="671"/>
      <c r="AJ53" s="671"/>
      <c r="AK53" s="671"/>
      <c r="AL53" s="671"/>
      <c r="AM53" s="671"/>
      <c r="AN53" s="671"/>
      <c r="AO53" s="671"/>
      <c r="AP53" s="671"/>
      <c r="AQ53" s="671"/>
      <c r="AR53" s="671"/>
      <c r="AS53" s="671"/>
      <c r="AT53" s="671"/>
      <c r="AU53" s="671"/>
      <c r="AV53" s="671"/>
      <c r="AW53" s="671"/>
    </row>
    <row r="54" spans="1:49" s="440" customFormat="1">
      <c r="A54" s="436" t="s">
        <v>1220</v>
      </c>
      <c r="B54" s="442" t="s">
        <v>62</v>
      </c>
      <c r="C54" s="442"/>
      <c r="D54" s="438" t="s">
        <v>768</v>
      </c>
      <c r="E54" s="438" t="s">
        <v>768</v>
      </c>
      <c r="F54" s="439" t="s">
        <v>768</v>
      </c>
      <c r="G54" s="438" t="s">
        <v>768</v>
      </c>
      <c r="H54" s="439" t="s">
        <v>768</v>
      </c>
      <c r="I54" s="438" t="s">
        <v>768</v>
      </c>
      <c r="J54" s="438" t="s">
        <v>768</v>
      </c>
      <c r="K54" s="671"/>
      <c r="L54" s="671"/>
      <c r="M54" s="671"/>
      <c r="N54" s="671"/>
      <c r="O54" s="671"/>
      <c r="P54" s="671"/>
      <c r="Q54" s="671"/>
      <c r="R54" s="671"/>
      <c r="S54" s="671"/>
      <c r="T54" s="671"/>
      <c r="U54" s="671"/>
      <c r="V54" s="671"/>
      <c r="W54" s="671"/>
      <c r="X54" s="671"/>
      <c r="Y54" s="671"/>
      <c r="Z54" s="671"/>
      <c r="AA54" s="671"/>
      <c r="AB54" s="671"/>
      <c r="AC54" s="671"/>
      <c r="AD54" s="671"/>
      <c r="AE54" s="671"/>
      <c r="AF54" s="671"/>
      <c r="AG54" s="671"/>
      <c r="AH54" s="671"/>
      <c r="AI54" s="671"/>
      <c r="AJ54" s="671"/>
      <c r="AK54" s="671"/>
      <c r="AL54" s="671"/>
      <c r="AM54" s="671"/>
      <c r="AN54" s="671"/>
      <c r="AO54" s="671"/>
      <c r="AP54" s="671"/>
      <c r="AQ54" s="671"/>
      <c r="AR54" s="671"/>
      <c r="AS54" s="671"/>
      <c r="AT54" s="671"/>
      <c r="AU54" s="671"/>
      <c r="AV54" s="671"/>
      <c r="AW54" s="671"/>
    </row>
    <row r="55" spans="1:49" s="440" customFormat="1">
      <c r="A55" s="436" t="s">
        <v>1221</v>
      </c>
      <c r="B55" s="442" t="s">
        <v>1197</v>
      </c>
      <c r="C55" s="442"/>
      <c r="D55" s="438" t="s">
        <v>768</v>
      </c>
      <c r="E55" s="438" t="s">
        <v>768</v>
      </c>
      <c r="F55" s="439" t="s">
        <v>768</v>
      </c>
      <c r="G55" s="438" t="s">
        <v>768</v>
      </c>
      <c r="H55" s="439" t="s">
        <v>768</v>
      </c>
      <c r="I55" s="438" t="s">
        <v>768</v>
      </c>
      <c r="J55" s="438" t="s">
        <v>768</v>
      </c>
      <c r="K55" s="671"/>
      <c r="L55" s="671"/>
      <c r="M55" s="671"/>
      <c r="N55" s="671"/>
      <c r="O55" s="671"/>
      <c r="P55" s="671"/>
      <c r="Q55" s="671"/>
      <c r="R55" s="671"/>
      <c r="S55" s="671"/>
      <c r="T55" s="671"/>
      <c r="U55" s="671"/>
      <c r="V55" s="671"/>
      <c r="W55" s="671"/>
      <c r="X55" s="671"/>
      <c r="Y55" s="671"/>
      <c r="Z55" s="671"/>
      <c r="AA55" s="671"/>
      <c r="AB55" s="671"/>
      <c r="AC55" s="671"/>
      <c r="AD55" s="671"/>
      <c r="AE55" s="671"/>
      <c r="AF55" s="671"/>
      <c r="AG55" s="671"/>
      <c r="AH55" s="671"/>
      <c r="AI55" s="671"/>
      <c r="AJ55" s="671"/>
      <c r="AK55" s="671"/>
      <c r="AL55" s="671"/>
      <c r="AM55" s="671"/>
      <c r="AN55" s="671"/>
      <c r="AO55" s="671"/>
      <c r="AP55" s="671"/>
      <c r="AQ55" s="671"/>
      <c r="AR55" s="671"/>
      <c r="AS55" s="671"/>
      <c r="AT55" s="671"/>
      <c r="AU55" s="671"/>
      <c r="AV55" s="671"/>
      <c r="AW55" s="671"/>
    </row>
    <row r="56" spans="1:49" s="440" customFormat="1">
      <c r="A56" s="436" t="s">
        <v>1222</v>
      </c>
      <c r="B56" s="442" t="s">
        <v>1223</v>
      </c>
      <c r="C56" s="442"/>
      <c r="D56" s="438" t="s">
        <v>768</v>
      </c>
      <c r="E56" s="438" t="s">
        <v>768</v>
      </c>
      <c r="F56" s="439" t="s">
        <v>768</v>
      </c>
      <c r="G56" s="438" t="s">
        <v>768</v>
      </c>
      <c r="H56" s="439" t="s">
        <v>768</v>
      </c>
      <c r="I56" s="438" t="s">
        <v>768</v>
      </c>
      <c r="J56" s="438" t="s">
        <v>768</v>
      </c>
      <c r="K56" s="671"/>
      <c r="L56" s="671"/>
      <c r="M56" s="671"/>
      <c r="N56" s="671"/>
      <c r="O56" s="671"/>
      <c r="P56" s="671"/>
      <c r="Q56" s="671"/>
      <c r="R56" s="671"/>
      <c r="S56" s="671"/>
      <c r="T56" s="671"/>
      <c r="U56" s="671"/>
      <c r="V56" s="671"/>
      <c r="W56" s="671"/>
      <c r="X56" s="671"/>
      <c r="Y56" s="671"/>
      <c r="Z56" s="671"/>
      <c r="AA56" s="671"/>
      <c r="AB56" s="671"/>
      <c r="AC56" s="671"/>
      <c r="AD56" s="671"/>
      <c r="AE56" s="671"/>
      <c r="AF56" s="671"/>
      <c r="AG56" s="671"/>
      <c r="AH56" s="671"/>
      <c r="AI56" s="671"/>
      <c r="AJ56" s="671"/>
      <c r="AK56" s="671"/>
      <c r="AL56" s="671"/>
      <c r="AM56" s="671"/>
      <c r="AN56" s="671"/>
      <c r="AO56" s="671"/>
      <c r="AP56" s="671"/>
      <c r="AQ56" s="671"/>
      <c r="AR56" s="671"/>
      <c r="AS56" s="671"/>
      <c r="AT56" s="671"/>
      <c r="AU56" s="671"/>
      <c r="AV56" s="671"/>
      <c r="AW56" s="671"/>
    </row>
    <row r="57" spans="1:49" s="440" customFormat="1">
      <c r="A57" s="436" t="s">
        <v>1224</v>
      </c>
      <c r="B57" s="442" t="s">
        <v>1225</v>
      </c>
      <c r="C57" s="442"/>
      <c r="D57" s="438" t="s">
        <v>768</v>
      </c>
      <c r="E57" s="438" t="s">
        <v>768</v>
      </c>
      <c r="F57" s="439" t="s">
        <v>768</v>
      </c>
      <c r="G57" s="438" t="s">
        <v>768</v>
      </c>
      <c r="H57" s="439" t="s">
        <v>768</v>
      </c>
      <c r="I57" s="438" t="s">
        <v>768</v>
      </c>
      <c r="J57" s="438" t="s">
        <v>768</v>
      </c>
      <c r="K57" s="671"/>
      <c r="L57" s="671"/>
      <c r="M57" s="671"/>
      <c r="N57" s="671"/>
      <c r="O57" s="671"/>
      <c r="P57" s="671"/>
      <c r="Q57" s="671"/>
      <c r="R57" s="671"/>
      <c r="S57" s="671"/>
      <c r="T57" s="671"/>
      <c r="U57" s="671"/>
      <c r="V57" s="671"/>
      <c r="W57" s="671"/>
      <c r="X57" s="671"/>
      <c r="Y57" s="671"/>
      <c r="Z57" s="671"/>
      <c r="AA57" s="671"/>
      <c r="AB57" s="671"/>
      <c r="AC57" s="671"/>
      <c r="AD57" s="671"/>
      <c r="AE57" s="671"/>
      <c r="AF57" s="671"/>
      <c r="AG57" s="671"/>
      <c r="AH57" s="671"/>
      <c r="AI57" s="671"/>
      <c r="AJ57" s="671"/>
      <c r="AK57" s="671"/>
      <c r="AL57" s="671"/>
      <c r="AM57" s="671"/>
      <c r="AN57" s="671"/>
      <c r="AO57" s="671"/>
      <c r="AP57" s="671"/>
      <c r="AQ57" s="671"/>
      <c r="AR57" s="671"/>
      <c r="AS57" s="671"/>
      <c r="AT57" s="671"/>
      <c r="AU57" s="671"/>
      <c r="AV57" s="671"/>
      <c r="AW57" s="671"/>
    </row>
    <row r="58" spans="1:49" s="440" customFormat="1">
      <c r="A58" s="436" t="s">
        <v>1226</v>
      </c>
      <c r="B58" s="442" t="s">
        <v>1165</v>
      </c>
      <c r="C58" s="442"/>
      <c r="D58" s="438" t="s">
        <v>768</v>
      </c>
      <c r="E58" s="438" t="s">
        <v>768</v>
      </c>
      <c r="F58" s="439" t="s">
        <v>768</v>
      </c>
      <c r="G58" s="438" t="s">
        <v>768</v>
      </c>
      <c r="H58" s="439" t="s">
        <v>768</v>
      </c>
      <c r="I58" s="438" t="s">
        <v>768</v>
      </c>
      <c r="J58" s="438" t="s">
        <v>768</v>
      </c>
      <c r="K58" s="671"/>
      <c r="L58" s="671"/>
      <c r="M58" s="671"/>
      <c r="N58" s="671"/>
      <c r="O58" s="671"/>
      <c r="P58" s="671"/>
      <c r="Q58" s="671"/>
      <c r="R58" s="671"/>
      <c r="S58" s="671"/>
      <c r="T58" s="671"/>
      <c r="U58" s="671"/>
      <c r="V58" s="671"/>
      <c r="W58" s="671"/>
      <c r="X58" s="671"/>
      <c r="Y58" s="671"/>
      <c r="Z58" s="671"/>
      <c r="AA58" s="671"/>
      <c r="AB58" s="671"/>
      <c r="AC58" s="671"/>
      <c r="AD58" s="671"/>
      <c r="AE58" s="671"/>
      <c r="AF58" s="671"/>
      <c r="AG58" s="671"/>
      <c r="AH58" s="671"/>
      <c r="AI58" s="671"/>
      <c r="AJ58" s="671"/>
      <c r="AK58" s="671"/>
      <c r="AL58" s="671"/>
      <c r="AM58" s="671"/>
      <c r="AN58" s="671"/>
      <c r="AO58" s="671"/>
      <c r="AP58" s="671"/>
      <c r="AQ58" s="671"/>
      <c r="AR58" s="671"/>
      <c r="AS58" s="671"/>
      <c r="AT58" s="671"/>
      <c r="AU58" s="671"/>
      <c r="AV58" s="671"/>
      <c r="AW58" s="671"/>
    </row>
    <row r="59" spans="1:49" s="440" customFormat="1">
      <c r="A59" s="436" t="s">
        <v>1227</v>
      </c>
      <c r="B59" s="442" t="s">
        <v>1165</v>
      </c>
      <c r="C59" s="442"/>
      <c r="D59" s="439" t="s">
        <v>768</v>
      </c>
      <c r="E59" s="439" t="s">
        <v>768</v>
      </c>
      <c r="F59" s="439" t="s">
        <v>768</v>
      </c>
      <c r="G59" s="439" t="s">
        <v>768</v>
      </c>
      <c r="H59" s="439" t="s">
        <v>768</v>
      </c>
      <c r="I59" s="439" t="s">
        <v>768</v>
      </c>
      <c r="J59" s="439" t="s">
        <v>768</v>
      </c>
      <c r="K59" s="671"/>
      <c r="L59" s="671"/>
      <c r="M59" s="671"/>
      <c r="N59" s="671"/>
      <c r="O59" s="671"/>
      <c r="P59" s="671"/>
      <c r="Q59" s="671"/>
      <c r="R59" s="671"/>
      <c r="S59" s="671"/>
      <c r="T59" s="671"/>
      <c r="U59" s="671"/>
      <c r="V59" s="671"/>
      <c r="W59" s="671"/>
      <c r="X59" s="671"/>
      <c r="Y59" s="671"/>
      <c r="Z59" s="671"/>
      <c r="AA59" s="671"/>
      <c r="AB59" s="671"/>
      <c r="AC59" s="671"/>
      <c r="AD59" s="671"/>
      <c r="AE59" s="671"/>
      <c r="AF59" s="671"/>
      <c r="AG59" s="671"/>
      <c r="AH59" s="671"/>
      <c r="AI59" s="671"/>
      <c r="AJ59" s="671"/>
      <c r="AK59" s="671"/>
      <c r="AL59" s="671"/>
      <c r="AM59" s="671"/>
      <c r="AN59" s="671"/>
      <c r="AO59" s="671"/>
      <c r="AP59" s="671"/>
      <c r="AQ59" s="671"/>
      <c r="AR59" s="671"/>
      <c r="AS59" s="671"/>
      <c r="AT59" s="671"/>
      <c r="AU59" s="671"/>
      <c r="AV59" s="671"/>
      <c r="AW59" s="671"/>
    </row>
    <row r="60" spans="1:49" s="440" customFormat="1">
      <c r="A60" s="436" t="s">
        <v>1228</v>
      </c>
      <c r="B60" s="442" t="s">
        <v>1229</v>
      </c>
      <c r="C60" s="442"/>
      <c r="D60" s="438" t="s">
        <v>768</v>
      </c>
      <c r="E60" s="438" t="s">
        <v>768</v>
      </c>
      <c r="F60" s="439" t="s">
        <v>768</v>
      </c>
      <c r="G60" s="438" t="s">
        <v>768</v>
      </c>
      <c r="H60" s="439" t="s">
        <v>768</v>
      </c>
      <c r="I60" s="438" t="s">
        <v>768</v>
      </c>
      <c r="J60" s="438" t="s">
        <v>768</v>
      </c>
      <c r="K60" s="671"/>
      <c r="L60" s="671"/>
      <c r="M60" s="671"/>
      <c r="N60" s="671"/>
      <c r="O60" s="671"/>
      <c r="P60" s="671"/>
      <c r="Q60" s="671"/>
      <c r="R60" s="671"/>
      <c r="S60" s="671"/>
      <c r="T60" s="671"/>
      <c r="U60" s="671"/>
      <c r="V60" s="671"/>
      <c r="W60" s="671"/>
      <c r="X60" s="671"/>
      <c r="Y60" s="671"/>
      <c r="Z60" s="671"/>
      <c r="AA60" s="671"/>
      <c r="AB60" s="671"/>
      <c r="AC60" s="671"/>
      <c r="AD60" s="671"/>
      <c r="AE60" s="671"/>
      <c r="AF60" s="671"/>
      <c r="AG60" s="671"/>
      <c r="AH60" s="671"/>
      <c r="AI60" s="671"/>
      <c r="AJ60" s="671"/>
      <c r="AK60" s="671"/>
      <c r="AL60" s="671"/>
      <c r="AM60" s="671"/>
      <c r="AN60" s="671"/>
      <c r="AO60" s="671"/>
      <c r="AP60" s="671"/>
      <c r="AQ60" s="671"/>
      <c r="AR60" s="671"/>
      <c r="AS60" s="671"/>
      <c r="AT60" s="671"/>
      <c r="AU60" s="671"/>
      <c r="AV60" s="671"/>
      <c r="AW60" s="671"/>
    </row>
    <row r="61" spans="1:49" s="440" customFormat="1">
      <c r="A61" s="436" t="s">
        <v>1230</v>
      </c>
      <c r="B61" s="442" t="s">
        <v>1165</v>
      </c>
      <c r="C61" s="442"/>
      <c r="D61" s="438" t="s">
        <v>768</v>
      </c>
      <c r="E61" s="438" t="s">
        <v>768</v>
      </c>
      <c r="F61" s="439" t="s">
        <v>768</v>
      </c>
      <c r="G61" s="438" t="s">
        <v>768</v>
      </c>
      <c r="H61" s="439" t="s">
        <v>768</v>
      </c>
      <c r="I61" s="438" t="s">
        <v>768</v>
      </c>
      <c r="J61" s="438" t="s">
        <v>768</v>
      </c>
      <c r="K61" s="671"/>
      <c r="L61" s="671"/>
      <c r="M61" s="671"/>
      <c r="N61" s="671"/>
      <c r="O61" s="671"/>
      <c r="P61" s="671"/>
      <c r="Q61" s="671"/>
      <c r="R61" s="671"/>
      <c r="S61" s="671"/>
      <c r="T61" s="671"/>
      <c r="U61" s="671"/>
      <c r="V61" s="671"/>
      <c r="W61" s="671"/>
      <c r="X61" s="671"/>
      <c r="Y61" s="671"/>
      <c r="Z61" s="671"/>
      <c r="AA61" s="671"/>
      <c r="AB61" s="671"/>
      <c r="AC61" s="671"/>
      <c r="AD61" s="671"/>
      <c r="AE61" s="671"/>
      <c r="AF61" s="671"/>
      <c r="AG61" s="671"/>
      <c r="AH61" s="671"/>
      <c r="AI61" s="671"/>
      <c r="AJ61" s="671"/>
      <c r="AK61" s="671"/>
      <c r="AL61" s="671"/>
      <c r="AM61" s="671"/>
      <c r="AN61" s="671"/>
      <c r="AO61" s="671"/>
      <c r="AP61" s="671"/>
      <c r="AQ61" s="671"/>
      <c r="AR61" s="671"/>
      <c r="AS61" s="671"/>
      <c r="AT61" s="671"/>
      <c r="AU61" s="671"/>
      <c r="AV61" s="671"/>
      <c r="AW61" s="671"/>
    </row>
    <row r="62" spans="1:49" s="440" customFormat="1">
      <c r="A62" s="436" t="s">
        <v>1231</v>
      </c>
      <c r="B62" s="442" t="s">
        <v>1165</v>
      </c>
      <c r="C62" s="442"/>
      <c r="D62" s="438" t="s">
        <v>768</v>
      </c>
      <c r="E62" s="438" t="s">
        <v>768</v>
      </c>
      <c r="F62" s="439" t="s">
        <v>768</v>
      </c>
      <c r="G62" s="438" t="s">
        <v>768</v>
      </c>
      <c r="H62" s="439" t="s">
        <v>768</v>
      </c>
      <c r="I62" s="438" t="s">
        <v>768</v>
      </c>
      <c r="J62" s="438" t="s">
        <v>768</v>
      </c>
      <c r="K62" s="671"/>
      <c r="L62" s="671"/>
      <c r="M62" s="671"/>
      <c r="N62" s="671"/>
      <c r="O62" s="671"/>
      <c r="P62" s="671"/>
      <c r="Q62" s="671"/>
      <c r="R62" s="671"/>
      <c r="S62" s="671"/>
      <c r="T62" s="671"/>
      <c r="U62" s="671"/>
      <c r="V62" s="671"/>
      <c r="W62" s="671"/>
      <c r="X62" s="671"/>
      <c r="Y62" s="671"/>
      <c r="Z62" s="671"/>
      <c r="AA62" s="671"/>
      <c r="AB62" s="671"/>
      <c r="AC62" s="671"/>
      <c r="AD62" s="671"/>
      <c r="AE62" s="671"/>
      <c r="AF62" s="671"/>
      <c r="AG62" s="671"/>
      <c r="AH62" s="671"/>
      <c r="AI62" s="671"/>
      <c r="AJ62" s="671"/>
      <c r="AK62" s="671"/>
      <c r="AL62" s="671"/>
      <c r="AM62" s="671"/>
      <c r="AN62" s="671"/>
      <c r="AO62" s="671"/>
      <c r="AP62" s="671"/>
      <c r="AQ62" s="671"/>
      <c r="AR62" s="671"/>
      <c r="AS62" s="671"/>
      <c r="AT62" s="671"/>
      <c r="AU62" s="671"/>
      <c r="AV62" s="671"/>
      <c r="AW62" s="671"/>
    </row>
    <row r="63" spans="1:49" s="440" customFormat="1">
      <c r="A63" s="436" t="s">
        <v>1232</v>
      </c>
      <c r="B63" s="442" t="s">
        <v>1165</v>
      </c>
      <c r="C63" s="442"/>
      <c r="D63" s="438" t="s">
        <v>768</v>
      </c>
      <c r="E63" s="438" t="s">
        <v>768</v>
      </c>
      <c r="F63" s="439" t="s">
        <v>768</v>
      </c>
      <c r="G63" s="438" t="s">
        <v>768</v>
      </c>
      <c r="H63" s="439" t="s">
        <v>768</v>
      </c>
      <c r="I63" s="438" t="s">
        <v>768</v>
      </c>
      <c r="J63" s="438" t="s">
        <v>768</v>
      </c>
      <c r="K63" s="671"/>
      <c r="L63" s="671"/>
      <c r="M63" s="671"/>
      <c r="N63" s="671"/>
      <c r="O63" s="671"/>
      <c r="P63" s="671"/>
      <c r="Q63" s="671"/>
      <c r="R63" s="671"/>
      <c r="S63" s="671"/>
      <c r="T63" s="671"/>
      <c r="U63" s="671"/>
      <c r="V63" s="671"/>
      <c r="W63" s="671"/>
      <c r="X63" s="671"/>
      <c r="Y63" s="671"/>
      <c r="Z63" s="671"/>
      <c r="AA63" s="671"/>
      <c r="AB63" s="671"/>
      <c r="AC63" s="671"/>
      <c r="AD63" s="671"/>
      <c r="AE63" s="671"/>
      <c r="AF63" s="671"/>
      <c r="AG63" s="671"/>
      <c r="AH63" s="671"/>
      <c r="AI63" s="671"/>
      <c r="AJ63" s="671"/>
      <c r="AK63" s="671"/>
      <c r="AL63" s="671"/>
      <c r="AM63" s="671"/>
      <c r="AN63" s="671"/>
      <c r="AO63" s="671"/>
      <c r="AP63" s="671"/>
      <c r="AQ63" s="671"/>
      <c r="AR63" s="671"/>
      <c r="AS63" s="671"/>
      <c r="AT63" s="671"/>
      <c r="AU63" s="671"/>
      <c r="AV63" s="671"/>
      <c r="AW63" s="671"/>
    </row>
    <row r="64" spans="1:49" s="440" customFormat="1">
      <c r="A64" s="436" t="s">
        <v>1233</v>
      </c>
      <c r="B64" s="442" t="s">
        <v>1165</v>
      </c>
      <c r="C64" s="442"/>
      <c r="D64" s="438" t="s">
        <v>768</v>
      </c>
      <c r="E64" s="438" t="s">
        <v>768</v>
      </c>
      <c r="F64" s="439" t="s">
        <v>768</v>
      </c>
      <c r="G64" s="438" t="s">
        <v>768</v>
      </c>
      <c r="H64" s="439" t="s">
        <v>768</v>
      </c>
      <c r="I64" s="438" t="s">
        <v>768</v>
      </c>
      <c r="J64" s="438" t="s">
        <v>768</v>
      </c>
      <c r="K64" s="671"/>
      <c r="L64" s="671"/>
      <c r="M64" s="671"/>
      <c r="N64" s="671"/>
      <c r="O64" s="671"/>
      <c r="P64" s="671"/>
      <c r="Q64" s="671"/>
      <c r="R64" s="671"/>
      <c r="S64" s="671"/>
      <c r="T64" s="671"/>
      <c r="U64" s="671"/>
      <c r="V64" s="671"/>
      <c r="W64" s="671"/>
      <c r="X64" s="671"/>
      <c r="Y64" s="671"/>
      <c r="Z64" s="671"/>
      <c r="AA64" s="671"/>
      <c r="AB64" s="671"/>
      <c r="AC64" s="671"/>
      <c r="AD64" s="671"/>
      <c r="AE64" s="671"/>
      <c r="AF64" s="671"/>
      <c r="AG64" s="671"/>
      <c r="AH64" s="671"/>
      <c r="AI64" s="671"/>
      <c r="AJ64" s="671"/>
      <c r="AK64" s="671"/>
      <c r="AL64" s="671"/>
      <c r="AM64" s="671"/>
      <c r="AN64" s="671"/>
      <c r="AO64" s="671"/>
      <c r="AP64" s="671"/>
      <c r="AQ64" s="671"/>
      <c r="AR64" s="671"/>
      <c r="AS64" s="671"/>
      <c r="AT64" s="671"/>
      <c r="AU64" s="671"/>
      <c r="AV64" s="671"/>
      <c r="AW64" s="671"/>
    </row>
    <row r="65" spans="1:49" s="440" customFormat="1">
      <c r="A65" s="436" t="s">
        <v>1234</v>
      </c>
      <c r="B65" s="442" t="s">
        <v>1165</v>
      </c>
      <c r="C65" s="442"/>
      <c r="D65" s="438" t="s">
        <v>768</v>
      </c>
      <c r="E65" s="438" t="s">
        <v>768</v>
      </c>
      <c r="F65" s="439" t="s">
        <v>768</v>
      </c>
      <c r="G65" s="438" t="s">
        <v>768</v>
      </c>
      <c r="H65" s="439" t="s">
        <v>768</v>
      </c>
      <c r="I65" s="438" t="s">
        <v>768</v>
      </c>
      <c r="J65" s="438" t="s">
        <v>768</v>
      </c>
      <c r="K65" s="671"/>
      <c r="L65" s="671"/>
      <c r="M65" s="671"/>
      <c r="N65" s="671"/>
      <c r="O65" s="671"/>
      <c r="P65" s="671"/>
      <c r="Q65" s="671"/>
      <c r="R65" s="671"/>
      <c r="S65" s="671"/>
      <c r="T65" s="671"/>
      <c r="U65" s="671"/>
      <c r="V65" s="671"/>
      <c r="W65" s="671"/>
      <c r="X65" s="671"/>
      <c r="Y65" s="671"/>
      <c r="Z65" s="671"/>
      <c r="AA65" s="671"/>
      <c r="AB65" s="671"/>
      <c r="AC65" s="671"/>
      <c r="AD65" s="671"/>
      <c r="AE65" s="671"/>
      <c r="AF65" s="671"/>
      <c r="AG65" s="671"/>
      <c r="AH65" s="671"/>
      <c r="AI65" s="671"/>
      <c r="AJ65" s="671"/>
      <c r="AK65" s="671"/>
      <c r="AL65" s="671"/>
      <c r="AM65" s="671"/>
      <c r="AN65" s="671"/>
      <c r="AO65" s="671"/>
      <c r="AP65" s="671"/>
      <c r="AQ65" s="671"/>
      <c r="AR65" s="671"/>
      <c r="AS65" s="671"/>
      <c r="AT65" s="671"/>
      <c r="AU65" s="671"/>
      <c r="AV65" s="671"/>
      <c r="AW65" s="671"/>
    </row>
    <row r="66" spans="1:49" s="440" customFormat="1">
      <c r="A66" s="436" t="s">
        <v>1235</v>
      </c>
      <c r="B66" s="442" t="s">
        <v>1236</v>
      </c>
      <c r="C66" s="442"/>
      <c r="D66" s="438" t="s">
        <v>768</v>
      </c>
      <c r="E66" s="438" t="s">
        <v>768</v>
      </c>
      <c r="F66" s="439" t="s">
        <v>768</v>
      </c>
      <c r="G66" s="438" t="s">
        <v>768</v>
      </c>
      <c r="H66" s="439" t="s">
        <v>768</v>
      </c>
      <c r="I66" s="438" t="s">
        <v>768</v>
      </c>
      <c r="J66" s="438" t="s">
        <v>768</v>
      </c>
      <c r="K66" s="671"/>
      <c r="L66" s="671"/>
      <c r="M66" s="671"/>
      <c r="N66" s="671"/>
      <c r="O66" s="671"/>
      <c r="P66" s="671"/>
      <c r="Q66" s="671"/>
      <c r="R66" s="671"/>
      <c r="S66" s="671"/>
      <c r="T66" s="671"/>
      <c r="U66" s="671"/>
      <c r="V66" s="671"/>
      <c r="W66" s="671"/>
      <c r="X66" s="671"/>
      <c r="Y66" s="671"/>
      <c r="Z66" s="671"/>
      <c r="AA66" s="671"/>
      <c r="AB66" s="671"/>
      <c r="AC66" s="671"/>
      <c r="AD66" s="671"/>
      <c r="AE66" s="671"/>
      <c r="AF66" s="671"/>
      <c r="AG66" s="671"/>
      <c r="AH66" s="671"/>
      <c r="AI66" s="671"/>
      <c r="AJ66" s="671"/>
      <c r="AK66" s="671"/>
      <c r="AL66" s="671"/>
      <c r="AM66" s="671"/>
      <c r="AN66" s="671"/>
      <c r="AO66" s="671"/>
      <c r="AP66" s="671"/>
      <c r="AQ66" s="671"/>
      <c r="AR66" s="671"/>
      <c r="AS66" s="671"/>
      <c r="AT66" s="671"/>
      <c r="AU66" s="671"/>
      <c r="AV66" s="671"/>
      <c r="AW66" s="671"/>
    </row>
    <row r="67" spans="1:49" s="440" customFormat="1">
      <c r="A67" s="436" t="s">
        <v>1237</v>
      </c>
      <c r="B67" s="442" t="s">
        <v>1238</v>
      </c>
      <c r="C67" s="442"/>
      <c r="D67" s="438" t="s">
        <v>768</v>
      </c>
      <c r="E67" s="438" t="s">
        <v>768</v>
      </c>
      <c r="F67" s="439" t="s">
        <v>768</v>
      </c>
      <c r="G67" s="438" t="s">
        <v>768</v>
      </c>
      <c r="H67" s="439" t="s">
        <v>768</v>
      </c>
      <c r="I67" s="438" t="s">
        <v>768</v>
      </c>
      <c r="J67" s="438" t="s">
        <v>768</v>
      </c>
      <c r="K67" s="671"/>
      <c r="L67" s="671"/>
      <c r="M67" s="671"/>
      <c r="N67" s="671"/>
      <c r="O67" s="671"/>
      <c r="P67" s="671"/>
      <c r="Q67" s="671"/>
      <c r="R67" s="671"/>
      <c r="S67" s="671"/>
      <c r="T67" s="671"/>
      <c r="U67" s="671"/>
      <c r="V67" s="671"/>
      <c r="W67" s="671"/>
      <c r="X67" s="671"/>
      <c r="Y67" s="671"/>
      <c r="Z67" s="671"/>
      <c r="AA67" s="671"/>
      <c r="AB67" s="671"/>
      <c r="AC67" s="671"/>
      <c r="AD67" s="671"/>
      <c r="AE67" s="671"/>
      <c r="AF67" s="671"/>
      <c r="AG67" s="671"/>
      <c r="AH67" s="671"/>
      <c r="AI67" s="671"/>
      <c r="AJ67" s="671"/>
      <c r="AK67" s="671"/>
      <c r="AL67" s="671"/>
      <c r="AM67" s="671"/>
      <c r="AN67" s="671"/>
      <c r="AO67" s="671"/>
      <c r="AP67" s="671"/>
      <c r="AQ67" s="671"/>
      <c r="AR67" s="671"/>
      <c r="AS67" s="671"/>
      <c r="AT67" s="671"/>
      <c r="AU67" s="671"/>
      <c r="AV67" s="671"/>
      <c r="AW67" s="671"/>
    </row>
    <row r="68" spans="1:49" s="440" customFormat="1">
      <c r="A68" s="436" t="s">
        <v>1239</v>
      </c>
      <c r="B68" s="442" t="s">
        <v>1148</v>
      </c>
      <c r="C68" s="442"/>
      <c r="D68" s="438" t="s">
        <v>768</v>
      </c>
      <c r="E68" s="438" t="s">
        <v>768</v>
      </c>
      <c r="F68" s="439" t="s">
        <v>768</v>
      </c>
      <c r="G68" s="438" t="s">
        <v>768</v>
      </c>
      <c r="H68" s="439" t="s">
        <v>768</v>
      </c>
      <c r="I68" s="438" t="s">
        <v>768</v>
      </c>
      <c r="J68" s="438" t="s">
        <v>768</v>
      </c>
      <c r="K68" s="671"/>
      <c r="L68" s="671"/>
      <c r="M68" s="671"/>
      <c r="N68" s="671"/>
      <c r="O68" s="671"/>
      <c r="P68" s="671"/>
      <c r="Q68" s="671"/>
      <c r="R68" s="671"/>
      <c r="S68" s="671"/>
      <c r="T68" s="671"/>
      <c r="U68" s="671"/>
      <c r="V68" s="671"/>
      <c r="W68" s="671"/>
      <c r="X68" s="671"/>
      <c r="Y68" s="671"/>
      <c r="Z68" s="671"/>
      <c r="AA68" s="671"/>
      <c r="AB68" s="671"/>
      <c r="AC68" s="671"/>
      <c r="AD68" s="671"/>
      <c r="AE68" s="671"/>
      <c r="AF68" s="671"/>
      <c r="AG68" s="671"/>
      <c r="AH68" s="671"/>
      <c r="AI68" s="671"/>
      <c r="AJ68" s="671"/>
      <c r="AK68" s="671"/>
      <c r="AL68" s="671"/>
      <c r="AM68" s="671"/>
      <c r="AN68" s="671"/>
      <c r="AO68" s="671"/>
      <c r="AP68" s="671"/>
      <c r="AQ68" s="671"/>
      <c r="AR68" s="671"/>
      <c r="AS68" s="671"/>
      <c r="AT68" s="671"/>
      <c r="AU68" s="671"/>
      <c r="AV68" s="671"/>
      <c r="AW68" s="671"/>
    </row>
    <row r="69" spans="1:49" s="440" customFormat="1">
      <c r="A69" s="436" t="s">
        <v>1240</v>
      </c>
      <c r="B69" s="442" t="s">
        <v>1241</v>
      </c>
      <c r="C69" s="442"/>
      <c r="D69" s="438" t="s">
        <v>768</v>
      </c>
      <c r="E69" s="438" t="s">
        <v>768</v>
      </c>
      <c r="F69" s="439" t="s">
        <v>768</v>
      </c>
      <c r="G69" s="438" t="s">
        <v>768</v>
      </c>
      <c r="H69" s="439" t="s">
        <v>768</v>
      </c>
      <c r="I69" s="438" t="s">
        <v>768</v>
      </c>
      <c r="J69" s="438" t="s">
        <v>768</v>
      </c>
      <c r="K69" s="671"/>
      <c r="L69" s="671"/>
      <c r="M69" s="671"/>
      <c r="N69" s="671"/>
      <c r="O69" s="671"/>
      <c r="P69" s="671"/>
      <c r="Q69" s="671"/>
      <c r="R69" s="671"/>
      <c r="S69" s="671"/>
      <c r="T69" s="671"/>
      <c r="U69" s="671"/>
      <c r="V69" s="671"/>
      <c r="W69" s="671"/>
      <c r="X69" s="671"/>
      <c r="Y69" s="671"/>
      <c r="Z69" s="671"/>
      <c r="AA69" s="671"/>
      <c r="AB69" s="671"/>
      <c r="AC69" s="671"/>
      <c r="AD69" s="671"/>
      <c r="AE69" s="671"/>
      <c r="AF69" s="671"/>
      <c r="AG69" s="671"/>
      <c r="AH69" s="671"/>
      <c r="AI69" s="671"/>
      <c r="AJ69" s="671"/>
      <c r="AK69" s="671"/>
      <c r="AL69" s="671"/>
      <c r="AM69" s="671"/>
      <c r="AN69" s="671"/>
      <c r="AO69" s="671"/>
      <c r="AP69" s="671"/>
      <c r="AQ69" s="671"/>
      <c r="AR69" s="671"/>
      <c r="AS69" s="671"/>
      <c r="AT69" s="671"/>
      <c r="AU69" s="671"/>
      <c r="AV69" s="671"/>
      <c r="AW69" s="671"/>
    </row>
    <row r="70" spans="1:49">
      <c r="A70" s="431" t="s">
        <v>1242</v>
      </c>
      <c r="B70" s="432"/>
      <c r="C70" s="432"/>
      <c r="D70" s="433"/>
      <c r="E70" s="433"/>
      <c r="F70" s="434"/>
      <c r="G70" s="433"/>
      <c r="H70" s="434"/>
      <c r="I70" s="433"/>
      <c r="J70" s="433"/>
    </row>
    <row r="71" spans="1:49">
      <c r="A71" s="443" t="s">
        <v>1243</v>
      </c>
      <c r="B71" s="444"/>
      <c r="C71" s="444"/>
      <c r="D71" s="445"/>
      <c r="E71" s="445"/>
      <c r="F71" s="446"/>
      <c r="G71" s="445"/>
      <c r="H71" s="446"/>
      <c r="I71" s="445"/>
      <c r="J71" s="445"/>
    </row>
    <row r="72" spans="1:49">
      <c r="A72" s="441" t="s">
        <v>1244</v>
      </c>
      <c r="B72" s="127" t="s">
        <v>1245</v>
      </c>
      <c r="C72" s="127"/>
      <c r="D72" s="632">
        <v>492</v>
      </c>
      <c r="E72" s="632">
        <v>492</v>
      </c>
      <c r="F72" s="632">
        <v>492</v>
      </c>
      <c r="G72" s="632">
        <v>1E+100</v>
      </c>
      <c r="H72" s="632">
        <v>492</v>
      </c>
      <c r="I72" s="632">
        <v>492</v>
      </c>
      <c r="J72" s="632">
        <v>1E+100</v>
      </c>
    </row>
    <row r="73" spans="1:49">
      <c r="A73" s="441" t="s">
        <v>1246</v>
      </c>
      <c r="B73" s="127" t="s">
        <v>1245</v>
      </c>
      <c r="C73" s="127"/>
      <c r="D73" s="632">
        <v>90</v>
      </c>
      <c r="E73" s="632">
        <v>90</v>
      </c>
      <c r="F73" s="632">
        <v>20</v>
      </c>
      <c r="G73" s="632">
        <v>492</v>
      </c>
      <c r="H73" s="632">
        <v>90</v>
      </c>
      <c r="I73" s="632">
        <v>24</v>
      </c>
      <c r="J73" s="632">
        <v>492</v>
      </c>
    </row>
    <row r="74" spans="1:49">
      <c r="A74" s="441" t="s">
        <v>1247</v>
      </c>
      <c r="B74" s="127" t="s">
        <v>1195</v>
      </c>
      <c r="C74" s="127"/>
      <c r="D74" s="632" t="s">
        <v>768</v>
      </c>
      <c r="E74" s="632" t="s">
        <v>768</v>
      </c>
      <c r="F74" s="632" t="s">
        <v>768</v>
      </c>
      <c r="G74" s="632" t="s">
        <v>768</v>
      </c>
      <c r="H74" s="632" t="s">
        <v>768</v>
      </c>
      <c r="I74" s="632" t="s">
        <v>768</v>
      </c>
      <c r="J74" s="632" t="s">
        <v>768</v>
      </c>
    </row>
    <row r="75" spans="1:49">
      <c r="A75" s="441" t="s">
        <v>1248</v>
      </c>
      <c r="B75" s="127" t="s">
        <v>1249</v>
      </c>
      <c r="C75" s="127"/>
      <c r="D75" s="632">
        <v>0.45</v>
      </c>
      <c r="E75" s="632">
        <v>0.45</v>
      </c>
      <c r="F75" s="632">
        <v>0.45</v>
      </c>
      <c r="G75" s="632">
        <v>0.45</v>
      </c>
      <c r="H75" s="632">
        <v>0.45</v>
      </c>
      <c r="I75" s="632">
        <v>0.45</v>
      </c>
      <c r="J75" s="632">
        <v>0.45</v>
      </c>
    </row>
    <row r="76" spans="1:49">
      <c r="A76" s="441" t="s">
        <v>1250</v>
      </c>
      <c r="B76" s="127" t="s">
        <v>1249</v>
      </c>
      <c r="C76" s="127"/>
      <c r="D76" s="632">
        <v>0.45</v>
      </c>
      <c r="E76" s="632">
        <v>0.45</v>
      </c>
      <c r="F76" s="632">
        <v>0.45</v>
      </c>
      <c r="G76" s="632">
        <v>0</v>
      </c>
      <c r="H76" s="632">
        <v>0.45</v>
      </c>
      <c r="I76" s="632">
        <v>0.45</v>
      </c>
      <c r="J76" s="632">
        <v>0</v>
      </c>
    </row>
    <row r="77" spans="1:49">
      <c r="A77" s="441" t="s">
        <v>1251</v>
      </c>
      <c r="B77" s="127" t="s">
        <v>1252</v>
      </c>
      <c r="C77" s="127"/>
      <c r="D77" s="632">
        <v>108.97799999999999</v>
      </c>
      <c r="E77" s="632">
        <v>108.97799999999999</v>
      </c>
      <c r="F77" s="632">
        <v>107.01</v>
      </c>
      <c r="G77" s="632">
        <v>1.0000000000000001E-30</v>
      </c>
      <c r="H77" s="632">
        <v>108.97799999999999</v>
      </c>
      <c r="I77" s="632">
        <v>108.97799999999999</v>
      </c>
      <c r="J77" s="632">
        <v>1.0000000000000001E-30</v>
      </c>
    </row>
    <row r="78" spans="1:49">
      <c r="A78" s="441" t="s">
        <v>1253</v>
      </c>
      <c r="B78" s="127" t="s">
        <v>1195</v>
      </c>
      <c r="C78" s="127"/>
      <c r="D78" s="632">
        <v>187.2</v>
      </c>
      <c r="E78" s="632">
        <v>187.2</v>
      </c>
      <c r="F78" s="632">
        <v>41.6</v>
      </c>
      <c r="G78" s="632">
        <v>1023.36</v>
      </c>
      <c r="H78" s="632">
        <v>187.2</v>
      </c>
      <c r="I78" s="632">
        <v>49.92</v>
      </c>
      <c r="J78" s="632">
        <v>1023.36</v>
      </c>
    </row>
    <row r="79" spans="1:49" s="440" customFormat="1">
      <c r="A79" s="436" t="s">
        <v>1254</v>
      </c>
      <c r="B79" s="442" t="s">
        <v>1255</v>
      </c>
      <c r="C79" s="442"/>
      <c r="D79" s="439" t="s">
        <v>768</v>
      </c>
      <c r="E79" s="439" t="s">
        <v>768</v>
      </c>
      <c r="F79" s="439" t="s">
        <v>768</v>
      </c>
      <c r="G79" s="439" t="s">
        <v>768</v>
      </c>
      <c r="H79" s="439" t="s">
        <v>768</v>
      </c>
      <c r="I79" s="439" t="s">
        <v>768</v>
      </c>
      <c r="J79" s="439" t="s">
        <v>768</v>
      </c>
      <c r="K79" s="671"/>
      <c r="L79" s="671"/>
      <c r="M79" s="671"/>
      <c r="N79" s="671"/>
      <c r="O79" s="671"/>
      <c r="P79" s="671"/>
      <c r="Q79" s="671"/>
      <c r="R79" s="671"/>
      <c r="S79" s="671"/>
      <c r="T79" s="671"/>
      <c r="U79" s="671"/>
      <c r="V79" s="671"/>
      <c r="W79" s="671"/>
      <c r="X79" s="671"/>
      <c r="Y79" s="671"/>
      <c r="Z79" s="671"/>
      <c r="AA79" s="671"/>
      <c r="AB79" s="671"/>
      <c r="AC79" s="671"/>
      <c r="AD79" s="671"/>
      <c r="AE79" s="671"/>
      <c r="AF79" s="671"/>
      <c r="AG79" s="671"/>
      <c r="AH79" s="671"/>
      <c r="AI79" s="671"/>
      <c r="AJ79" s="671"/>
      <c r="AK79" s="671"/>
      <c r="AL79" s="671"/>
      <c r="AM79" s="671"/>
      <c r="AN79" s="671"/>
      <c r="AO79" s="671"/>
      <c r="AP79" s="671"/>
      <c r="AQ79" s="671"/>
      <c r="AR79" s="671"/>
      <c r="AS79" s="671"/>
      <c r="AT79" s="671"/>
      <c r="AU79" s="671"/>
      <c r="AV79" s="671"/>
      <c r="AW79" s="671"/>
    </row>
    <row r="80" spans="1:49">
      <c r="A80" s="443" t="s">
        <v>1256</v>
      </c>
      <c r="B80" s="444"/>
      <c r="C80" s="444"/>
      <c r="D80" s="445"/>
      <c r="E80" s="445"/>
      <c r="F80" s="446"/>
      <c r="G80" s="445"/>
      <c r="H80" s="446"/>
      <c r="I80" s="445"/>
      <c r="J80" s="445"/>
    </row>
    <row r="81" spans="1:10">
      <c r="A81" s="441" t="s">
        <v>1257</v>
      </c>
      <c r="B81" s="127" t="s">
        <v>1245</v>
      </c>
      <c r="C81" s="127"/>
      <c r="D81" s="239">
        <v>1</v>
      </c>
      <c r="E81" s="239">
        <v>1</v>
      </c>
      <c r="F81" s="632">
        <v>1</v>
      </c>
      <c r="G81" s="239">
        <v>1</v>
      </c>
      <c r="H81" s="632">
        <v>1</v>
      </c>
      <c r="I81" s="127">
        <v>1</v>
      </c>
      <c r="J81" s="239">
        <v>1</v>
      </c>
    </row>
    <row r="82" spans="1:10">
      <c r="A82" s="441" t="s">
        <v>1258</v>
      </c>
      <c r="B82" s="127" t="s">
        <v>1245</v>
      </c>
      <c r="C82" s="127"/>
      <c r="D82" s="632">
        <v>89</v>
      </c>
      <c r="E82" s="632">
        <v>89</v>
      </c>
      <c r="F82" s="632">
        <v>19</v>
      </c>
      <c r="G82" s="632">
        <v>491</v>
      </c>
      <c r="H82" s="632">
        <v>89</v>
      </c>
      <c r="I82" s="632">
        <v>23</v>
      </c>
      <c r="J82" s="632">
        <v>491</v>
      </c>
    </row>
    <row r="83" spans="1:10">
      <c r="A83" s="441" t="s">
        <v>1259</v>
      </c>
      <c r="B83" s="127" t="s">
        <v>1260</v>
      </c>
      <c r="C83" s="127"/>
      <c r="D83" s="239">
        <v>402</v>
      </c>
      <c r="E83" s="239">
        <v>402</v>
      </c>
      <c r="F83" s="632">
        <v>402</v>
      </c>
      <c r="G83" s="239">
        <v>402</v>
      </c>
      <c r="H83" s="632">
        <v>402</v>
      </c>
      <c r="I83" s="127">
        <v>402</v>
      </c>
      <c r="J83" s="239">
        <v>402</v>
      </c>
    </row>
    <row r="84" spans="1:10">
      <c r="A84" s="443" t="s">
        <v>1261</v>
      </c>
      <c r="B84" s="444"/>
      <c r="C84" s="444"/>
      <c r="D84" s="445"/>
      <c r="E84" s="445"/>
      <c r="F84" s="446"/>
      <c r="G84" s="445"/>
      <c r="H84" s="446"/>
      <c r="I84" s="445"/>
      <c r="J84" s="445"/>
    </row>
    <row r="85" spans="1:10">
      <c r="A85" s="436" t="s">
        <v>1262</v>
      </c>
      <c r="B85" s="442" t="s">
        <v>1255</v>
      </c>
      <c r="C85" s="442"/>
      <c r="D85" s="438" t="s">
        <v>768</v>
      </c>
      <c r="E85" s="438" t="s">
        <v>768</v>
      </c>
      <c r="F85" s="439" t="s">
        <v>768</v>
      </c>
      <c r="G85" s="438" t="s">
        <v>768</v>
      </c>
      <c r="H85" s="439" t="s">
        <v>768</v>
      </c>
      <c r="I85" s="438" t="s">
        <v>768</v>
      </c>
      <c r="J85" s="438" t="s">
        <v>768</v>
      </c>
    </row>
    <row r="86" spans="1:10">
      <c r="A86" s="436" t="s">
        <v>1263</v>
      </c>
      <c r="B86" s="442" t="s">
        <v>1264</v>
      </c>
      <c r="C86" s="442"/>
      <c r="D86" s="438" t="s">
        <v>768</v>
      </c>
      <c r="E86" s="438" t="s">
        <v>768</v>
      </c>
      <c r="F86" s="439" t="s">
        <v>768</v>
      </c>
      <c r="G86" s="438" t="s">
        <v>768</v>
      </c>
      <c r="H86" s="439" t="s">
        <v>768</v>
      </c>
      <c r="I86" s="438" t="s">
        <v>768</v>
      </c>
      <c r="J86" s="438" t="s">
        <v>768</v>
      </c>
    </row>
    <row r="87" spans="1:10">
      <c r="A87" s="436" t="s">
        <v>1265</v>
      </c>
      <c r="B87" s="442" t="s">
        <v>1165</v>
      </c>
      <c r="C87" s="442"/>
      <c r="D87" s="438" t="s">
        <v>768</v>
      </c>
      <c r="E87" s="438" t="s">
        <v>768</v>
      </c>
      <c r="F87" s="439" t="s">
        <v>768</v>
      </c>
      <c r="G87" s="438" t="s">
        <v>768</v>
      </c>
      <c r="H87" s="439" t="s">
        <v>768</v>
      </c>
      <c r="I87" s="438" t="s">
        <v>768</v>
      </c>
      <c r="J87" s="438" t="s">
        <v>768</v>
      </c>
    </row>
    <row r="88" spans="1:10">
      <c r="A88" s="436" t="s">
        <v>1266</v>
      </c>
      <c r="B88" s="442" t="s">
        <v>1267</v>
      </c>
      <c r="C88" s="442"/>
      <c r="D88" s="438" t="s">
        <v>768</v>
      </c>
      <c r="E88" s="438" t="s">
        <v>768</v>
      </c>
      <c r="F88" s="439" t="s">
        <v>768</v>
      </c>
      <c r="G88" s="438" t="s">
        <v>768</v>
      </c>
      <c r="H88" s="439" t="s">
        <v>768</v>
      </c>
      <c r="I88" s="438" t="s">
        <v>768</v>
      </c>
      <c r="J88" s="438" t="s">
        <v>768</v>
      </c>
    </row>
    <row r="89" spans="1:10">
      <c r="A89" s="436" t="s">
        <v>1268</v>
      </c>
      <c r="B89" s="442" t="s">
        <v>1267</v>
      </c>
      <c r="C89" s="442"/>
      <c r="D89" s="438" t="s">
        <v>768</v>
      </c>
      <c r="E89" s="438" t="s">
        <v>768</v>
      </c>
      <c r="F89" s="439" t="s">
        <v>768</v>
      </c>
      <c r="G89" s="438" t="s">
        <v>768</v>
      </c>
      <c r="H89" s="439" t="s">
        <v>768</v>
      </c>
      <c r="I89" s="438" t="s">
        <v>768</v>
      </c>
      <c r="J89" s="438" t="s">
        <v>768</v>
      </c>
    </row>
    <row r="90" spans="1:10">
      <c r="A90" s="443" t="s">
        <v>1269</v>
      </c>
      <c r="B90" s="444"/>
      <c r="C90" s="444"/>
      <c r="D90" s="445"/>
      <c r="E90" s="445"/>
      <c r="F90" s="446"/>
      <c r="G90" s="445"/>
      <c r="H90" s="446"/>
      <c r="I90" s="445"/>
      <c r="J90" s="445"/>
    </row>
    <row r="91" spans="1:10">
      <c r="A91" s="451" t="s">
        <v>1270</v>
      </c>
      <c r="B91" s="442"/>
      <c r="C91" s="442"/>
      <c r="D91" s="438" t="s">
        <v>768</v>
      </c>
      <c r="E91" s="438" t="s">
        <v>768</v>
      </c>
      <c r="F91" s="439" t="s">
        <v>768</v>
      </c>
      <c r="G91" s="438" t="s">
        <v>768</v>
      </c>
      <c r="H91" s="439" t="s">
        <v>768</v>
      </c>
      <c r="I91" s="438" t="s">
        <v>768</v>
      </c>
      <c r="J91" s="438" t="s">
        <v>768</v>
      </c>
    </row>
    <row r="92" spans="1:10">
      <c r="A92" s="436" t="s">
        <v>1271</v>
      </c>
      <c r="B92" s="442" t="s">
        <v>1260</v>
      </c>
      <c r="C92" s="442"/>
      <c r="D92" s="438" t="s">
        <v>768</v>
      </c>
      <c r="E92" s="438" t="s">
        <v>768</v>
      </c>
      <c r="F92" s="439" t="s">
        <v>768</v>
      </c>
      <c r="G92" s="438" t="s">
        <v>768</v>
      </c>
      <c r="H92" s="439" t="s">
        <v>768</v>
      </c>
      <c r="I92" s="438" t="s">
        <v>768</v>
      </c>
      <c r="J92" s="438" t="s">
        <v>768</v>
      </c>
    </row>
    <row r="93" spans="1:10">
      <c r="A93" s="436" t="s">
        <v>1272</v>
      </c>
      <c r="B93" s="442" t="s">
        <v>1260</v>
      </c>
      <c r="C93" s="442"/>
      <c r="D93" s="438" t="s">
        <v>768</v>
      </c>
      <c r="E93" s="438" t="s">
        <v>768</v>
      </c>
      <c r="F93" s="439" t="s">
        <v>768</v>
      </c>
      <c r="G93" s="438" t="s">
        <v>768</v>
      </c>
      <c r="H93" s="439" t="s">
        <v>768</v>
      </c>
      <c r="I93" s="438" t="s">
        <v>768</v>
      </c>
      <c r="J93" s="438" t="s">
        <v>768</v>
      </c>
    </row>
    <row r="94" spans="1:10">
      <c r="A94" s="436" t="s">
        <v>1273</v>
      </c>
      <c r="B94" s="442" t="s">
        <v>1192</v>
      </c>
      <c r="C94" s="442"/>
      <c r="D94" s="438" t="s">
        <v>768</v>
      </c>
      <c r="E94" s="438" t="s">
        <v>768</v>
      </c>
      <c r="F94" s="439" t="s">
        <v>768</v>
      </c>
      <c r="G94" s="438" t="s">
        <v>768</v>
      </c>
      <c r="H94" s="439" t="s">
        <v>768</v>
      </c>
      <c r="I94" s="438" t="s">
        <v>768</v>
      </c>
      <c r="J94" s="438" t="s">
        <v>768</v>
      </c>
    </row>
    <row r="95" spans="1:10">
      <c r="A95" s="436" t="s">
        <v>1274</v>
      </c>
      <c r="B95" s="442" t="s">
        <v>1192</v>
      </c>
      <c r="C95" s="442"/>
      <c r="D95" s="438" t="s">
        <v>768</v>
      </c>
      <c r="E95" s="438" t="s">
        <v>768</v>
      </c>
      <c r="F95" s="439" t="s">
        <v>768</v>
      </c>
      <c r="G95" s="438" t="s">
        <v>768</v>
      </c>
      <c r="H95" s="439" t="s">
        <v>768</v>
      </c>
      <c r="I95" s="438" t="s">
        <v>768</v>
      </c>
      <c r="J95" s="438" t="s">
        <v>768</v>
      </c>
    </row>
    <row r="96" spans="1:10">
      <c r="A96" s="452" t="s">
        <v>1275</v>
      </c>
      <c r="B96" s="442" t="s">
        <v>1255</v>
      </c>
      <c r="C96" s="442"/>
      <c r="D96" s="438" t="s">
        <v>768</v>
      </c>
      <c r="E96" s="438" t="s">
        <v>768</v>
      </c>
      <c r="F96" s="439" t="s">
        <v>768</v>
      </c>
      <c r="G96" s="438" t="s">
        <v>768</v>
      </c>
      <c r="H96" s="439" t="s">
        <v>768</v>
      </c>
      <c r="I96" s="438" t="s">
        <v>768</v>
      </c>
      <c r="J96" s="438" t="s">
        <v>768</v>
      </c>
    </row>
    <row r="97" spans="1:10">
      <c r="A97" s="436" t="s">
        <v>1276</v>
      </c>
      <c r="B97" s="442" t="s">
        <v>1169</v>
      </c>
      <c r="C97" s="442"/>
      <c r="D97" s="438" t="s">
        <v>768</v>
      </c>
      <c r="E97" s="438" t="s">
        <v>768</v>
      </c>
      <c r="F97" s="439" t="s">
        <v>768</v>
      </c>
      <c r="G97" s="438" t="s">
        <v>768</v>
      </c>
      <c r="H97" s="439" t="s">
        <v>768</v>
      </c>
      <c r="I97" s="438" t="s">
        <v>768</v>
      </c>
      <c r="J97" s="438" t="s">
        <v>768</v>
      </c>
    </row>
    <row r="98" spans="1:10">
      <c r="A98" s="451" t="s">
        <v>1277</v>
      </c>
      <c r="B98" s="442"/>
      <c r="C98" s="442"/>
      <c r="D98" s="438" t="s">
        <v>768</v>
      </c>
      <c r="E98" s="438" t="s">
        <v>768</v>
      </c>
      <c r="F98" s="439" t="s">
        <v>768</v>
      </c>
      <c r="G98" s="438" t="s">
        <v>768</v>
      </c>
      <c r="H98" s="439" t="s">
        <v>768</v>
      </c>
      <c r="I98" s="438" t="s">
        <v>768</v>
      </c>
      <c r="J98" s="438" t="s">
        <v>768</v>
      </c>
    </row>
    <row r="99" spans="1:10">
      <c r="A99" s="436" t="s">
        <v>1271</v>
      </c>
      <c r="B99" s="442" t="s">
        <v>1260</v>
      </c>
      <c r="C99" s="442"/>
      <c r="D99" s="438" t="s">
        <v>768</v>
      </c>
      <c r="E99" s="438" t="s">
        <v>768</v>
      </c>
      <c r="F99" s="439" t="s">
        <v>768</v>
      </c>
      <c r="G99" s="438" t="s">
        <v>768</v>
      </c>
      <c r="H99" s="439" t="s">
        <v>768</v>
      </c>
      <c r="I99" s="438" t="s">
        <v>768</v>
      </c>
      <c r="J99" s="438" t="s">
        <v>768</v>
      </c>
    </row>
    <row r="100" spans="1:10">
      <c r="A100" s="436" t="s">
        <v>1272</v>
      </c>
      <c r="B100" s="442" t="s">
        <v>1260</v>
      </c>
      <c r="C100" s="442"/>
      <c r="D100" s="438" t="s">
        <v>768</v>
      </c>
      <c r="E100" s="438" t="s">
        <v>768</v>
      </c>
      <c r="F100" s="439" t="s">
        <v>768</v>
      </c>
      <c r="G100" s="438" t="s">
        <v>768</v>
      </c>
      <c r="H100" s="439" t="s">
        <v>768</v>
      </c>
      <c r="I100" s="438" t="s">
        <v>768</v>
      </c>
      <c r="J100" s="438" t="s">
        <v>768</v>
      </c>
    </row>
    <row r="101" spans="1:10">
      <c r="A101" s="436" t="s">
        <v>1273</v>
      </c>
      <c r="B101" s="442" t="s">
        <v>1192</v>
      </c>
      <c r="C101" s="442"/>
      <c r="D101" s="438" t="s">
        <v>768</v>
      </c>
      <c r="E101" s="438" t="s">
        <v>768</v>
      </c>
      <c r="F101" s="439" t="s">
        <v>768</v>
      </c>
      <c r="G101" s="438" t="s">
        <v>768</v>
      </c>
      <c r="H101" s="439" t="s">
        <v>768</v>
      </c>
      <c r="I101" s="438" t="s">
        <v>768</v>
      </c>
      <c r="J101" s="438" t="s">
        <v>768</v>
      </c>
    </row>
    <row r="102" spans="1:10">
      <c r="A102" s="436" t="s">
        <v>1274</v>
      </c>
      <c r="B102" s="442" t="s">
        <v>1192</v>
      </c>
      <c r="C102" s="442"/>
      <c r="D102" s="438" t="s">
        <v>768</v>
      </c>
      <c r="E102" s="438" t="s">
        <v>768</v>
      </c>
      <c r="F102" s="439" t="s">
        <v>768</v>
      </c>
      <c r="G102" s="438" t="s">
        <v>768</v>
      </c>
      <c r="H102" s="439" t="s">
        <v>768</v>
      </c>
      <c r="I102" s="438" t="s">
        <v>768</v>
      </c>
      <c r="J102" s="438" t="s">
        <v>768</v>
      </c>
    </row>
    <row r="103" spans="1:10">
      <c r="A103" s="452" t="s">
        <v>1275</v>
      </c>
      <c r="B103" s="442" t="s">
        <v>1255</v>
      </c>
      <c r="C103" s="442"/>
      <c r="D103" s="438" t="s">
        <v>768</v>
      </c>
      <c r="E103" s="438" t="s">
        <v>768</v>
      </c>
      <c r="F103" s="439" t="s">
        <v>768</v>
      </c>
      <c r="G103" s="438" t="s">
        <v>768</v>
      </c>
      <c r="H103" s="439" t="s">
        <v>768</v>
      </c>
      <c r="I103" s="438" t="s">
        <v>768</v>
      </c>
      <c r="J103" s="438" t="s">
        <v>768</v>
      </c>
    </row>
    <row r="104" spans="1:10">
      <c r="A104" s="436" t="s">
        <v>1276</v>
      </c>
      <c r="B104" s="442" t="s">
        <v>1169</v>
      </c>
      <c r="C104" s="442"/>
      <c r="D104" s="438" t="s">
        <v>768</v>
      </c>
      <c r="E104" s="438" t="s">
        <v>768</v>
      </c>
      <c r="F104" s="439" t="s">
        <v>768</v>
      </c>
      <c r="G104" s="438" t="s">
        <v>768</v>
      </c>
      <c r="H104" s="439" t="s">
        <v>768</v>
      </c>
      <c r="I104" s="438" t="s">
        <v>768</v>
      </c>
      <c r="J104" s="438" t="s">
        <v>768</v>
      </c>
    </row>
    <row r="105" spans="1:10">
      <c r="A105" s="451" t="s">
        <v>1278</v>
      </c>
      <c r="B105" s="442"/>
      <c r="C105" s="442"/>
      <c r="D105" s="438" t="s">
        <v>768</v>
      </c>
      <c r="E105" s="438" t="s">
        <v>768</v>
      </c>
      <c r="F105" s="439" t="s">
        <v>768</v>
      </c>
      <c r="G105" s="438" t="s">
        <v>768</v>
      </c>
      <c r="H105" s="439" t="s">
        <v>768</v>
      </c>
      <c r="I105" s="438" t="s">
        <v>768</v>
      </c>
      <c r="J105" s="438" t="s">
        <v>768</v>
      </c>
    </row>
    <row r="106" spans="1:10">
      <c r="A106" s="436" t="s">
        <v>1271</v>
      </c>
      <c r="B106" s="442" t="s">
        <v>1260</v>
      </c>
      <c r="C106" s="442"/>
      <c r="D106" s="438" t="s">
        <v>768</v>
      </c>
      <c r="E106" s="438" t="s">
        <v>768</v>
      </c>
      <c r="F106" s="439" t="s">
        <v>768</v>
      </c>
      <c r="G106" s="438" t="s">
        <v>768</v>
      </c>
      <c r="H106" s="439" t="s">
        <v>768</v>
      </c>
      <c r="I106" s="438" t="s">
        <v>768</v>
      </c>
      <c r="J106" s="438" t="s">
        <v>768</v>
      </c>
    </row>
    <row r="107" spans="1:10">
      <c r="A107" s="436" t="s">
        <v>1272</v>
      </c>
      <c r="B107" s="442" t="s">
        <v>1260</v>
      </c>
      <c r="C107" s="442"/>
      <c r="D107" s="438" t="s">
        <v>768</v>
      </c>
      <c r="E107" s="438" t="s">
        <v>768</v>
      </c>
      <c r="F107" s="439" t="s">
        <v>768</v>
      </c>
      <c r="G107" s="438" t="s">
        <v>768</v>
      </c>
      <c r="H107" s="439" t="s">
        <v>768</v>
      </c>
      <c r="I107" s="438" t="s">
        <v>768</v>
      </c>
      <c r="J107" s="438" t="s">
        <v>768</v>
      </c>
    </row>
    <row r="108" spans="1:10">
      <c r="A108" s="436" t="s">
        <v>1274</v>
      </c>
      <c r="B108" s="442" t="s">
        <v>1192</v>
      </c>
      <c r="C108" s="442"/>
      <c r="D108" s="438" t="s">
        <v>768</v>
      </c>
      <c r="E108" s="438" t="s">
        <v>768</v>
      </c>
      <c r="F108" s="439" t="s">
        <v>768</v>
      </c>
      <c r="G108" s="438" t="s">
        <v>768</v>
      </c>
      <c r="H108" s="439" t="s">
        <v>768</v>
      </c>
      <c r="I108" s="438" t="s">
        <v>768</v>
      </c>
      <c r="J108" s="438" t="s">
        <v>768</v>
      </c>
    </row>
    <row r="109" spans="1:10">
      <c r="A109" s="452" t="s">
        <v>1275</v>
      </c>
      <c r="B109" s="442" t="s">
        <v>1255</v>
      </c>
      <c r="C109" s="442"/>
      <c r="D109" s="438" t="s">
        <v>768</v>
      </c>
      <c r="E109" s="438" t="s">
        <v>768</v>
      </c>
      <c r="F109" s="439" t="s">
        <v>768</v>
      </c>
      <c r="G109" s="438" t="s">
        <v>768</v>
      </c>
      <c r="H109" s="439" t="s">
        <v>768</v>
      </c>
      <c r="I109" s="438" t="s">
        <v>768</v>
      </c>
      <c r="J109" s="438" t="s">
        <v>768</v>
      </c>
    </row>
    <row r="110" spans="1:10">
      <c r="A110" s="451" t="s">
        <v>887</v>
      </c>
      <c r="B110" s="442"/>
      <c r="C110" s="442"/>
      <c r="D110" s="438" t="s">
        <v>768</v>
      </c>
      <c r="E110" s="438" t="s">
        <v>768</v>
      </c>
      <c r="F110" s="439" t="s">
        <v>768</v>
      </c>
      <c r="G110" s="438" t="s">
        <v>768</v>
      </c>
      <c r="H110" s="439" t="s">
        <v>768</v>
      </c>
      <c r="I110" s="438" t="s">
        <v>768</v>
      </c>
      <c r="J110" s="438" t="s">
        <v>768</v>
      </c>
    </row>
    <row r="111" spans="1:10">
      <c r="A111" s="436" t="s">
        <v>1279</v>
      </c>
      <c r="B111" s="442" t="s">
        <v>1169</v>
      </c>
      <c r="C111" s="442"/>
      <c r="D111" s="438" t="s">
        <v>768</v>
      </c>
      <c r="E111" s="438" t="s">
        <v>768</v>
      </c>
      <c r="F111" s="439" t="s">
        <v>768</v>
      </c>
      <c r="G111" s="438" t="s">
        <v>768</v>
      </c>
      <c r="H111" s="439" t="s">
        <v>768</v>
      </c>
      <c r="I111" s="438" t="s">
        <v>768</v>
      </c>
      <c r="J111" s="438" t="s">
        <v>768</v>
      </c>
    </row>
    <row r="112" spans="1:10">
      <c r="A112" s="453" t="s">
        <v>1280</v>
      </c>
      <c r="B112" s="442" t="s">
        <v>1260</v>
      </c>
      <c r="C112" s="442"/>
      <c r="D112" s="438" t="s">
        <v>768</v>
      </c>
      <c r="E112" s="438" t="s">
        <v>768</v>
      </c>
      <c r="F112" s="439" t="s">
        <v>768</v>
      </c>
      <c r="G112" s="438" t="s">
        <v>768</v>
      </c>
      <c r="H112" s="439" t="s">
        <v>768</v>
      </c>
      <c r="I112" s="438" t="s">
        <v>768</v>
      </c>
      <c r="J112" s="438" t="s">
        <v>768</v>
      </c>
    </row>
    <row r="113" spans="1:10">
      <c r="A113" s="436" t="s">
        <v>1281</v>
      </c>
      <c r="B113" s="442" t="s">
        <v>1165</v>
      </c>
      <c r="C113" s="442"/>
      <c r="D113" s="438" t="s">
        <v>768</v>
      </c>
      <c r="E113" s="438" t="s">
        <v>768</v>
      </c>
      <c r="F113" s="439" t="s">
        <v>768</v>
      </c>
      <c r="G113" s="438" t="s">
        <v>768</v>
      </c>
      <c r="H113" s="439" t="s">
        <v>768</v>
      </c>
      <c r="I113" s="438" t="s">
        <v>768</v>
      </c>
      <c r="J113" s="438" t="s">
        <v>768</v>
      </c>
    </row>
    <row r="114" spans="1:10">
      <c r="A114" s="436" t="s">
        <v>1282</v>
      </c>
      <c r="B114" s="442" t="s">
        <v>1165</v>
      </c>
      <c r="C114" s="442"/>
      <c r="D114" s="438" t="s">
        <v>768</v>
      </c>
      <c r="E114" s="438" t="s">
        <v>768</v>
      </c>
      <c r="F114" s="439" t="s">
        <v>768</v>
      </c>
      <c r="G114" s="438" t="s">
        <v>768</v>
      </c>
      <c r="H114" s="439" t="s">
        <v>768</v>
      </c>
      <c r="I114" s="438" t="s">
        <v>768</v>
      </c>
      <c r="J114" s="438" t="s">
        <v>768</v>
      </c>
    </row>
    <row r="115" spans="1:10">
      <c r="A115" s="431" t="s">
        <v>1283</v>
      </c>
      <c r="B115" s="431"/>
      <c r="C115" s="431"/>
      <c r="D115" s="431"/>
      <c r="E115" s="431"/>
      <c r="F115" s="431"/>
      <c r="G115" s="431"/>
      <c r="H115" s="431"/>
      <c r="I115" s="433"/>
      <c r="J115" s="431"/>
    </row>
    <row r="116" spans="1:10">
      <c r="A116" s="441" t="s">
        <v>1284</v>
      </c>
      <c r="B116" s="127" t="s">
        <v>1285</v>
      </c>
      <c r="C116" s="127"/>
      <c r="D116" s="239">
        <v>1</v>
      </c>
      <c r="E116" s="239">
        <v>1</v>
      </c>
      <c r="F116" s="632">
        <v>1</v>
      </c>
      <c r="G116" s="239">
        <v>1</v>
      </c>
      <c r="H116" s="632">
        <v>1</v>
      </c>
      <c r="I116" s="127"/>
      <c r="J116" s="239">
        <v>1</v>
      </c>
    </row>
    <row r="117" spans="1:10">
      <c r="A117" s="441" t="s">
        <v>1286</v>
      </c>
      <c r="B117" s="127" t="s">
        <v>1236</v>
      </c>
      <c r="C117" s="127"/>
      <c r="D117" s="239">
        <v>1</v>
      </c>
      <c r="E117" s="239">
        <v>1</v>
      </c>
      <c r="F117" s="632">
        <v>1</v>
      </c>
      <c r="G117" s="239">
        <v>1</v>
      </c>
      <c r="H117" s="632">
        <v>1</v>
      </c>
      <c r="I117" s="127"/>
      <c r="J117" s="239">
        <v>1</v>
      </c>
    </row>
    <row r="118" spans="1:10">
      <c r="A118" s="436" t="s">
        <v>1287</v>
      </c>
      <c r="B118" s="442" t="s">
        <v>1288</v>
      </c>
      <c r="C118" s="442"/>
      <c r="D118" s="438" t="s">
        <v>768</v>
      </c>
      <c r="E118" s="438" t="s">
        <v>768</v>
      </c>
      <c r="F118" s="439" t="s">
        <v>768</v>
      </c>
      <c r="G118" s="438" t="s">
        <v>768</v>
      </c>
      <c r="H118" s="439" t="s">
        <v>768</v>
      </c>
      <c r="I118" s="438" t="s">
        <v>768</v>
      </c>
      <c r="J118" s="438" t="s">
        <v>768</v>
      </c>
    </row>
    <row r="119" spans="1:10">
      <c r="A119" s="436" t="s">
        <v>1289</v>
      </c>
      <c r="B119" s="442" t="s">
        <v>1288</v>
      </c>
      <c r="C119" s="442"/>
      <c r="D119" s="438" t="s">
        <v>768</v>
      </c>
      <c r="E119" s="438" t="s">
        <v>768</v>
      </c>
      <c r="F119" s="439" t="s">
        <v>768</v>
      </c>
      <c r="G119" s="438" t="s">
        <v>768</v>
      </c>
      <c r="H119" s="439" t="s">
        <v>768</v>
      </c>
      <c r="I119" s="438" t="s">
        <v>768</v>
      </c>
      <c r="J119" s="438" t="s">
        <v>768</v>
      </c>
    </row>
    <row r="120" spans="1:10">
      <c r="A120" s="436" t="s">
        <v>1290</v>
      </c>
      <c r="B120" s="442" t="s">
        <v>1288</v>
      </c>
      <c r="C120" s="442"/>
      <c r="D120" s="438" t="s">
        <v>768</v>
      </c>
      <c r="E120" s="438" t="s">
        <v>768</v>
      </c>
      <c r="F120" s="439" t="s">
        <v>768</v>
      </c>
      <c r="G120" s="438" t="s">
        <v>768</v>
      </c>
      <c r="H120" s="439" t="s">
        <v>768</v>
      </c>
      <c r="I120" s="438" t="s">
        <v>768</v>
      </c>
      <c r="J120" s="438" t="s">
        <v>768</v>
      </c>
    </row>
    <row r="121" spans="1:10">
      <c r="A121" s="436" t="s">
        <v>1291</v>
      </c>
      <c r="B121" s="442" t="s">
        <v>1288</v>
      </c>
      <c r="C121" s="442"/>
      <c r="D121" s="438" t="s">
        <v>768</v>
      </c>
      <c r="E121" s="438" t="s">
        <v>768</v>
      </c>
      <c r="F121" s="439" t="s">
        <v>768</v>
      </c>
      <c r="G121" s="438" t="s">
        <v>768</v>
      </c>
      <c r="H121" s="439" t="s">
        <v>768</v>
      </c>
      <c r="I121" s="438" t="s">
        <v>768</v>
      </c>
      <c r="J121" s="438" t="s">
        <v>768</v>
      </c>
    </row>
    <row r="122" spans="1:10">
      <c r="A122" s="436" t="s">
        <v>1292</v>
      </c>
      <c r="B122" s="442" t="s">
        <v>1288</v>
      </c>
      <c r="C122" s="442"/>
      <c r="D122" s="438" t="s">
        <v>768</v>
      </c>
      <c r="E122" s="438" t="s">
        <v>768</v>
      </c>
      <c r="F122" s="439" t="s">
        <v>768</v>
      </c>
      <c r="G122" s="438" t="s">
        <v>768</v>
      </c>
      <c r="H122" s="439" t="s">
        <v>768</v>
      </c>
      <c r="I122" s="438" t="s">
        <v>768</v>
      </c>
      <c r="J122" s="438" t="s">
        <v>768</v>
      </c>
    </row>
    <row r="123" spans="1:10">
      <c r="A123" s="436" t="s">
        <v>1293</v>
      </c>
      <c r="B123" s="442" t="s">
        <v>1288</v>
      </c>
      <c r="C123" s="442"/>
      <c r="D123" s="438" t="s">
        <v>768</v>
      </c>
      <c r="E123" s="438" t="s">
        <v>768</v>
      </c>
      <c r="F123" s="439" t="s">
        <v>768</v>
      </c>
      <c r="G123" s="438" t="s">
        <v>768</v>
      </c>
      <c r="H123" s="439" t="s">
        <v>768</v>
      </c>
      <c r="I123" s="438" t="s">
        <v>768</v>
      </c>
      <c r="J123" s="438" t="s">
        <v>768</v>
      </c>
    </row>
    <row r="124" spans="1:10">
      <c r="A124" s="436" t="s">
        <v>1294</v>
      </c>
      <c r="B124" s="442" t="s">
        <v>1288</v>
      </c>
      <c r="C124" s="442"/>
      <c r="D124" s="438" t="s">
        <v>768</v>
      </c>
      <c r="E124" s="438" t="s">
        <v>768</v>
      </c>
      <c r="F124" s="439" t="s">
        <v>768</v>
      </c>
      <c r="G124" s="438" t="s">
        <v>768</v>
      </c>
      <c r="H124" s="439" t="s">
        <v>768</v>
      </c>
      <c r="I124" s="438" t="s">
        <v>768</v>
      </c>
      <c r="J124" s="438" t="s">
        <v>768</v>
      </c>
    </row>
    <row r="134" spans="1:8">
      <c r="A134" s="671" t="s">
        <v>1295</v>
      </c>
      <c r="B134" s="671" t="s">
        <v>1296</v>
      </c>
      <c r="C134" s="671" t="s">
        <v>1297</v>
      </c>
      <c r="F134" s="671" t="s">
        <v>1298</v>
      </c>
      <c r="H134" s="671" t="s">
        <v>1299</v>
      </c>
    </row>
    <row r="135" spans="1:8">
      <c r="A135" s="671" t="s">
        <v>877</v>
      </c>
      <c r="B135" s="671">
        <v>2.4</v>
      </c>
      <c r="C135" s="671">
        <v>2.4</v>
      </c>
      <c r="F135" s="671">
        <v>12.5</v>
      </c>
      <c r="H135" s="671">
        <v>12.5</v>
      </c>
    </row>
    <row r="136" spans="1:8">
      <c r="A136" s="671" t="s">
        <v>1300</v>
      </c>
      <c r="B136" s="671">
        <v>1400</v>
      </c>
      <c r="C136" s="671">
        <v>50</v>
      </c>
      <c r="F136" s="671">
        <v>1.5</v>
      </c>
      <c r="H136" s="671">
        <v>1.5</v>
      </c>
    </row>
    <row r="137" spans="1:8">
      <c r="A137" s="671" t="s">
        <v>952</v>
      </c>
      <c r="B137" s="671">
        <v>1E+100</v>
      </c>
      <c r="C137" s="671">
        <v>492</v>
      </c>
      <c r="F137" s="671">
        <v>0</v>
      </c>
      <c r="H137" s="671">
        <v>0.45</v>
      </c>
    </row>
    <row r="138" spans="1:8">
      <c r="A138" s="671" t="s">
        <v>1301</v>
      </c>
      <c r="B138" s="671">
        <v>492</v>
      </c>
      <c r="C138" s="671">
        <v>15</v>
      </c>
      <c r="F138" s="671">
        <v>0.45</v>
      </c>
      <c r="H138" s="671">
        <v>0.45</v>
      </c>
    </row>
    <row r="139" spans="1:8">
      <c r="A139" s="671" t="s">
        <v>1302</v>
      </c>
      <c r="B139" s="671">
        <v>492</v>
      </c>
      <c r="C139" s="671">
        <v>36</v>
      </c>
      <c r="F139" s="671">
        <v>0.45</v>
      </c>
      <c r="H139" s="671">
        <v>0.45</v>
      </c>
    </row>
    <row r="140" spans="1:8">
      <c r="A140" s="671" t="s">
        <v>1173</v>
      </c>
      <c r="B140" s="671">
        <v>492</v>
      </c>
      <c r="C140" s="671">
        <v>90</v>
      </c>
      <c r="F140" s="671">
        <v>0.45</v>
      </c>
      <c r="H140" s="671">
        <v>0.45</v>
      </c>
    </row>
    <row r="141" spans="1:8">
      <c r="A141" s="671" t="s">
        <v>1174</v>
      </c>
      <c r="B141" s="671">
        <v>492</v>
      </c>
      <c r="C141" s="671">
        <v>24</v>
      </c>
      <c r="F141" s="671">
        <v>0.45</v>
      </c>
      <c r="H141" s="671">
        <v>0.45</v>
      </c>
    </row>
    <row r="142" spans="1:8">
      <c r="A142" s="671" t="s">
        <v>1303</v>
      </c>
      <c r="B142" s="671">
        <v>492</v>
      </c>
      <c r="C142" s="671">
        <v>8</v>
      </c>
      <c r="F142" s="671">
        <v>0.45</v>
      </c>
      <c r="H142" s="671">
        <v>0.45</v>
      </c>
    </row>
    <row r="143" spans="1:8">
      <c r="A143" s="671" t="s">
        <v>1304</v>
      </c>
      <c r="B143" s="671">
        <v>492</v>
      </c>
      <c r="C143" s="671">
        <v>50</v>
      </c>
      <c r="F143" s="671">
        <v>0.45</v>
      </c>
      <c r="H143" s="671">
        <v>0.45</v>
      </c>
    </row>
    <row r="144" spans="1:8">
      <c r="A144" s="671" t="s">
        <v>1305</v>
      </c>
      <c r="B144" s="671">
        <v>492</v>
      </c>
      <c r="C144" s="671">
        <v>20</v>
      </c>
      <c r="F144" s="671">
        <v>0.45</v>
      </c>
      <c r="H144" s="671">
        <v>0.45</v>
      </c>
    </row>
    <row r="145" spans="1:8">
      <c r="A145" s="671" t="s">
        <v>1306</v>
      </c>
      <c r="B145" s="671">
        <v>492</v>
      </c>
      <c r="C145" s="671">
        <v>492</v>
      </c>
      <c r="F145" s="671">
        <v>0.45</v>
      </c>
      <c r="H145" s="671">
        <v>0.45</v>
      </c>
    </row>
    <row r="146" spans="1:8">
      <c r="A146" s="671" t="s">
        <v>1307</v>
      </c>
      <c r="B146" s="671">
        <v>2800</v>
      </c>
      <c r="C146" s="671">
        <v>50</v>
      </c>
      <c r="F146" s="671">
        <v>1.5</v>
      </c>
      <c r="H146" s="671">
        <v>1.5</v>
      </c>
    </row>
  </sheetData>
  <sheetProtection sheet="1" objects="1" scenarios="1" formatCells="0" formatColumns="0" formatRows="0" sort="0" autoFilter="0"/>
  <sortState xmlns:xlrd2="http://schemas.microsoft.com/office/spreadsheetml/2017/richdata2" ref="A135:I146">
    <sortCondition ref="A135:A146"/>
  </sortState>
  <mergeCells count="12">
    <mergeCell ref="B42:B44"/>
    <mergeCell ref="A42:A44"/>
    <mergeCell ref="A11:B11"/>
    <mergeCell ref="A12:B12"/>
    <mergeCell ref="A4:B4"/>
    <mergeCell ref="A7:A9"/>
    <mergeCell ref="B7:B9"/>
    <mergeCell ref="F11:F12"/>
    <mergeCell ref="A15:A17"/>
    <mergeCell ref="B15:B17"/>
    <mergeCell ref="B38:B40"/>
    <mergeCell ref="A38:A40"/>
  </mergeCells>
  <dataValidations count="1">
    <dataValidation type="list" allowBlank="1" showInputMessage="1" showErrorMessage="1" sqref="D21:J21" xr:uid="{DAC60287-66F6-4A5E-8B31-00D60E06F79C}">
      <formula1>$A$134:$A$146</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23352F79007E408EFF44D6142FFCE2" ma:contentTypeVersion="21" ma:contentTypeDescription="Create a new document." ma:contentTypeScope="" ma:versionID="e95dd583e1418bbab84cc60b808c79a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fecc2597-e8fd-4279-ac06-bd7c891938be" xmlns:ns6="ead8da0f-3542-4e50-96c8-f1f698624e86" targetNamespace="http://schemas.microsoft.com/office/2006/metadata/properties" ma:root="true" ma:fieldsID="2f7c14c724f6fd5b0410ef8d6affcf61" ns1:_="" ns2:_="" ns3:_="" ns4:_="" ns5:_="" ns6:_="">
    <xsd:import namespace="http://schemas.microsoft.com/sharepoint/v3"/>
    <xsd:import namespace="4ffa91fb-a0ff-4ac5-b2db-65c790d184a4"/>
    <xsd:import namespace="http://schemas.microsoft.com/sharepoint.v3"/>
    <xsd:import namespace="http://schemas.microsoft.com/sharepoint/v3/fields"/>
    <xsd:import namespace="fecc2597-e8fd-4279-ac06-bd7c891938be"/>
    <xsd:import namespace="ead8da0f-3542-4e50-96c8-f1f698624e86"/>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MediaServiceMetadata" minOccurs="0"/>
                <xsd:element ref="ns6:MediaServiceFastMetadata" minOccurs="0"/>
                <xsd:element ref="ns6:MediaServiceAutoTags" minOccurs="0"/>
                <xsd:element ref="ns6:MediaServiceOCR" minOccurs="0"/>
                <xsd:element ref="ns6:MediaServiceGenerationTime" minOccurs="0"/>
                <xsd:element ref="ns6:MediaServiceEventHashCode" minOccurs="0"/>
                <xsd:element ref="ns1:_ip_UnifiedCompliancePolicyProperties" minOccurs="0"/>
                <xsd:element ref="ns1:_ip_UnifiedCompliancePolicyUIAction" minOccurs="0"/>
                <xsd:element ref="ns6:lcf76f155ced4ddcb4097134ff3c332f" minOccurs="0"/>
                <xsd:element ref="ns6:MediaServiceObjectDetectorVersions" minOccurs="0"/>
                <xsd:element ref="ns6:MediaServiceSearchProperties" minOccurs="0"/>
                <xsd:element ref="ns6:MediaServiceDateTaken" minOccurs="0"/>
                <xsd:element ref="ns6:MediaServiceLocation" minOccurs="0"/>
                <xsd:element ref="ns6: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7" nillable="true" ma:displayName="Unified Compliance Policy Properties" ma:hidden="true" ma:internalName="_ip_UnifiedCompliancePolicyProperties">
      <xsd:simpleType>
        <xsd:restriction base="dms:Note"/>
      </xsd:simpleType>
    </xsd:element>
    <xsd:element name="_ip_UnifiedCompliancePolicyUIAction" ma:index="3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ma:readOnly="false">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160cad11-562a-4490-8456-b2fd6f157897}" ma:internalName="TaxCatchAllLabel" ma:readOnly="true" ma:showField="CatchAllDataLabel" ma:web="fecc2597-e8fd-4279-ac06-bd7c891938be">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160cad11-562a-4490-8456-b2fd6f157897}" ma:internalName="TaxCatchAll" ma:showField="CatchAllData" ma:web="fecc2597-e8fd-4279-ac06-bd7c891938be">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ecc2597-e8fd-4279-ac06-bd7c891938be"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ad8da0f-3542-4e50-96c8-f1f698624e86" elementFormDefault="qualified">
    <xsd:import namespace="http://schemas.microsoft.com/office/2006/documentManagement/types"/>
    <xsd:import namespace="http://schemas.microsoft.com/office/infopath/2007/PartnerControls"/>
    <xsd:element name="MediaServiceMetadata" ma:index="31" nillable="true" ma:displayName="MediaServiceMetadata" ma:hidden="true" ma:internalName="MediaServiceMetadata" ma:readOnly="true">
      <xsd:simpleType>
        <xsd:restriction base="dms:Note"/>
      </xsd:simpleType>
    </xsd:element>
    <xsd:element name="MediaServiceFastMetadata" ma:index="32" nillable="true" ma:displayName="MediaServiceFastMetadata" ma:hidden="true" ma:internalName="MediaServiceFastMetadata" ma:readOnly="true">
      <xsd:simpleType>
        <xsd:restriction base="dms:Note"/>
      </xsd:simpleType>
    </xsd:element>
    <xsd:element name="MediaServiceAutoTags" ma:index="33" nillable="true" ma:displayName="Tags" ma:internalName="MediaServiceAutoTags" ma:readOnly="true">
      <xsd:simpleType>
        <xsd:restriction base="dms:Text"/>
      </xsd:simpleType>
    </xsd:element>
    <xsd:element name="MediaServiceOCR" ma:index="34" nillable="true" ma:displayName="Extracted Text" ma:internalName="MediaServiceOCR" ma:readOnly="true">
      <xsd:simpleType>
        <xsd:restriction base="dms:Note">
          <xsd:maxLength value="255"/>
        </xsd:restriction>
      </xsd:simpleType>
    </xsd:element>
    <xsd:element name="MediaServiceGenerationTime" ma:index="35" nillable="true" ma:displayName="MediaServiceGenerationTime" ma:hidden="true" ma:internalName="MediaServiceGenerationTime"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lcf76f155ced4ddcb4097134ff3c332f" ma:index="40"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41" nillable="true" ma:displayName="MediaServiceObjectDetectorVersions" ma:hidden="true" ma:indexed="true" ma:internalName="MediaServiceObjectDetectorVersions" ma:readOnly="true">
      <xsd:simpleType>
        <xsd:restriction base="dms:Text"/>
      </xsd:simpleType>
    </xsd:element>
    <xsd:element name="MediaServiceSearchProperties" ma:index="42" nillable="true" ma:displayName="MediaServiceSearchProperties" ma:hidden="true" ma:internalName="MediaServiceSearchProperties" ma:readOnly="true">
      <xsd:simpleType>
        <xsd:restriction base="dms:Note"/>
      </xsd:simpleType>
    </xsd:element>
    <xsd:element name="MediaServiceDateTaken" ma:index="43" nillable="true" ma:displayName="MediaServiceDateTaken" ma:description="" ma:hidden="true" ma:indexed="true" ma:internalName="MediaServiceDateTaken" ma:readOnly="true">
      <xsd:simpleType>
        <xsd:restriction base="dms:Text"/>
      </xsd:simpleType>
    </xsd:element>
    <xsd:element name="MediaServiceLocation" ma:index="44" nillable="true" ma:displayName="Location" ma:description="" ma:indexed="true" ma:internalName="MediaServiceLocation" ma:readOnly="true">
      <xsd:simpleType>
        <xsd:restriction base="dms:Text"/>
      </xsd:simpleType>
    </xsd:element>
    <xsd:element name="MediaLengthInSeconds" ma:index="4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9f62856-1543-49d4-a736-4569d363f533"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Coverage xmlns="http://schemas.microsoft.com/sharepoint/v3/fields" xsi:nil="true"/>
    <Record xmlns="4ffa91fb-a0ff-4ac5-b2db-65c790d184a4">Shared</Record>
    <EPA_x0020_Office xmlns="4ffa91fb-a0ff-4ac5-b2db-65c790d184a4" xsi:nil="true"/>
    <Document_x0020_Creation_x0020_Date xmlns="4ffa91fb-a0ff-4ac5-b2db-65c790d184a4">2024-08-26T16:37:56+00:00</Document_x0020_Creation_x0020_Date>
    <EPA_x0020_Related_x0020_Documents xmlns="4ffa91fb-a0ff-4ac5-b2db-65c790d184a4" xsi:nil="true"/>
    <_Source xmlns="http://schemas.microsoft.com/sharepoint/v3/fields" xsi:nil="true"/>
    <CategoryDescription xmlns="http://schemas.microsoft.com/sharepoint.v3" xsi:nil="true"/>
    <EPA_x0020_Contributor xmlns="4ffa91fb-a0ff-4ac5-b2db-65c790d184a4">
      <UserInfo>
        <DisplayName/>
        <AccountId xsi:nil="true"/>
        <AccountType/>
      </UserInfo>
    </EPA_x0020_Contributor>
    <TaxKeywordTaxHTField xmlns="4ffa91fb-a0ff-4ac5-b2db-65c790d184a4">
      <Terms xmlns="http://schemas.microsoft.com/office/infopath/2007/PartnerControls"/>
    </TaxKeywordTaxHTField>
    <Rights xmlns="4ffa91fb-a0ff-4ac5-b2db-65c790d184a4" xsi:nil="true"/>
    <Identifier xmlns="4ffa91fb-a0ff-4ac5-b2db-65c790d184a4" xsi:nil="true"/>
    <_ip_UnifiedCompliancePolicyUIAction xmlns="http://schemas.microsoft.com/sharepoint/v3" xsi:nil="true"/>
    <Creator xmlns="4ffa91fb-a0ff-4ac5-b2db-65c790d184a4">
      <UserInfo>
        <DisplayName/>
        <AccountId xsi:nil="true"/>
        <AccountType/>
      </UserInfo>
    </Creator>
    <_ip_UnifiedCompliancePolicyProperties xmlns="http://schemas.microsoft.com/sharepoint/v3" xsi:nil="true"/>
    <Language xmlns="http://schemas.microsoft.com/sharepoint/v3">English</Language>
    <j747ac98061d40f0aa7bd47e1db5675d xmlns="4ffa91fb-a0ff-4ac5-b2db-65c790d184a4">
      <Terms xmlns="http://schemas.microsoft.com/office/infopath/2007/PartnerControls"/>
    </j747ac98061d40f0aa7bd47e1db5675d>
    <lcf76f155ced4ddcb4097134ff3c332f xmlns="ead8da0f-3542-4e50-96c8-f1f698624e86">
      <Terms xmlns="http://schemas.microsoft.com/office/infopath/2007/PartnerControls"/>
    </lcf76f155ced4ddcb4097134ff3c332f>
    <TaxCatchAll xmlns="4ffa91fb-a0ff-4ac5-b2db-65c790d184a4" xsi:nil="true"/>
    <e3f09c3df709400db2417a7161762d62 xmlns="4ffa91fb-a0ff-4ac5-b2db-65c790d184a4">
      <Terms xmlns="http://schemas.microsoft.com/office/infopath/2007/PartnerControls"/>
    </e3f09c3df709400db2417a7161762d62>
    <External_x0020_Contributor xmlns="4ffa91fb-a0ff-4ac5-b2db-65c790d184a4" xsi:nil="true"/>
  </documentManagement>
</p:properties>
</file>

<file path=customXml/itemProps1.xml><?xml version="1.0" encoding="utf-8"?>
<ds:datastoreItem xmlns:ds="http://schemas.openxmlformats.org/officeDocument/2006/customXml" ds:itemID="{EC8A0982-F948-4672-BAE2-B5AC66D80AFF}"/>
</file>

<file path=customXml/itemProps2.xml><?xml version="1.0" encoding="utf-8"?>
<ds:datastoreItem xmlns:ds="http://schemas.openxmlformats.org/officeDocument/2006/customXml" ds:itemID="{7064EE30-9B0C-4917-A8DD-1D26A67CD151}"/>
</file>

<file path=customXml/itemProps3.xml><?xml version="1.0" encoding="utf-8"?>
<ds:datastoreItem xmlns:ds="http://schemas.openxmlformats.org/officeDocument/2006/customXml" ds:itemID="{DD61C1F4-FAE2-4CB7-BFD2-F1E31C338DEF}"/>
</file>

<file path=customXml/itemProps4.xml><?xml version="1.0" encoding="utf-8"?>
<ds:datastoreItem xmlns:ds="http://schemas.openxmlformats.org/officeDocument/2006/customXml" ds:itemID="{EAE6F97D-F868-492A-A200-861F5B2FCF26}"/>
</file>

<file path=docMetadata/LabelInfo.xml><?xml version="1.0" encoding="utf-8"?>
<clbl:labelList xmlns:clbl="http://schemas.microsoft.com/office/2020/mipLabelMetadata">
  <clbl:label id="{cf90b97b-be46-4a00-9700-81ce4ff1b7f6}" enabled="0" method="" siteId="{cf90b97b-be46-4a00-9700-81ce4ff1b7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Cover Page</vt:lpstr>
      <vt:lpstr>Table of Contents</vt:lpstr>
      <vt:lpstr>P-Chem</vt:lpstr>
      <vt:lpstr>DEHP Use Report Information</vt:lpstr>
      <vt:lpstr>DEHP Literature</vt:lpstr>
      <vt:lpstr>Use Info Research</vt:lpstr>
      <vt:lpstr>DEHP Crosswalk</vt:lpstr>
      <vt:lpstr>Article Inputs</vt:lpstr>
      <vt:lpstr>Compiled Products</vt:lpstr>
      <vt:lpstr>Compiled Articles</vt:lpstr>
      <vt:lpstr>Dermal Calcs</vt:lpstr>
      <vt:lpstr>Tire Crumb Inputs</vt:lpstr>
      <vt:lpstr>Tire Crumb Air</vt:lpstr>
      <vt:lpstr>Tire Crumb Particles</vt:lpstr>
      <vt:lpstr>Tire Crumb Dose Calc</vt:lpstr>
      <vt:lpstr>CEM_Input__Area_of_Article_Mouthed</vt:lpstr>
      <vt:lpstr>CEM_Input__Chemical_Migration_Rate</vt:lpstr>
      <vt:lpstr>CEM_Input__Mouthing_Duration</vt:lpstr>
      <vt:lpstr>CEM_Input__Product_Density</vt:lpstr>
      <vt:lpstr>CEM_Input__Surface_Area_of_Articles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2025-05-28T13:47:23Z</dcterms:created>
  <dcterms:modified xsi:type="dcterms:W3CDTF">2025-05-28T13:50:33Z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Document_x0020_Type">
    <vt:lpwstr/>
  </property>
  <property fmtid="{D5CDD505-2E9C-101B-9397-08002B2CF9AE}" pid="4" name="MediaServiceImageTags">
    <vt:lpwstr/>
  </property>
  <property fmtid="{D5CDD505-2E9C-101B-9397-08002B2CF9AE}" pid="5" name="ContentTypeId">
    <vt:lpwstr>0x010100D723352F79007E408EFF44D6142FFCE2</vt:lpwstr>
  </property>
  <property fmtid="{D5CDD505-2E9C-101B-9397-08002B2CF9AE}" pid="6" name="EPA Subject">
    <vt:lpwstr/>
  </property>
  <property fmtid="{D5CDD505-2E9C-101B-9397-08002B2CF9AE}" pid="7" name="EPA_x0020_Subject">
    <vt:lpwstr/>
  </property>
  <property fmtid="{D5CDD505-2E9C-101B-9397-08002B2CF9AE}" pid="8" name="Document Type">
    <vt:lpwstr/>
  </property>
</Properties>
</file>