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66925"/>
  <mc:AlternateContent xmlns:mc="http://schemas.openxmlformats.org/markup-compatibility/2006">
    <mc:Choice Requires="x15">
      <x15ac:absPath xmlns:x15ac="http://schemas.microsoft.com/office/spreadsheetml/2010/11/ac" url="https://usepa.sharepoint.com/sites/ocspp_Work/wpc/TSCA Scoping Next 20 HPS Review/Phthalates/DIBP/RE Documents - DIBP/Public Release July 2025/DIBP Supplemental Files Public Release July 2025/"/>
    </mc:Choice>
  </mc:AlternateContent>
  <xr:revisionPtr revIDLastSave="264" documentId="8_{C5F195ED-9871-44C5-AEEC-0A597D600E7A}" xr6:coauthVersionLast="47" xr6:coauthVersionMax="47" xr10:uidLastSave="{8936F093-BAA6-44B3-AA70-394D70D113EA}"/>
  <bookViews>
    <workbookView xWindow="-110" yWindow="-110" windowWidth="19420" windowHeight="10300" xr2:uid="{961787A2-7B38-4EF8-A04F-74FE4053E4A9}"/>
  </bookViews>
  <sheets>
    <sheet name="Cover Page" sheetId="43" r:id="rId1"/>
    <sheet name="Table of Contents" sheetId="1" r:id="rId2"/>
    <sheet name="P-Chem" sheetId="2" r:id="rId3"/>
    <sheet name="DIBP Use Report" sheetId="50" r:id="rId4"/>
    <sheet name="Literature Data" sheetId="51" r:id="rId5"/>
    <sheet name="HPCDS Data" sheetId="53" r:id="rId6"/>
    <sheet name="HPCDS Summary" sheetId="52" r:id="rId7"/>
    <sheet name="Crosswalk" sheetId="45" r:id="rId8"/>
    <sheet name="Article Inputs" sheetId="12" r:id="rId9"/>
    <sheet name="Freq of use" sheetId="47" r:id="rId10"/>
    <sheet name="Compiled Articles" sheetId="29" r:id="rId11"/>
    <sheet name="Compiled Products" sheetId="28" r:id="rId12"/>
    <sheet name="Dermal Calcs" sheetId="55" r:id="rId13"/>
    <sheet name="Tire Crumb Calc Inputs" sheetId="48" r:id="rId14"/>
    <sheet name="Tire Crumb Dose Calcs" sheetId="49" r:id="rId15"/>
  </sheets>
  <definedNames>
    <definedName name="_xlnm._FilterDatabase" localSheetId="10" hidden="1">'Compiled Articles'!$A$18:$Q$130</definedName>
    <definedName name="_xlnm._FilterDatabase" localSheetId="7" hidden="1">Crosswalk!$A$2:$N$6</definedName>
    <definedName name="_xlnm._FilterDatabase" localSheetId="12" hidden="1">'Dermal Calcs'!$A$1:$BA$54</definedName>
    <definedName name="_xlnm._FilterDatabase" localSheetId="5" hidden="1">'HPCDS Data'!$A$1:$Y$105</definedName>
    <definedName name="CEM_Input__Area_of_Article_Mouthed">'Article Inputs'!$A$49</definedName>
    <definedName name="CEM_Input__Chemical_Migration_Rate">'Article Inputs'!$A$72</definedName>
    <definedName name="CEM_Input__Mouthing_Duration">'Article Inputs'!$A$10</definedName>
    <definedName name="CEM_Input__Product_Density">'Article Inputs'!$A$96</definedName>
    <definedName name="CEM_Input__Surface_Area_of_Articles">'Article Inputs'!$A$107</definedName>
    <definedName name="Registry_ID_Xwalk" localSheetId="7">#REF!</definedName>
    <definedName name="Registry_ID_Xwalk">#REF!</definedName>
  </definedNames>
  <calcPr calcId="191028" iterate="1" iterateCount="1" iterateDelta="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36" i="49" l="1"/>
  <c r="P36" i="49"/>
  <c r="O36" i="49"/>
  <c r="N36" i="49"/>
  <c r="M36" i="49"/>
  <c r="Q35" i="49"/>
  <c r="P35" i="49"/>
  <c r="O35" i="49"/>
  <c r="N35" i="49"/>
  <c r="M35" i="49"/>
  <c r="Q34" i="49"/>
  <c r="P34" i="49"/>
  <c r="O34" i="49"/>
  <c r="N34" i="49"/>
  <c r="M34" i="49"/>
  <c r="Q31" i="49"/>
  <c r="P31" i="49"/>
  <c r="O31" i="49"/>
  <c r="N31" i="49"/>
  <c r="M31" i="49"/>
  <c r="Q30" i="49"/>
  <c r="P30" i="49"/>
  <c r="O30" i="49"/>
  <c r="N30" i="49"/>
  <c r="M30" i="49"/>
  <c r="Q29" i="49"/>
  <c r="P29" i="49"/>
  <c r="O29" i="49"/>
  <c r="N29" i="49"/>
  <c r="M29" i="49"/>
  <c r="N24" i="49"/>
  <c r="O24" i="49"/>
  <c r="P24" i="49"/>
  <c r="Q24" i="49"/>
  <c r="N25" i="49"/>
  <c r="O25" i="49"/>
  <c r="P25" i="49"/>
  <c r="Q25" i="49"/>
  <c r="N26" i="49"/>
  <c r="O26" i="49"/>
  <c r="P26" i="49"/>
  <c r="Q26" i="49"/>
  <c r="M25" i="49"/>
  <c r="M26" i="49"/>
  <c r="M24" i="49"/>
  <c r="L31" i="49"/>
  <c r="K31" i="49"/>
  <c r="J31" i="49"/>
  <c r="I31" i="49"/>
  <c r="H31" i="49"/>
  <c r="L30" i="49"/>
  <c r="K30" i="49"/>
  <c r="J30" i="49"/>
  <c r="I30" i="49"/>
  <c r="H30" i="49"/>
  <c r="L29" i="49"/>
  <c r="K29" i="49"/>
  <c r="J29" i="49"/>
  <c r="I29" i="49"/>
  <c r="H29" i="49"/>
  <c r="L36" i="49"/>
  <c r="K36" i="49"/>
  <c r="J36" i="49"/>
  <c r="I36" i="49"/>
  <c r="H36" i="49"/>
  <c r="L35" i="49"/>
  <c r="K35" i="49"/>
  <c r="J35" i="49"/>
  <c r="I35" i="49"/>
  <c r="H35" i="49"/>
  <c r="L34" i="49"/>
  <c r="K34" i="49"/>
  <c r="J34" i="49"/>
  <c r="I34" i="49"/>
  <c r="H34" i="49"/>
  <c r="I24" i="49"/>
  <c r="J24" i="49"/>
  <c r="K24" i="49"/>
  <c r="L24" i="49"/>
  <c r="I25" i="49"/>
  <c r="J25" i="49"/>
  <c r="K25" i="49"/>
  <c r="L25" i="49"/>
  <c r="I26" i="49"/>
  <c r="J26" i="49"/>
  <c r="K26" i="49"/>
  <c r="L26" i="49"/>
  <c r="H25" i="49"/>
  <c r="H26" i="49"/>
  <c r="H24" i="49"/>
  <c r="D36" i="49"/>
  <c r="E36" i="49"/>
  <c r="F36" i="49"/>
  <c r="G36" i="49"/>
  <c r="D35" i="49"/>
  <c r="E35" i="49"/>
  <c r="F35" i="49"/>
  <c r="G35" i="49"/>
  <c r="D34" i="49"/>
  <c r="E34" i="49"/>
  <c r="F34" i="49"/>
  <c r="G34" i="49"/>
  <c r="D31" i="49"/>
  <c r="E31" i="49"/>
  <c r="F31" i="49"/>
  <c r="G31" i="49"/>
  <c r="D30" i="49"/>
  <c r="E30" i="49"/>
  <c r="F30" i="49"/>
  <c r="G30" i="49"/>
  <c r="D29" i="49"/>
  <c r="E29" i="49"/>
  <c r="F29" i="49"/>
  <c r="G29" i="49"/>
  <c r="D26" i="49"/>
  <c r="E26" i="49"/>
  <c r="F26" i="49"/>
  <c r="G26" i="49"/>
  <c r="D25" i="49"/>
  <c r="E25" i="49"/>
  <c r="F25" i="49"/>
  <c r="G25" i="49"/>
  <c r="D24" i="49"/>
  <c r="E24" i="49"/>
  <c r="F24" i="49"/>
  <c r="G24" i="49"/>
  <c r="C36" i="49"/>
  <c r="C35" i="49"/>
  <c r="C34" i="49"/>
  <c r="C31" i="49"/>
  <c r="C30" i="49"/>
  <c r="C29" i="49"/>
  <c r="C26" i="49"/>
  <c r="C25" i="49"/>
  <c r="C24" i="49"/>
  <c r="G4" i="55"/>
  <c r="H4" i="55"/>
  <c r="G5" i="55"/>
  <c r="H5" i="55"/>
  <c r="G6" i="55"/>
  <c r="H6" i="55"/>
  <c r="K4" i="55" l="1"/>
  <c r="K7" i="55"/>
  <c r="K5" i="55"/>
  <c r="S5" i="55" s="1"/>
  <c r="K6" i="55"/>
  <c r="J6" i="55"/>
  <c r="J5" i="55"/>
  <c r="J4" i="55"/>
  <c r="K8" i="55"/>
  <c r="K9" i="55"/>
  <c r="K10" i="55"/>
  <c r="K11" i="55"/>
  <c r="K12" i="55"/>
  <c r="K13" i="55"/>
  <c r="K14" i="55"/>
  <c r="K15" i="55"/>
  <c r="K16" i="55"/>
  <c r="K17" i="55"/>
  <c r="K18" i="55"/>
  <c r="K19" i="55"/>
  <c r="K20" i="55"/>
  <c r="K21" i="55"/>
  <c r="K22" i="55"/>
  <c r="K23" i="55"/>
  <c r="K24" i="55"/>
  <c r="K25" i="55"/>
  <c r="K26" i="55"/>
  <c r="K27" i="55"/>
  <c r="K28" i="55"/>
  <c r="K29" i="55"/>
  <c r="K30" i="55"/>
  <c r="K31" i="55"/>
  <c r="K32" i="55"/>
  <c r="K33" i="55"/>
  <c r="K34" i="55"/>
  <c r="K35" i="55"/>
  <c r="K36" i="55"/>
  <c r="K37" i="55"/>
  <c r="K38" i="55"/>
  <c r="K39" i="55"/>
  <c r="K40" i="55"/>
  <c r="K41" i="55"/>
  <c r="K42" i="55"/>
  <c r="K43" i="55"/>
  <c r="K44" i="55"/>
  <c r="K45" i="55"/>
  <c r="K46" i="55"/>
  <c r="P46" i="55" s="1"/>
  <c r="W46" i="55" s="1"/>
  <c r="J19" i="55"/>
  <c r="J20" i="55"/>
  <c r="J21" i="55"/>
  <c r="J22" i="55"/>
  <c r="J23" i="55"/>
  <c r="K98" i="55" s="1"/>
  <c r="J24" i="55"/>
  <c r="J25" i="55"/>
  <c r="J26" i="55"/>
  <c r="J27" i="55"/>
  <c r="J28" i="55"/>
  <c r="J29" i="55"/>
  <c r="J30" i="55"/>
  <c r="J31" i="55"/>
  <c r="J32" i="55"/>
  <c r="J33" i="55"/>
  <c r="J34" i="55"/>
  <c r="J35" i="55"/>
  <c r="J36" i="55"/>
  <c r="J37" i="55"/>
  <c r="J38" i="55"/>
  <c r="J39" i="55"/>
  <c r="J40" i="55"/>
  <c r="J41" i="55"/>
  <c r="J42" i="55"/>
  <c r="J43" i="55"/>
  <c r="J44" i="55"/>
  <c r="J45" i="55"/>
  <c r="J18" i="55"/>
  <c r="J17" i="55"/>
  <c r="J16" i="55"/>
  <c r="J15" i="55"/>
  <c r="J14" i="55"/>
  <c r="J13" i="55"/>
  <c r="J12" i="55"/>
  <c r="J11" i="55"/>
  <c r="K86" i="55" s="1"/>
  <c r="J10" i="55"/>
  <c r="J9" i="55"/>
  <c r="J8" i="55"/>
  <c r="J7" i="55"/>
  <c r="L129" i="55"/>
  <c r="K129" i="55"/>
  <c r="G129" i="55"/>
  <c r="L128" i="55"/>
  <c r="G128" i="55"/>
  <c r="L127" i="55"/>
  <c r="K127" i="55"/>
  <c r="H127" i="55"/>
  <c r="G127" i="55"/>
  <c r="L126" i="55"/>
  <c r="K126" i="55"/>
  <c r="G126" i="55"/>
  <c r="L125" i="55"/>
  <c r="H125" i="55"/>
  <c r="G125" i="55"/>
  <c r="L124" i="55"/>
  <c r="J124" i="55"/>
  <c r="G124" i="55"/>
  <c r="L123" i="55"/>
  <c r="G123" i="55"/>
  <c r="L122" i="55"/>
  <c r="G122" i="55"/>
  <c r="L121" i="55"/>
  <c r="I121" i="55"/>
  <c r="H121" i="55"/>
  <c r="G121" i="55"/>
  <c r="L120" i="55"/>
  <c r="H120" i="55"/>
  <c r="G120" i="55"/>
  <c r="L119" i="55"/>
  <c r="H119" i="55"/>
  <c r="G119" i="55"/>
  <c r="L118" i="55"/>
  <c r="J118" i="55"/>
  <c r="H118" i="55"/>
  <c r="G118" i="55"/>
  <c r="L117" i="55"/>
  <c r="G117" i="55"/>
  <c r="L116" i="55"/>
  <c r="H116" i="55"/>
  <c r="G116" i="55"/>
  <c r="L115" i="55"/>
  <c r="J115" i="55"/>
  <c r="I115" i="55"/>
  <c r="G115" i="55"/>
  <c r="F115" i="55"/>
  <c r="L114" i="55"/>
  <c r="J114" i="55"/>
  <c r="G114" i="55"/>
  <c r="L113" i="55"/>
  <c r="G113" i="55"/>
  <c r="L112" i="55"/>
  <c r="J112" i="55"/>
  <c r="G112" i="55"/>
  <c r="F112" i="55"/>
  <c r="L111" i="55"/>
  <c r="J111" i="55"/>
  <c r="G111" i="55"/>
  <c r="L110" i="55"/>
  <c r="G110" i="55"/>
  <c r="L109" i="55"/>
  <c r="J109" i="55"/>
  <c r="G109" i="55"/>
  <c r="L108" i="55"/>
  <c r="G108" i="55"/>
  <c r="L107" i="55"/>
  <c r="G107" i="55"/>
  <c r="L106" i="55"/>
  <c r="J106" i="55"/>
  <c r="I106" i="55"/>
  <c r="G106" i="55"/>
  <c r="L105" i="55"/>
  <c r="G105" i="55"/>
  <c r="L104" i="55"/>
  <c r="G104" i="55"/>
  <c r="L103" i="55"/>
  <c r="J103" i="55"/>
  <c r="G103" i="55"/>
  <c r="L102" i="55"/>
  <c r="J102" i="55"/>
  <c r="I102" i="55"/>
  <c r="G102" i="55"/>
  <c r="L101" i="55"/>
  <c r="J101" i="55"/>
  <c r="G101" i="55"/>
  <c r="L100" i="55"/>
  <c r="J100" i="55"/>
  <c r="H100" i="55"/>
  <c r="G100" i="55"/>
  <c r="L99" i="55"/>
  <c r="J99" i="55"/>
  <c r="G99" i="55"/>
  <c r="L98" i="55"/>
  <c r="G98" i="55"/>
  <c r="L97" i="55"/>
  <c r="J97" i="55"/>
  <c r="I97" i="55"/>
  <c r="G97" i="55"/>
  <c r="L96" i="55"/>
  <c r="H96" i="55"/>
  <c r="G96" i="55"/>
  <c r="L95" i="55"/>
  <c r="G95" i="55"/>
  <c r="L94" i="55"/>
  <c r="J94" i="55"/>
  <c r="I94" i="55"/>
  <c r="G94" i="55"/>
  <c r="L93" i="55"/>
  <c r="G93" i="55"/>
  <c r="L92" i="55"/>
  <c r="H92" i="55"/>
  <c r="G92" i="55"/>
  <c r="L91" i="55"/>
  <c r="J91" i="55"/>
  <c r="G91" i="55"/>
  <c r="L90" i="55"/>
  <c r="G90" i="55"/>
  <c r="L89" i="55"/>
  <c r="G89" i="55"/>
  <c r="L88" i="55"/>
  <c r="J88" i="55"/>
  <c r="G88" i="55"/>
  <c r="F88" i="55"/>
  <c r="L87" i="55"/>
  <c r="G87" i="55"/>
  <c r="L86" i="55"/>
  <c r="J86" i="55"/>
  <c r="G86" i="55"/>
  <c r="L85" i="55"/>
  <c r="J85" i="55"/>
  <c r="G85" i="55"/>
  <c r="L84" i="55"/>
  <c r="G84" i="55"/>
  <c r="L83" i="55"/>
  <c r="J83" i="55"/>
  <c r="I83" i="55"/>
  <c r="G83" i="55"/>
  <c r="L82" i="55"/>
  <c r="J82" i="55"/>
  <c r="G82" i="55"/>
  <c r="L81" i="55"/>
  <c r="J81" i="55"/>
  <c r="I81" i="55"/>
  <c r="H81" i="55"/>
  <c r="G81" i="55"/>
  <c r="L80" i="55"/>
  <c r="J80" i="55"/>
  <c r="G80" i="55"/>
  <c r="N79" i="55"/>
  <c r="L79" i="55"/>
  <c r="J79" i="55"/>
  <c r="G79" i="55"/>
  <c r="H73" i="55"/>
  <c r="I73" i="55" s="1"/>
  <c r="J54" i="55"/>
  <c r="G54" i="55"/>
  <c r="H129" i="55" s="1"/>
  <c r="J53" i="55"/>
  <c r="G53" i="55"/>
  <c r="H128" i="55" s="1"/>
  <c r="J52" i="55"/>
  <c r="I52" i="55"/>
  <c r="H52" i="55"/>
  <c r="I127" i="55" s="1"/>
  <c r="G52" i="55"/>
  <c r="K52" i="55" s="1"/>
  <c r="A52" i="55"/>
  <c r="F127" i="55" s="1"/>
  <c r="J51" i="55"/>
  <c r="H51" i="55"/>
  <c r="I126" i="55" s="1"/>
  <c r="G51" i="55"/>
  <c r="H126" i="55" s="1"/>
  <c r="K50" i="55"/>
  <c r="J50" i="55"/>
  <c r="K125" i="55" s="1"/>
  <c r="G50" i="55"/>
  <c r="J49" i="55"/>
  <c r="I49" i="55"/>
  <c r="I50" i="55" s="1"/>
  <c r="J125" i="55" s="1"/>
  <c r="H49" i="55"/>
  <c r="H50" i="55" s="1"/>
  <c r="I125" i="55" s="1"/>
  <c r="G49" i="55"/>
  <c r="H124" i="55" s="1"/>
  <c r="A49" i="55"/>
  <c r="F124" i="55" s="1"/>
  <c r="J48" i="55"/>
  <c r="H48" i="55"/>
  <c r="I123" i="55" s="1"/>
  <c r="G48" i="55"/>
  <c r="H123" i="55" s="1"/>
  <c r="J47" i="55"/>
  <c r="H47" i="55"/>
  <c r="I122" i="55" s="1"/>
  <c r="G47" i="55"/>
  <c r="H122" i="55" s="1"/>
  <c r="J46" i="55"/>
  <c r="K121" i="55" s="1"/>
  <c r="I46" i="55"/>
  <c r="I48" i="55" s="1"/>
  <c r="J123" i="55" s="1"/>
  <c r="H46" i="55"/>
  <c r="G46" i="55"/>
  <c r="A46" i="55"/>
  <c r="F121" i="55" s="1"/>
  <c r="I45" i="55"/>
  <c r="J120" i="55" s="1"/>
  <c r="H45" i="55"/>
  <c r="I120" i="55" s="1"/>
  <c r="G45" i="55"/>
  <c r="I44" i="55"/>
  <c r="J119" i="55" s="1"/>
  <c r="H44" i="55"/>
  <c r="I119" i="55" s="1"/>
  <c r="G44" i="55"/>
  <c r="H43" i="55"/>
  <c r="I118" i="55" s="1"/>
  <c r="G43" i="55"/>
  <c r="A43" i="55"/>
  <c r="F118" i="55" s="1"/>
  <c r="I42" i="55"/>
  <c r="J117" i="55" s="1"/>
  <c r="H42" i="55"/>
  <c r="I117" i="55" s="1"/>
  <c r="G42" i="55"/>
  <c r="H117" i="55" s="1"/>
  <c r="I41" i="55"/>
  <c r="J116" i="55" s="1"/>
  <c r="H41" i="55"/>
  <c r="I116" i="55" s="1"/>
  <c r="G41" i="55"/>
  <c r="H40" i="55"/>
  <c r="G40" i="55"/>
  <c r="H115" i="55" s="1"/>
  <c r="A40" i="55"/>
  <c r="I39" i="55"/>
  <c r="H39" i="55"/>
  <c r="I114" i="55" s="1"/>
  <c r="G39" i="55"/>
  <c r="H114" i="55" s="1"/>
  <c r="I38" i="55"/>
  <c r="J113" i="55" s="1"/>
  <c r="H38" i="55"/>
  <c r="I113" i="55" s="1"/>
  <c r="G38" i="55"/>
  <c r="H113" i="55" s="1"/>
  <c r="H37" i="55"/>
  <c r="I112" i="55" s="1"/>
  <c r="G37" i="55"/>
  <c r="H112" i="55" s="1"/>
  <c r="A37" i="55"/>
  <c r="I36" i="55"/>
  <c r="H36" i="55"/>
  <c r="I111" i="55" s="1"/>
  <c r="G36" i="55"/>
  <c r="H111" i="55" s="1"/>
  <c r="I35" i="55"/>
  <c r="J110" i="55" s="1"/>
  <c r="H35" i="55"/>
  <c r="I110" i="55" s="1"/>
  <c r="G35" i="55"/>
  <c r="H110" i="55" s="1"/>
  <c r="H34" i="55"/>
  <c r="I109" i="55" s="1"/>
  <c r="G34" i="55"/>
  <c r="H109" i="55" s="1"/>
  <c r="A34" i="55"/>
  <c r="F109" i="55" s="1"/>
  <c r="I33" i="55"/>
  <c r="J108" i="55" s="1"/>
  <c r="H33" i="55"/>
  <c r="I108" i="55" s="1"/>
  <c r="G33" i="55"/>
  <c r="H108" i="55" s="1"/>
  <c r="I32" i="55"/>
  <c r="J107" i="55" s="1"/>
  <c r="H32" i="55"/>
  <c r="I107" i="55" s="1"/>
  <c r="G32" i="55"/>
  <c r="H107" i="55" s="1"/>
  <c r="H31" i="55"/>
  <c r="G31" i="55"/>
  <c r="H106" i="55" s="1"/>
  <c r="A31" i="55"/>
  <c r="F106" i="55" s="1"/>
  <c r="I30" i="55"/>
  <c r="J105" i="55" s="1"/>
  <c r="H30" i="55"/>
  <c r="I105" i="55" s="1"/>
  <c r="G30" i="55"/>
  <c r="H105" i="55" s="1"/>
  <c r="I29" i="55"/>
  <c r="J104" i="55" s="1"/>
  <c r="H29" i="55"/>
  <c r="I104" i="55" s="1"/>
  <c r="G29" i="55"/>
  <c r="H104" i="55" s="1"/>
  <c r="H28" i="55"/>
  <c r="I103" i="55" s="1"/>
  <c r="G28" i="55"/>
  <c r="H103" i="55" s="1"/>
  <c r="A28" i="55"/>
  <c r="F103" i="55" s="1"/>
  <c r="I27" i="55"/>
  <c r="H27" i="55"/>
  <c r="G27" i="55"/>
  <c r="H102" i="55" s="1"/>
  <c r="I26" i="55"/>
  <c r="H26" i="55"/>
  <c r="I101" i="55" s="1"/>
  <c r="G26" i="55"/>
  <c r="H101" i="55" s="1"/>
  <c r="H25" i="55"/>
  <c r="I100" i="55" s="1"/>
  <c r="G25" i="55"/>
  <c r="A25" i="55"/>
  <c r="F100" i="55" s="1"/>
  <c r="H24" i="55"/>
  <c r="I99" i="55" s="1"/>
  <c r="G24" i="55"/>
  <c r="H99" i="55" s="1"/>
  <c r="I23" i="55"/>
  <c r="J98" i="55" s="1"/>
  <c r="H23" i="55"/>
  <c r="I98" i="55" s="1"/>
  <c r="G23" i="55"/>
  <c r="H98" i="55" s="1"/>
  <c r="H22" i="55"/>
  <c r="G22" i="55"/>
  <c r="H97" i="55" s="1"/>
  <c r="A22" i="55"/>
  <c r="F97" i="55" s="1"/>
  <c r="I21" i="55"/>
  <c r="J96" i="55" s="1"/>
  <c r="H21" i="55"/>
  <c r="I96" i="55" s="1"/>
  <c r="G21" i="55"/>
  <c r="I20" i="55"/>
  <c r="J95" i="55" s="1"/>
  <c r="H20" i="55"/>
  <c r="I95" i="55" s="1"/>
  <c r="G20" i="55"/>
  <c r="H95" i="55" s="1"/>
  <c r="K94" i="55"/>
  <c r="H19" i="55"/>
  <c r="G19" i="55"/>
  <c r="H94" i="55" s="1"/>
  <c r="A19" i="55"/>
  <c r="F94" i="55" s="1"/>
  <c r="I18" i="55"/>
  <c r="J93" i="55" s="1"/>
  <c r="H18" i="55"/>
  <c r="I93" i="55" s="1"/>
  <c r="G18" i="55"/>
  <c r="H93" i="55" s="1"/>
  <c r="I17" i="55"/>
  <c r="J92" i="55" s="1"/>
  <c r="H17" i="55"/>
  <c r="I92" i="55" s="1"/>
  <c r="G17" i="55"/>
  <c r="H16" i="55"/>
  <c r="I91" i="55" s="1"/>
  <c r="G16" i="55"/>
  <c r="H91" i="55" s="1"/>
  <c r="A16" i="55"/>
  <c r="F91" i="55" s="1"/>
  <c r="I15" i="55"/>
  <c r="J90" i="55" s="1"/>
  <c r="H15" i="55"/>
  <c r="I90" i="55" s="1"/>
  <c r="G15" i="55"/>
  <c r="H90" i="55" s="1"/>
  <c r="I14" i="55"/>
  <c r="J89" i="55" s="1"/>
  <c r="H14" i="55"/>
  <c r="I89" i="55" s="1"/>
  <c r="G14" i="55"/>
  <c r="H89" i="55" s="1"/>
  <c r="K88" i="55"/>
  <c r="H13" i="55"/>
  <c r="I88" i="55" s="1"/>
  <c r="G13" i="55"/>
  <c r="H88" i="55" s="1"/>
  <c r="A13" i="55"/>
  <c r="I12" i="55"/>
  <c r="J87" i="55" s="1"/>
  <c r="H12" i="55"/>
  <c r="I87" i="55" s="1"/>
  <c r="G12" i="55"/>
  <c r="H87" i="55" s="1"/>
  <c r="H11" i="55"/>
  <c r="I86" i="55" s="1"/>
  <c r="G11" i="55"/>
  <c r="H86" i="55" s="1"/>
  <c r="H10" i="55"/>
  <c r="I85" i="55" s="1"/>
  <c r="G10" i="55"/>
  <c r="H85" i="55" s="1"/>
  <c r="A10" i="55"/>
  <c r="F85" i="55" s="1"/>
  <c r="I9" i="55"/>
  <c r="J84" i="55" s="1"/>
  <c r="H9" i="55"/>
  <c r="I84" i="55" s="1"/>
  <c r="G9" i="55"/>
  <c r="H84" i="55" s="1"/>
  <c r="H8" i="55"/>
  <c r="G8" i="55"/>
  <c r="H83" i="55" s="1"/>
  <c r="H7" i="55"/>
  <c r="I82" i="55" s="1"/>
  <c r="G7" i="55"/>
  <c r="H82" i="55" s="1"/>
  <c r="A7" i="55"/>
  <c r="F82" i="55" s="1"/>
  <c r="K81" i="55"/>
  <c r="R5" i="55"/>
  <c r="P5" i="55"/>
  <c r="I80" i="55"/>
  <c r="H80" i="55"/>
  <c r="K79" i="55"/>
  <c r="I79" i="55"/>
  <c r="H79" i="55"/>
  <c r="A4" i="55"/>
  <c r="F79" i="55" s="1"/>
  <c r="AR1" i="55"/>
  <c r="AS1" i="55" s="1"/>
  <c r="AT1" i="55" s="1"/>
  <c r="AU1" i="55" s="1"/>
  <c r="AN1" i="55"/>
  <c r="AM1" i="55" s="1"/>
  <c r="AL1" i="55" s="1"/>
  <c r="AK1" i="55" s="1"/>
  <c r="AJ1" i="55" s="1"/>
  <c r="AI1" i="55" s="1"/>
  <c r="AH1" i="55" s="1"/>
  <c r="N52" i="55" l="1"/>
  <c r="P52" i="55"/>
  <c r="I51" i="55"/>
  <c r="J126" i="55" s="1"/>
  <c r="H53" i="55"/>
  <c r="I128" i="55" s="1"/>
  <c r="I124" i="55"/>
  <c r="H54" i="55"/>
  <c r="I129" i="55" s="1"/>
  <c r="M46" i="55"/>
  <c r="S46" i="55"/>
  <c r="Z46" i="55" s="1"/>
  <c r="AN46" i="55" s="1"/>
  <c r="Q46" i="55"/>
  <c r="R46" i="55"/>
  <c r="AF46" i="55" s="1"/>
  <c r="AT46" i="55" s="1"/>
  <c r="X46" i="55"/>
  <c r="AL46" i="55" s="1"/>
  <c r="N46" i="55"/>
  <c r="U46" i="55" s="1"/>
  <c r="AI46" i="55" s="1"/>
  <c r="BC46" i="55" s="1"/>
  <c r="O46" i="55"/>
  <c r="V46" i="55" s="1"/>
  <c r="AJ46" i="55" s="1"/>
  <c r="BD46" i="55" s="1"/>
  <c r="K51" i="55"/>
  <c r="N51" i="55" s="1"/>
  <c r="K54" i="55"/>
  <c r="O54" i="55" s="1"/>
  <c r="P19" i="55"/>
  <c r="Q19" i="55"/>
  <c r="S19" i="55"/>
  <c r="R19" i="55"/>
  <c r="O19" i="55"/>
  <c r="N19" i="55"/>
  <c r="M19" i="55"/>
  <c r="R23" i="55"/>
  <c r="N23" i="55"/>
  <c r="Q23" i="55"/>
  <c r="P23" i="55"/>
  <c r="S23" i="55"/>
  <c r="O23" i="55"/>
  <c r="M23" i="55"/>
  <c r="R11" i="55"/>
  <c r="S11" i="55"/>
  <c r="Q11" i="55"/>
  <c r="P11" i="55"/>
  <c r="O11" i="55"/>
  <c r="N11" i="55"/>
  <c r="M11" i="55"/>
  <c r="O40" i="55"/>
  <c r="R40" i="55"/>
  <c r="K115" i="55"/>
  <c r="S40" i="55"/>
  <c r="Q40" i="55"/>
  <c r="P40" i="55"/>
  <c r="N40" i="55"/>
  <c r="M40" i="55"/>
  <c r="M38" i="55"/>
  <c r="S38" i="55"/>
  <c r="Q38" i="55"/>
  <c r="R38" i="55"/>
  <c r="P38" i="55"/>
  <c r="K113" i="55"/>
  <c r="O38" i="55"/>
  <c r="N38" i="55"/>
  <c r="R50" i="55"/>
  <c r="O50" i="55"/>
  <c r="Q50" i="55"/>
  <c r="P50" i="55"/>
  <c r="S50" i="55"/>
  <c r="N50" i="55"/>
  <c r="M50" i="55"/>
  <c r="Q13" i="55"/>
  <c r="N13" i="55"/>
  <c r="P13" i="55"/>
  <c r="O13" i="55"/>
  <c r="R13" i="55"/>
  <c r="M13" i="55"/>
  <c r="K124" i="55"/>
  <c r="K49" i="55"/>
  <c r="P6" i="55"/>
  <c r="M6" i="55"/>
  <c r="O6" i="55"/>
  <c r="N6" i="55"/>
  <c r="S13" i="55"/>
  <c r="AD5" i="55"/>
  <c r="W5" i="55"/>
  <c r="Q6" i="55"/>
  <c r="Y5" i="55"/>
  <c r="AM5" i="55" s="1"/>
  <c r="BG5" i="55" s="1"/>
  <c r="AF5" i="55"/>
  <c r="AT5" i="55" s="1"/>
  <c r="BN5" i="55" s="1"/>
  <c r="R6" i="55"/>
  <c r="P51" i="55"/>
  <c r="S51" i="55"/>
  <c r="Q51" i="55"/>
  <c r="O51" i="55"/>
  <c r="R51" i="55"/>
  <c r="M51" i="55"/>
  <c r="Z5" i="55"/>
  <c r="AN5" i="55" s="1"/>
  <c r="BH5" i="55" s="1"/>
  <c r="AG5" i="55"/>
  <c r="AU5" i="55" s="1"/>
  <c r="BO5" i="55" s="1"/>
  <c r="S6" i="55"/>
  <c r="AK46" i="55"/>
  <c r="O5" i="55"/>
  <c r="M5" i="55"/>
  <c r="N5" i="55"/>
  <c r="Q5" i="55"/>
  <c r="K80" i="55"/>
  <c r="K122" i="55"/>
  <c r="K47" i="55"/>
  <c r="U52" i="55"/>
  <c r="AB52" i="55"/>
  <c r="M52" i="55"/>
  <c r="K53" i="55"/>
  <c r="M54" i="55"/>
  <c r="P54" i="55"/>
  <c r="Q54" i="55"/>
  <c r="N54" i="55"/>
  <c r="R54" i="55"/>
  <c r="J121" i="55"/>
  <c r="AE46" i="55"/>
  <c r="AS46" i="55" s="1"/>
  <c r="R52" i="55"/>
  <c r="S52" i="55"/>
  <c r="Q52" i="55"/>
  <c r="T46" i="55"/>
  <c r="AA46" i="55"/>
  <c r="AD46" i="55"/>
  <c r="I47" i="55"/>
  <c r="J122" i="55" s="1"/>
  <c r="K123" i="55"/>
  <c r="K48" i="55"/>
  <c r="O52" i="55"/>
  <c r="S54" i="55"/>
  <c r="K128" i="55"/>
  <c r="J127" i="55"/>
  <c r="I54" i="55"/>
  <c r="J129" i="55" s="1"/>
  <c r="I53" i="55"/>
  <c r="J128" i="55" s="1"/>
  <c r="M105" i="53"/>
  <c r="M104" i="53"/>
  <c r="M103" i="53"/>
  <c r="M102" i="53"/>
  <c r="M101" i="53"/>
  <c r="M100" i="53"/>
  <c r="M99" i="53"/>
  <c r="M98" i="53"/>
  <c r="M97" i="53"/>
  <c r="M96" i="53"/>
  <c r="M95" i="53"/>
  <c r="M94" i="53"/>
  <c r="M93" i="53"/>
  <c r="M92" i="53"/>
  <c r="M91" i="53"/>
  <c r="M90" i="53"/>
  <c r="M89" i="53"/>
  <c r="M88" i="53"/>
  <c r="M87" i="53"/>
  <c r="M86" i="53"/>
  <c r="M85" i="53"/>
  <c r="M84" i="53"/>
  <c r="M83" i="53"/>
  <c r="M82" i="53"/>
  <c r="M81" i="53"/>
  <c r="M80" i="53"/>
  <c r="M79" i="53"/>
  <c r="M78" i="53"/>
  <c r="M77" i="53"/>
  <c r="M76" i="53"/>
  <c r="M75" i="53"/>
  <c r="M74" i="53"/>
  <c r="M73" i="53"/>
  <c r="M72" i="53"/>
  <c r="M71" i="53"/>
  <c r="M70" i="53"/>
  <c r="M69" i="53"/>
  <c r="M68" i="53"/>
  <c r="M67" i="53"/>
  <c r="M66" i="53"/>
  <c r="M65" i="53"/>
  <c r="M64" i="53"/>
  <c r="M63" i="53"/>
  <c r="M62" i="53"/>
  <c r="M61" i="53"/>
  <c r="M60" i="53"/>
  <c r="M59" i="53"/>
  <c r="M58" i="53"/>
  <c r="M57" i="53"/>
  <c r="M56" i="53"/>
  <c r="M55" i="53"/>
  <c r="M54" i="53"/>
  <c r="M53" i="53"/>
  <c r="M52" i="53"/>
  <c r="M51" i="53"/>
  <c r="M50" i="53"/>
  <c r="M49" i="53"/>
  <c r="M48" i="53"/>
  <c r="M47" i="53"/>
  <c r="M46" i="53"/>
  <c r="M45" i="53"/>
  <c r="M44" i="53"/>
  <c r="M43" i="53"/>
  <c r="M42" i="53"/>
  <c r="M41" i="53"/>
  <c r="M40" i="53"/>
  <c r="M39" i="53"/>
  <c r="M38" i="53"/>
  <c r="M37" i="53"/>
  <c r="M36" i="53"/>
  <c r="M35" i="53"/>
  <c r="M34" i="53"/>
  <c r="M33" i="53"/>
  <c r="AB5" i="53" s="1"/>
  <c r="M32" i="53"/>
  <c r="M31" i="53"/>
  <c r="M30" i="53"/>
  <c r="M29" i="53"/>
  <c r="M28" i="53"/>
  <c r="M27" i="53"/>
  <c r="M26" i="53"/>
  <c r="M25" i="53"/>
  <c r="M24" i="53"/>
  <c r="M23" i="53"/>
  <c r="M22" i="53"/>
  <c r="M21" i="53"/>
  <c r="M20" i="53"/>
  <c r="M19" i="53"/>
  <c r="M18" i="53"/>
  <c r="M17" i="53"/>
  <c r="M16" i="53"/>
  <c r="M15" i="53"/>
  <c r="M14" i="53"/>
  <c r="M13" i="53"/>
  <c r="M12" i="53"/>
  <c r="M11" i="53"/>
  <c r="M10" i="53"/>
  <c r="M9" i="53"/>
  <c r="M8" i="53"/>
  <c r="M7" i="53"/>
  <c r="M6" i="53"/>
  <c r="M5" i="53"/>
  <c r="M4" i="53"/>
  <c r="M3" i="53"/>
  <c r="M2" i="53"/>
  <c r="G107" i="51"/>
  <c r="G106" i="51"/>
  <c r="G105" i="51"/>
  <c r="G103" i="51"/>
  <c r="G102" i="51"/>
  <c r="G101" i="51"/>
  <c r="G100" i="51"/>
  <c r="G99" i="51"/>
  <c r="M28" i="51" s="1"/>
  <c r="N28" i="51" s="1"/>
  <c r="O28" i="51" s="1"/>
  <c r="G98" i="51"/>
  <c r="G97" i="51"/>
  <c r="O27" i="51" s="1"/>
  <c r="G96" i="51"/>
  <c r="G95" i="51"/>
  <c r="M25" i="51" s="1"/>
  <c r="G94" i="51"/>
  <c r="G93" i="51"/>
  <c r="G92" i="51"/>
  <c r="G91" i="51"/>
  <c r="G89" i="51"/>
  <c r="G88" i="51"/>
  <c r="G87" i="51"/>
  <c r="G86" i="51"/>
  <c r="G85" i="51"/>
  <c r="G84" i="51"/>
  <c r="O17" i="51" s="1"/>
  <c r="G82" i="51"/>
  <c r="M36" i="51" s="1"/>
  <c r="G81" i="51"/>
  <c r="O36" i="51" s="1"/>
  <c r="G79" i="51"/>
  <c r="G78" i="51"/>
  <c r="G77" i="51"/>
  <c r="G76" i="51"/>
  <c r="G75" i="51"/>
  <c r="G74" i="51"/>
  <c r="G73" i="51"/>
  <c r="G72" i="51"/>
  <c r="P16" i="51" s="1"/>
  <c r="G71" i="51"/>
  <c r="G70" i="51"/>
  <c r="O15" i="51" s="1"/>
  <c r="G69" i="51"/>
  <c r="G68" i="51"/>
  <c r="O14" i="51" s="1"/>
  <c r="G67" i="51"/>
  <c r="G65" i="51"/>
  <c r="G64" i="51"/>
  <c r="G63" i="51"/>
  <c r="G62" i="51"/>
  <c r="G61" i="51"/>
  <c r="G60" i="51"/>
  <c r="G59" i="51"/>
  <c r="G58" i="51"/>
  <c r="G57" i="51"/>
  <c r="G56" i="51"/>
  <c r="P9" i="51" s="1"/>
  <c r="G55" i="51"/>
  <c r="G54" i="51"/>
  <c r="G53" i="51"/>
  <c r="G52" i="51"/>
  <c r="G51" i="51"/>
  <c r="G50" i="51"/>
  <c r="N9" i="51" s="1"/>
  <c r="G49" i="51"/>
  <c r="M11" i="51" s="1"/>
  <c r="G47" i="51"/>
  <c r="G45" i="51"/>
  <c r="G44" i="51"/>
  <c r="G43" i="51"/>
  <c r="O34" i="51" s="1"/>
  <c r="G41" i="51"/>
  <c r="G40" i="51"/>
  <c r="G39" i="51"/>
  <c r="G38" i="51"/>
  <c r="G37" i="51"/>
  <c r="G36" i="51"/>
  <c r="M35" i="51"/>
  <c r="O35" i="51" s="1"/>
  <c r="G35" i="51"/>
  <c r="G34" i="51"/>
  <c r="G33" i="51"/>
  <c r="O33" i="51" s="1"/>
  <c r="O32" i="51"/>
  <c r="M32" i="51"/>
  <c r="N32" i="51" s="1"/>
  <c r="G31" i="51"/>
  <c r="O30" i="51"/>
  <c r="M30" i="51"/>
  <c r="N30" i="51" s="1"/>
  <c r="G30" i="51"/>
  <c r="O29" i="51"/>
  <c r="M29" i="51"/>
  <c r="N29" i="51" s="1"/>
  <c r="G29" i="51"/>
  <c r="M8" i="51" s="1"/>
  <c r="G28" i="51"/>
  <c r="G27" i="51"/>
  <c r="M26" i="51"/>
  <c r="O26" i="51" s="1"/>
  <c r="G26" i="51"/>
  <c r="G25" i="51"/>
  <c r="M24" i="51"/>
  <c r="O24" i="51" s="1"/>
  <c r="G24" i="51"/>
  <c r="M23" i="51"/>
  <c r="O23" i="51" s="1"/>
  <c r="G23" i="51"/>
  <c r="N7" i="51" s="1"/>
  <c r="O22" i="51"/>
  <c r="M22" i="51"/>
  <c r="N22" i="51" s="1"/>
  <c r="M21" i="51"/>
  <c r="N21" i="51" s="1"/>
  <c r="G21" i="51"/>
  <c r="G20" i="51"/>
  <c r="O19" i="51"/>
  <c r="N19" i="51"/>
  <c r="M19" i="51"/>
  <c r="G19" i="51"/>
  <c r="M6" i="51" s="1"/>
  <c r="G17" i="51"/>
  <c r="G16" i="51"/>
  <c r="M15" i="51"/>
  <c r="G15" i="51"/>
  <c r="G14" i="51"/>
  <c r="N5" i="51" s="1"/>
  <c r="M13" i="51"/>
  <c r="O13" i="51" s="1"/>
  <c r="G13" i="51"/>
  <c r="O12" i="51"/>
  <c r="N12" i="51"/>
  <c r="M12" i="51"/>
  <c r="G12" i="51"/>
  <c r="G11" i="51"/>
  <c r="P10" i="51"/>
  <c r="O10" i="51"/>
  <c r="N10" i="51"/>
  <c r="M10" i="51"/>
  <c r="G10" i="51"/>
  <c r="O9" i="51"/>
  <c r="G8" i="51"/>
  <c r="G7" i="51"/>
  <c r="O6" i="51"/>
  <c r="N6" i="51"/>
  <c r="G6" i="51"/>
  <c r="O5" i="51"/>
  <c r="M5" i="51"/>
  <c r="G5" i="51"/>
  <c r="G4" i="51"/>
  <c r="O31" i="51" s="1"/>
  <c r="AG46" i="55" l="1"/>
  <c r="AU46" i="55" s="1"/>
  <c r="AW46" i="55"/>
  <c r="AB46" i="55"/>
  <c r="AC46" i="55"/>
  <c r="AQ46" i="55" s="1"/>
  <c r="BK46" i="55" s="1"/>
  <c r="Y46" i="55"/>
  <c r="AM46" i="55" s="1"/>
  <c r="AD52" i="55"/>
  <c r="AR52" i="55" s="1"/>
  <c r="W52" i="55"/>
  <c r="AK52" i="55" s="1"/>
  <c r="V54" i="55"/>
  <c r="AJ54" i="55" s="1"/>
  <c r="BD54" i="55" s="1"/>
  <c r="AC54" i="55"/>
  <c r="AQ54" i="55" s="1"/>
  <c r="BK54" i="55" s="1"/>
  <c r="AB51" i="55"/>
  <c r="U51" i="55"/>
  <c r="Q44" i="55"/>
  <c r="M44" i="55"/>
  <c r="P44" i="55"/>
  <c r="S44" i="55"/>
  <c r="O44" i="55"/>
  <c r="N44" i="55"/>
  <c r="R44" i="55"/>
  <c r="K119" i="55"/>
  <c r="AC13" i="55"/>
  <c r="AQ13" i="55" s="1"/>
  <c r="BK13" i="55" s="1"/>
  <c r="V13" i="55"/>
  <c r="AJ13" i="55" s="1"/>
  <c r="BD13" i="55" s="1"/>
  <c r="Y6" i="55"/>
  <c r="AM6" i="55" s="1"/>
  <c r="BG6" i="55" s="1"/>
  <c r="AF6" i="55"/>
  <c r="AT6" i="55" s="1"/>
  <c r="BN6" i="55" s="1"/>
  <c r="AD13" i="55"/>
  <c r="W13" i="55"/>
  <c r="AD23" i="55"/>
  <c r="W23" i="55"/>
  <c r="AB13" i="55"/>
  <c r="U13" i="55"/>
  <c r="V40" i="55"/>
  <c r="AJ40" i="55" s="1"/>
  <c r="BD40" i="55" s="1"/>
  <c r="AC40" i="55"/>
  <c r="AQ40" i="55" s="1"/>
  <c r="BK40" i="55" s="1"/>
  <c r="Z6" i="55"/>
  <c r="AN6" i="55" s="1"/>
  <c r="BH6" i="55" s="1"/>
  <c r="AG6" i="55"/>
  <c r="AU6" i="55" s="1"/>
  <c r="BO6" i="55" s="1"/>
  <c r="AE13" i="55"/>
  <c r="AS13" i="55" s="1"/>
  <c r="BM13" i="55" s="1"/>
  <c r="X13" i="55"/>
  <c r="AL13" i="55" s="1"/>
  <c r="BF13" i="55" s="1"/>
  <c r="AB23" i="55"/>
  <c r="U23" i="55"/>
  <c r="Q53" i="55"/>
  <c r="N53" i="55"/>
  <c r="O53" i="55"/>
  <c r="M53" i="55"/>
  <c r="P53" i="55"/>
  <c r="S53" i="55"/>
  <c r="R53" i="55"/>
  <c r="Q10" i="55"/>
  <c r="O10" i="55"/>
  <c r="P10" i="55"/>
  <c r="N10" i="55"/>
  <c r="S10" i="55"/>
  <c r="R10" i="55"/>
  <c r="M10" i="55"/>
  <c r="K85" i="55"/>
  <c r="M8" i="55"/>
  <c r="K83" i="55"/>
  <c r="Q8" i="55"/>
  <c r="O8" i="55"/>
  <c r="N8" i="55"/>
  <c r="S8" i="55"/>
  <c r="R8" i="55"/>
  <c r="P8" i="55"/>
  <c r="AA50" i="55"/>
  <c r="T50" i="55"/>
  <c r="U11" i="55"/>
  <c r="AB11" i="55"/>
  <c r="AG52" i="55"/>
  <c r="AU52" i="55" s="1"/>
  <c r="Z52" i="55"/>
  <c r="AN52" i="55" s="1"/>
  <c r="AB5" i="55"/>
  <c r="U5" i="55"/>
  <c r="X6" i="55"/>
  <c r="AL6" i="55" s="1"/>
  <c r="BF6" i="55" s="1"/>
  <c r="AE6" i="55"/>
  <c r="AS6" i="55" s="1"/>
  <c r="BM6" i="55" s="1"/>
  <c r="K108" i="55"/>
  <c r="S33" i="55"/>
  <c r="P33" i="55"/>
  <c r="R33" i="55"/>
  <c r="Q33" i="55"/>
  <c r="O33" i="55"/>
  <c r="N33" i="55"/>
  <c r="M33" i="55"/>
  <c r="AG38" i="55"/>
  <c r="AU38" i="55" s="1"/>
  <c r="BO38" i="55" s="1"/>
  <c r="Z38" i="55"/>
  <c r="AN38" i="55" s="1"/>
  <c r="BH38" i="55" s="1"/>
  <c r="T19" i="55"/>
  <c r="AA19" i="55"/>
  <c r="AA5" i="55"/>
  <c r="T5" i="55"/>
  <c r="AK5" i="55"/>
  <c r="BE5" i="55" s="1"/>
  <c r="AX5" i="55"/>
  <c r="AG50" i="55"/>
  <c r="AU50" i="55" s="1"/>
  <c r="Z50" i="55"/>
  <c r="AN50" i="55" s="1"/>
  <c r="W11" i="55"/>
  <c r="AD11" i="55"/>
  <c r="Z54" i="55"/>
  <c r="AN54" i="55" s="1"/>
  <c r="AG54" i="55"/>
  <c r="AU54" i="55" s="1"/>
  <c r="Y51" i="55"/>
  <c r="AM51" i="55" s="1"/>
  <c r="AF51" i="55"/>
  <c r="AT51" i="55" s="1"/>
  <c r="AD50" i="55"/>
  <c r="W50" i="55"/>
  <c r="AE11" i="55"/>
  <c r="AS11" i="55" s="1"/>
  <c r="BM11" i="55" s="1"/>
  <c r="X11" i="55"/>
  <c r="AL11" i="55" s="1"/>
  <c r="BF11" i="55" s="1"/>
  <c r="M37" i="55"/>
  <c r="O37" i="55"/>
  <c r="N37" i="55"/>
  <c r="P37" i="55"/>
  <c r="S37" i="55"/>
  <c r="R37" i="55"/>
  <c r="Q37" i="55"/>
  <c r="K112" i="55"/>
  <c r="X50" i="55"/>
  <c r="AL50" i="55" s="1"/>
  <c r="AE50" i="55"/>
  <c r="AS50" i="55" s="1"/>
  <c r="AG11" i="55"/>
  <c r="AU11" i="55" s="1"/>
  <c r="BO11" i="55" s="1"/>
  <c r="Z11" i="55"/>
  <c r="AN11" i="55" s="1"/>
  <c r="BH11" i="55" s="1"/>
  <c r="AF19" i="55"/>
  <c r="AT19" i="55" s="1"/>
  <c r="Y19" i="55"/>
  <c r="AM19" i="55" s="1"/>
  <c r="AA6" i="55"/>
  <c r="T6" i="55"/>
  <c r="K104" i="55"/>
  <c r="R29" i="55"/>
  <c r="O29" i="55"/>
  <c r="Q29" i="55"/>
  <c r="P29" i="55"/>
  <c r="N29" i="55"/>
  <c r="S29" i="55"/>
  <c r="M29" i="55"/>
  <c r="AG23" i="55"/>
  <c r="AU23" i="55" s="1"/>
  <c r="BO23" i="55" s="1"/>
  <c r="Z23" i="55"/>
  <c r="AN23" i="55" s="1"/>
  <c r="BH23" i="55" s="1"/>
  <c r="AO46" i="55"/>
  <c r="BI46" i="55" s="1"/>
  <c r="AY46" i="55"/>
  <c r="AD6" i="55"/>
  <c r="W6" i="55"/>
  <c r="R17" i="55"/>
  <c r="S17" i="55"/>
  <c r="N17" i="55"/>
  <c r="K92" i="55"/>
  <c r="O17" i="55"/>
  <c r="M17" i="55"/>
  <c r="Q17" i="55"/>
  <c r="P17" i="55"/>
  <c r="Y40" i="55"/>
  <c r="AM40" i="55" s="1"/>
  <c r="BG40" i="55" s="1"/>
  <c r="AF40" i="55"/>
  <c r="AT40" i="55" s="1"/>
  <c r="BN40" i="55" s="1"/>
  <c r="AD54" i="55"/>
  <c r="W54" i="55"/>
  <c r="M43" i="55"/>
  <c r="S43" i="55"/>
  <c r="R43" i="55"/>
  <c r="Q43" i="55"/>
  <c r="N43" i="55"/>
  <c r="P43" i="55"/>
  <c r="O43" i="55"/>
  <c r="K118" i="55"/>
  <c r="S49" i="55"/>
  <c r="R49" i="55"/>
  <c r="Q49" i="55"/>
  <c r="O49" i="55"/>
  <c r="M49" i="55"/>
  <c r="P49" i="55"/>
  <c r="N49" i="55"/>
  <c r="K102" i="55"/>
  <c r="N27" i="55"/>
  <c r="M27" i="55"/>
  <c r="S27" i="55"/>
  <c r="R27" i="55"/>
  <c r="Q27" i="55"/>
  <c r="P27" i="55"/>
  <c r="O27" i="55"/>
  <c r="K95" i="55"/>
  <c r="N20" i="55"/>
  <c r="Q20" i="55"/>
  <c r="P20" i="55"/>
  <c r="O20" i="55"/>
  <c r="M20" i="55"/>
  <c r="S20" i="55"/>
  <c r="R20" i="55"/>
  <c r="AE23" i="55"/>
  <c r="AS23" i="55" s="1"/>
  <c r="BM23" i="55" s="1"/>
  <c r="X23" i="55"/>
  <c r="AL23" i="55" s="1"/>
  <c r="BF23" i="55" s="1"/>
  <c r="AA54" i="55"/>
  <c r="T54" i="55"/>
  <c r="K105" i="55"/>
  <c r="Q30" i="55"/>
  <c r="O30" i="55"/>
  <c r="M30" i="55"/>
  <c r="N30" i="55"/>
  <c r="S30" i="55"/>
  <c r="R30" i="55"/>
  <c r="P30" i="55"/>
  <c r="K106" i="55"/>
  <c r="M31" i="55"/>
  <c r="P31" i="55"/>
  <c r="O31" i="55"/>
  <c r="N31" i="55"/>
  <c r="S31" i="55"/>
  <c r="R31" i="55"/>
  <c r="Q31" i="55"/>
  <c r="T11" i="55"/>
  <c r="AA11" i="55"/>
  <c r="X52" i="55"/>
  <c r="AE52" i="55"/>
  <c r="Q24" i="55"/>
  <c r="O24" i="55"/>
  <c r="N24" i="55"/>
  <c r="P24" i="55"/>
  <c r="M24" i="55"/>
  <c r="S24" i="55"/>
  <c r="R24" i="55"/>
  <c r="K99" i="55"/>
  <c r="K107" i="55"/>
  <c r="Q32" i="55"/>
  <c r="N32" i="55"/>
  <c r="P32" i="55"/>
  <c r="O32" i="55"/>
  <c r="R32" i="55"/>
  <c r="S32" i="55"/>
  <c r="M32" i="55"/>
  <c r="X38" i="55"/>
  <c r="AL38" i="55" s="1"/>
  <c r="BF38" i="55" s="1"/>
  <c r="AE38" i="55"/>
  <c r="AS38" i="55" s="1"/>
  <c r="BM38" i="55" s="1"/>
  <c r="AF23" i="55"/>
  <c r="AT23" i="55" s="1"/>
  <c r="BN23" i="55" s="1"/>
  <c r="Y23" i="55"/>
  <c r="AM23" i="55" s="1"/>
  <c r="BG23" i="55" s="1"/>
  <c r="T52" i="55"/>
  <c r="AA52" i="55"/>
  <c r="T13" i="55"/>
  <c r="AA13" i="55"/>
  <c r="M12" i="55"/>
  <c r="K87" i="55"/>
  <c r="R12" i="55"/>
  <c r="S12" i="55"/>
  <c r="Q12" i="55"/>
  <c r="P12" i="55"/>
  <c r="O12" i="55"/>
  <c r="N12" i="55"/>
  <c r="U50" i="55"/>
  <c r="AB50" i="55"/>
  <c r="V11" i="55"/>
  <c r="AJ11" i="55" s="1"/>
  <c r="BD11" i="55" s="1"/>
  <c r="AC11" i="55"/>
  <c r="AQ11" i="55" s="1"/>
  <c r="BK11" i="55" s="1"/>
  <c r="Y52" i="55"/>
  <c r="AM52" i="55" s="1"/>
  <c r="AF52" i="55"/>
  <c r="AT52" i="55" s="1"/>
  <c r="AP46" i="55"/>
  <c r="BJ46" i="55" s="1"/>
  <c r="AZ46" i="55"/>
  <c r="AA51" i="55"/>
  <c r="T51" i="55"/>
  <c r="S9" i="55"/>
  <c r="R9" i="55"/>
  <c r="Q9" i="55"/>
  <c r="O9" i="55"/>
  <c r="N9" i="55"/>
  <c r="M9" i="55"/>
  <c r="K84" i="55"/>
  <c r="P9" i="55"/>
  <c r="K101" i="55"/>
  <c r="M26" i="55"/>
  <c r="S26" i="55"/>
  <c r="R26" i="55"/>
  <c r="Q26" i="55"/>
  <c r="P26" i="55"/>
  <c r="O26" i="55"/>
  <c r="N26" i="55"/>
  <c r="K109" i="55"/>
  <c r="S34" i="55"/>
  <c r="R34" i="55"/>
  <c r="N34" i="55"/>
  <c r="O34" i="55"/>
  <c r="M34" i="55"/>
  <c r="Q34" i="55"/>
  <c r="P34" i="55"/>
  <c r="T38" i="55"/>
  <c r="AA38" i="55"/>
  <c r="AB19" i="55"/>
  <c r="U19" i="55"/>
  <c r="AP52" i="55"/>
  <c r="BJ52" i="55" s="1"/>
  <c r="AZ52" i="55"/>
  <c r="AC5" i="55"/>
  <c r="AQ5" i="55" s="1"/>
  <c r="BK5" i="55" s="1"/>
  <c r="V5" i="55"/>
  <c r="AJ5" i="55" s="1"/>
  <c r="BD5" i="55" s="1"/>
  <c r="BA5" i="55"/>
  <c r="AR5" i="55"/>
  <c r="BL5" i="55" s="1"/>
  <c r="S42" i="55"/>
  <c r="K117" i="55"/>
  <c r="P42" i="55"/>
  <c r="R42" i="55"/>
  <c r="Q42" i="55"/>
  <c r="N42" i="55"/>
  <c r="M42" i="55"/>
  <c r="O42" i="55"/>
  <c r="S21" i="55"/>
  <c r="O21" i="55"/>
  <c r="M21" i="55"/>
  <c r="N21" i="55"/>
  <c r="P21" i="55"/>
  <c r="K96" i="55"/>
  <c r="R21" i="55"/>
  <c r="Q21" i="55"/>
  <c r="K110" i="55"/>
  <c r="Q35" i="55"/>
  <c r="S35" i="55"/>
  <c r="P35" i="55"/>
  <c r="O35" i="55"/>
  <c r="M35" i="55"/>
  <c r="R35" i="55"/>
  <c r="N35" i="55"/>
  <c r="AA40" i="55"/>
  <c r="T40" i="55"/>
  <c r="V19" i="55"/>
  <c r="AJ19" i="55" s="1"/>
  <c r="BD19" i="55" s="1"/>
  <c r="AC19" i="55"/>
  <c r="AQ19" i="55" s="1"/>
  <c r="BK19" i="55" s="1"/>
  <c r="V52" i="55"/>
  <c r="AJ52" i="55" s="1"/>
  <c r="BD52" i="55" s="1"/>
  <c r="AC52" i="55"/>
  <c r="AQ52" i="55" s="1"/>
  <c r="BK52" i="55" s="1"/>
  <c r="AI52" i="55"/>
  <c r="BC52" i="55" s="1"/>
  <c r="V51" i="55"/>
  <c r="AJ51" i="55" s="1"/>
  <c r="BD51" i="55" s="1"/>
  <c r="AC51" i="55"/>
  <c r="AQ51" i="55" s="1"/>
  <c r="BK51" i="55" s="1"/>
  <c r="AG13" i="55"/>
  <c r="AU13" i="55" s="1"/>
  <c r="BO13" i="55" s="1"/>
  <c r="Z13" i="55"/>
  <c r="AN13" i="55" s="1"/>
  <c r="BH13" i="55" s="1"/>
  <c r="K100" i="55"/>
  <c r="P25" i="55"/>
  <c r="Q25" i="55"/>
  <c r="O25" i="55"/>
  <c r="N25" i="55"/>
  <c r="M25" i="55"/>
  <c r="S25" i="55"/>
  <c r="R25" i="55"/>
  <c r="K111" i="55"/>
  <c r="O36" i="55"/>
  <c r="M36" i="55"/>
  <c r="S36" i="55"/>
  <c r="R36" i="55"/>
  <c r="Q36" i="55"/>
  <c r="P36" i="55"/>
  <c r="N36" i="55"/>
  <c r="AB40" i="55"/>
  <c r="U40" i="55"/>
  <c r="O48" i="55"/>
  <c r="R48" i="55"/>
  <c r="Q48" i="55"/>
  <c r="P48" i="55"/>
  <c r="M48" i="55"/>
  <c r="S48" i="55"/>
  <c r="N48" i="55"/>
  <c r="Y54" i="55"/>
  <c r="AM54" i="55" s="1"/>
  <c r="AF54" i="55"/>
  <c r="AT54" i="55" s="1"/>
  <c r="X51" i="55"/>
  <c r="AL51" i="55" s="1"/>
  <c r="AE51" i="55"/>
  <c r="AS51" i="55" s="1"/>
  <c r="P7" i="55"/>
  <c r="O7" i="55"/>
  <c r="N7" i="55"/>
  <c r="M7" i="55"/>
  <c r="S7" i="55"/>
  <c r="R7" i="55"/>
  <c r="Q7" i="55"/>
  <c r="K82" i="55"/>
  <c r="P22" i="55"/>
  <c r="Q22" i="55"/>
  <c r="S22" i="55"/>
  <c r="R22" i="55"/>
  <c r="M22" i="55"/>
  <c r="K97" i="55"/>
  <c r="N22" i="55"/>
  <c r="O22" i="55"/>
  <c r="N16" i="55"/>
  <c r="K91" i="55"/>
  <c r="O16" i="55"/>
  <c r="S16" i="55"/>
  <c r="R16" i="55"/>
  <c r="Q16" i="55"/>
  <c r="P16" i="55"/>
  <c r="M16" i="55"/>
  <c r="M39" i="55"/>
  <c r="K114" i="55"/>
  <c r="R39" i="55"/>
  <c r="O39" i="55"/>
  <c r="Q39" i="55"/>
  <c r="P39" i="55"/>
  <c r="S39" i="55"/>
  <c r="N39" i="55"/>
  <c r="V50" i="55"/>
  <c r="AJ50" i="55" s="1"/>
  <c r="BD50" i="55" s="1"/>
  <c r="AC50" i="55"/>
  <c r="AQ50" i="55" s="1"/>
  <c r="BK50" i="55" s="1"/>
  <c r="W40" i="55"/>
  <c r="AD40" i="55"/>
  <c r="AF11" i="55"/>
  <c r="AT11" i="55" s="1"/>
  <c r="BN11" i="55" s="1"/>
  <c r="Y11" i="55"/>
  <c r="AM11" i="55" s="1"/>
  <c r="BG11" i="55" s="1"/>
  <c r="AG19" i="55"/>
  <c r="AU19" i="55" s="1"/>
  <c r="Z19" i="55"/>
  <c r="AN19" i="55" s="1"/>
  <c r="AR46" i="55"/>
  <c r="BA46" i="55"/>
  <c r="AC38" i="55"/>
  <c r="AQ38" i="55" s="1"/>
  <c r="BK38" i="55" s="1"/>
  <c r="V38" i="55"/>
  <c r="AJ38" i="55" s="1"/>
  <c r="BD38" i="55" s="1"/>
  <c r="X54" i="55"/>
  <c r="AL54" i="55" s="1"/>
  <c r="AE54" i="55"/>
  <c r="AS54" i="55" s="1"/>
  <c r="K103" i="55"/>
  <c r="S28" i="55"/>
  <c r="R28" i="55"/>
  <c r="Q28" i="55"/>
  <c r="N28" i="55"/>
  <c r="P28" i="55"/>
  <c r="O28" i="55"/>
  <c r="M28" i="55"/>
  <c r="AH46" i="55"/>
  <c r="BB46" i="55" s="1"/>
  <c r="AV46" i="55"/>
  <c r="W38" i="55"/>
  <c r="AD38" i="55"/>
  <c r="N4" i="55"/>
  <c r="M4" i="55"/>
  <c r="O4" i="55"/>
  <c r="S4" i="55"/>
  <c r="R4" i="55"/>
  <c r="Q4" i="55"/>
  <c r="P4" i="55"/>
  <c r="Y38" i="55"/>
  <c r="AM38" i="55" s="1"/>
  <c r="BG38" i="55" s="1"/>
  <c r="AF38" i="55"/>
  <c r="AT38" i="55" s="1"/>
  <c r="BN38" i="55" s="1"/>
  <c r="X5" i="55"/>
  <c r="AL5" i="55" s="1"/>
  <c r="BF5" i="55" s="1"/>
  <c r="AE5" i="55"/>
  <c r="AS5" i="55" s="1"/>
  <c r="BM5" i="55" s="1"/>
  <c r="Z51" i="55"/>
  <c r="AN51" i="55" s="1"/>
  <c r="AG51" i="55"/>
  <c r="AU51" i="55" s="1"/>
  <c r="AB6" i="55"/>
  <c r="U6" i="55"/>
  <c r="P45" i="55"/>
  <c r="M45" i="55"/>
  <c r="S45" i="55"/>
  <c r="N45" i="55"/>
  <c r="K120" i="55"/>
  <c r="R45" i="55"/>
  <c r="Q45" i="55"/>
  <c r="O45" i="55"/>
  <c r="R15" i="55"/>
  <c r="Q15" i="55"/>
  <c r="P15" i="55"/>
  <c r="O15" i="55"/>
  <c r="N15" i="55"/>
  <c r="K90" i="55"/>
  <c r="S15" i="55"/>
  <c r="M15" i="55"/>
  <c r="Q41" i="55"/>
  <c r="R41" i="55"/>
  <c r="P41" i="55"/>
  <c r="O41" i="55"/>
  <c r="M41" i="55"/>
  <c r="K116" i="55"/>
  <c r="S41" i="55"/>
  <c r="N41" i="55"/>
  <c r="Y50" i="55"/>
  <c r="AM50" i="55" s="1"/>
  <c r="AF50" i="55"/>
  <c r="AT50" i="55" s="1"/>
  <c r="AE40" i="55"/>
  <c r="AS40" i="55" s="1"/>
  <c r="BM40" i="55" s="1"/>
  <c r="X40" i="55"/>
  <c r="AL40" i="55" s="1"/>
  <c r="BF40" i="55" s="1"/>
  <c r="AA23" i="55"/>
  <c r="T23" i="55"/>
  <c r="AE19" i="55"/>
  <c r="AS19" i="55" s="1"/>
  <c r="X19" i="55"/>
  <c r="AL19" i="55" s="1"/>
  <c r="U54" i="55"/>
  <c r="AB54" i="55"/>
  <c r="S47" i="55"/>
  <c r="P47" i="55"/>
  <c r="R47" i="55"/>
  <c r="Q47" i="55"/>
  <c r="O47" i="55"/>
  <c r="M47" i="55"/>
  <c r="N47" i="55"/>
  <c r="AX46" i="55"/>
  <c r="W51" i="55"/>
  <c r="AD51" i="55"/>
  <c r="AC6" i="55"/>
  <c r="AQ6" i="55" s="1"/>
  <c r="BK6" i="55" s="1"/>
  <c r="V6" i="55"/>
  <c r="AJ6" i="55" s="1"/>
  <c r="BD6" i="55" s="1"/>
  <c r="K89" i="55"/>
  <c r="M14" i="55"/>
  <c r="S14" i="55"/>
  <c r="R14" i="55"/>
  <c r="Q14" i="55"/>
  <c r="O14" i="55"/>
  <c r="P14" i="55"/>
  <c r="N14" i="55"/>
  <c r="N18" i="55"/>
  <c r="S18" i="55"/>
  <c r="R18" i="55"/>
  <c r="P18" i="55"/>
  <c r="O18" i="55"/>
  <c r="M18" i="55"/>
  <c r="K93" i="55"/>
  <c r="Q18" i="55"/>
  <c r="AF13" i="55"/>
  <c r="AT13" i="55" s="1"/>
  <c r="BN13" i="55" s="1"/>
  <c r="Y13" i="55"/>
  <c r="AM13" i="55" s="1"/>
  <c r="BG13" i="55" s="1"/>
  <c r="AB38" i="55"/>
  <c r="U38" i="55"/>
  <c r="Z40" i="55"/>
  <c r="AN40" i="55" s="1"/>
  <c r="BH40" i="55" s="1"/>
  <c r="AG40" i="55"/>
  <c r="AU40" i="55" s="1"/>
  <c r="BO40" i="55" s="1"/>
  <c r="V23" i="55"/>
  <c r="AJ23" i="55" s="1"/>
  <c r="BD23" i="55" s="1"/>
  <c r="AC23" i="55"/>
  <c r="AQ23" i="55" s="1"/>
  <c r="BK23" i="55" s="1"/>
  <c r="W19" i="55"/>
  <c r="AD19" i="55"/>
  <c r="AB4" i="53"/>
  <c r="AB2" i="53"/>
  <c r="AB3" i="53"/>
  <c r="AB7" i="53"/>
  <c r="AB6" i="53"/>
  <c r="O25" i="51"/>
  <c r="N25" i="51"/>
  <c r="N36" i="51"/>
  <c r="O11" i="51"/>
  <c r="N11" i="51"/>
  <c r="N15" i="51"/>
  <c r="N23" i="51"/>
  <c r="N26" i="51"/>
  <c r="N35" i="51"/>
  <c r="M7" i="51"/>
  <c r="M16" i="51"/>
  <c r="M33" i="51"/>
  <c r="O7" i="51"/>
  <c r="N13" i="51"/>
  <c r="N16" i="51"/>
  <c r="P33" i="51"/>
  <c r="N8" i="51"/>
  <c r="M14" i="51"/>
  <c r="N14" i="51" s="1"/>
  <c r="O21" i="51"/>
  <c r="O8" i="51"/>
  <c r="M17" i="51"/>
  <c r="M31" i="51"/>
  <c r="M34" i="51"/>
  <c r="M9" i="51"/>
  <c r="N17" i="51"/>
  <c r="N31" i="51"/>
  <c r="N34" i="51"/>
  <c r="J84" i="51"/>
  <c r="M27" i="51"/>
  <c r="N27" i="51" s="1"/>
  <c r="N33" i="51"/>
  <c r="O16" i="51"/>
  <c r="N24" i="51"/>
  <c r="AW52" i="55" l="1"/>
  <c r="U14" i="55"/>
  <c r="AB14" i="55"/>
  <c r="Y41" i="55"/>
  <c r="AM41" i="55" s="1"/>
  <c r="BG41" i="55" s="1"/>
  <c r="AF41" i="55"/>
  <c r="AT41" i="55" s="1"/>
  <c r="BN41" i="55" s="1"/>
  <c r="AE7" i="55"/>
  <c r="AS7" i="55" s="1"/>
  <c r="X7" i="55"/>
  <c r="AL7" i="55" s="1"/>
  <c r="Z36" i="55"/>
  <c r="AN36" i="55" s="1"/>
  <c r="BH36" i="55" s="1"/>
  <c r="AG36" i="55"/>
  <c r="AU36" i="55" s="1"/>
  <c r="BO36" i="55" s="1"/>
  <c r="T34" i="55"/>
  <c r="AA34" i="55"/>
  <c r="Z12" i="55"/>
  <c r="AN12" i="55" s="1"/>
  <c r="BH12" i="55" s="1"/>
  <c r="AG12" i="55"/>
  <c r="AU12" i="55" s="1"/>
  <c r="BO12" i="55" s="1"/>
  <c r="AC31" i="55"/>
  <c r="AQ31" i="55" s="1"/>
  <c r="BK31" i="55" s="1"/>
  <c r="V31" i="55"/>
  <c r="AJ31" i="55" s="1"/>
  <c r="BD31" i="55" s="1"/>
  <c r="AE49" i="55"/>
  <c r="AS49" i="55" s="1"/>
  <c r="X49" i="55"/>
  <c r="AL49" i="55" s="1"/>
  <c r="AG37" i="55"/>
  <c r="AU37" i="55" s="1"/>
  <c r="BO37" i="55" s="1"/>
  <c r="Z37" i="55"/>
  <c r="AN37" i="55" s="1"/>
  <c r="BH37" i="55" s="1"/>
  <c r="AZ5" i="55"/>
  <c r="AP5" i="55"/>
  <c r="BJ5" i="55" s="1"/>
  <c r="AB47" i="55"/>
  <c r="U47" i="55"/>
  <c r="AO23" i="55"/>
  <c r="AY23" i="55"/>
  <c r="Y7" i="55"/>
  <c r="AM7" i="55" s="1"/>
  <c r="AF7" i="55"/>
  <c r="AT7" i="55" s="1"/>
  <c r="AA36" i="55"/>
  <c r="T36" i="55"/>
  <c r="V34" i="55"/>
  <c r="AJ34" i="55" s="1"/>
  <c r="BD34" i="55" s="1"/>
  <c r="AC34" i="55"/>
  <c r="AQ34" i="55" s="1"/>
  <c r="BK34" i="55" s="1"/>
  <c r="U24" i="55"/>
  <c r="AB24" i="55"/>
  <c r="W27" i="55"/>
  <c r="AD27" i="55"/>
  <c r="AV6" i="55"/>
  <c r="AH6" i="55"/>
  <c r="BB6" i="55" s="1"/>
  <c r="AA33" i="55"/>
  <c r="T33" i="55"/>
  <c r="AF44" i="55"/>
  <c r="AT44" i="55" s="1"/>
  <c r="Y44" i="55"/>
  <c r="AM44" i="55" s="1"/>
  <c r="T15" i="55"/>
  <c r="AA15" i="55"/>
  <c r="W4" i="55"/>
  <c r="AD4" i="55"/>
  <c r="X39" i="55"/>
  <c r="AL39" i="55" s="1"/>
  <c r="BF39" i="55" s="1"/>
  <c r="AE39" i="55"/>
  <c r="AS39" i="55" s="1"/>
  <c r="BM39" i="55" s="1"/>
  <c r="Z7" i="55"/>
  <c r="AN7" i="55" s="1"/>
  <c r="AG7" i="55"/>
  <c r="AU7" i="55" s="1"/>
  <c r="AC21" i="55"/>
  <c r="AQ21" i="55" s="1"/>
  <c r="BK21" i="55" s="1"/>
  <c r="V21" i="55"/>
  <c r="AJ21" i="55" s="1"/>
  <c r="BD21" i="55" s="1"/>
  <c r="U33" i="55"/>
  <c r="AB33" i="55"/>
  <c r="Y14" i="55"/>
  <c r="AM14" i="55" s="1"/>
  <c r="BG14" i="55" s="1"/>
  <c r="AF14" i="55"/>
  <c r="AT14" i="55" s="1"/>
  <c r="BN14" i="55" s="1"/>
  <c r="Y4" i="55"/>
  <c r="AM4" i="55" s="1"/>
  <c r="BG4" i="55" s="1"/>
  <c r="AF4" i="55"/>
  <c r="AT4" i="55" s="1"/>
  <c r="BN4" i="55" s="1"/>
  <c r="Y39" i="55"/>
  <c r="AM39" i="55" s="1"/>
  <c r="BG39" i="55" s="1"/>
  <c r="AF39" i="55"/>
  <c r="AT39" i="55" s="1"/>
  <c r="BN39" i="55" s="1"/>
  <c r="AB7" i="55"/>
  <c r="U7" i="55"/>
  <c r="AF25" i="55"/>
  <c r="AT25" i="55" s="1"/>
  <c r="BN25" i="55" s="1"/>
  <c r="Y25" i="55"/>
  <c r="AM25" i="55" s="1"/>
  <c r="BG25" i="55" s="1"/>
  <c r="W35" i="55"/>
  <c r="AD35" i="55"/>
  <c r="T9" i="55"/>
  <c r="AA9" i="55"/>
  <c r="AO13" i="55"/>
  <c r="AY13" i="55"/>
  <c r="W30" i="55"/>
  <c r="AD30" i="55"/>
  <c r="AG27" i="55"/>
  <c r="AU27" i="55" s="1"/>
  <c r="BO27" i="55" s="1"/>
  <c r="Z27" i="55"/>
  <c r="AN27" i="55" s="1"/>
  <c r="BH27" i="55" s="1"/>
  <c r="X17" i="55"/>
  <c r="AL17" i="55" s="1"/>
  <c r="BF17" i="55" s="1"/>
  <c r="AE17" i="55"/>
  <c r="AS17" i="55" s="1"/>
  <c r="BM17" i="55" s="1"/>
  <c r="AA37" i="55"/>
  <c r="T37" i="55"/>
  <c r="AI11" i="55"/>
  <c r="BC11" i="55" s="1"/>
  <c r="AW11" i="55"/>
  <c r="Z44" i="55"/>
  <c r="AN44" i="55" s="1"/>
  <c r="AG44" i="55"/>
  <c r="AU44" i="55" s="1"/>
  <c r="AG14" i="55"/>
  <c r="AU14" i="55" s="1"/>
  <c r="BO14" i="55" s="1"/>
  <c r="Z14" i="55"/>
  <c r="AN14" i="55" s="1"/>
  <c r="BH14" i="55" s="1"/>
  <c r="AD45" i="55"/>
  <c r="W45" i="55"/>
  <c r="Z4" i="55"/>
  <c r="AN4" i="55" s="1"/>
  <c r="BH4" i="55" s="1"/>
  <c r="AG4" i="55"/>
  <c r="AU4" i="55" s="1"/>
  <c r="BO4" i="55" s="1"/>
  <c r="V48" i="55"/>
  <c r="AJ48" i="55" s="1"/>
  <c r="BD48" i="55" s="1"/>
  <c r="AC48" i="55"/>
  <c r="AQ48" i="55" s="1"/>
  <c r="BK48" i="55" s="1"/>
  <c r="T42" i="55"/>
  <c r="AA42" i="55"/>
  <c r="U9" i="55"/>
  <c r="AB9" i="55"/>
  <c r="AV13" i="55"/>
  <c r="AH13" i="55"/>
  <c r="AL52" i="55"/>
  <c r="AX52" i="55"/>
  <c r="AG20" i="55"/>
  <c r="AU20" i="55" s="1"/>
  <c r="Z20" i="55"/>
  <c r="AN20" i="55" s="1"/>
  <c r="AA27" i="55"/>
  <c r="T27" i="55"/>
  <c r="T17" i="55"/>
  <c r="AA17" i="55"/>
  <c r="AF33" i="55"/>
  <c r="AT33" i="55" s="1"/>
  <c r="BN33" i="55" s="1"/>
  <c r="Y33" i="55"/>
  <c r="AM33" i="55" s="1"/>
  <c r="BG33" i="55" s="1"/>
  <c r="AV50" i="55"/>
  <c r="AH50" i="55"/>
  <c r="BB50" i="55" s="1"/>
  <c r="X53" i="55"/>
  <c r="AL53" i="55" s="1"/>
  <c r="AE53" i="55"/>
  <c r="AS53" i="55" s="1"/>
  <c r="AD44" i="55"/>
  <c r="W44" i="55"/>
  <c r="BA19" i="55"/>
  <c r="AR19" i="55"/>
  <c r="T14" i="55"/>
  <c r="AA14" i="55"/>
  <c r="AC15" i="55"/>
  <c r="AQ15" i="55" s="1"/>
  <c r="BK15" i="55" s="1"/>
  <c r="V15" i="55"/>
  <c r="AJ15" i="55" s="1"/>
  <c r="BD15" i="55" s="1"/>
  <c r="AC4" i="55"/>
  <c r="AQ4" i="55" s="1"/>
  <c r="BK4" i="55" s="1"/>
  <c r="V4" i="55"/>
  <c r="AJ4" i="55" s="1"/>
  <c r="BD4" i="55" s="1"/>
  <c r="AA39" i="55"/>
  <c r="T39" i="55"/>
  <c r="W7" i="55"/>
  <c r="AD7" i="55"/>
  <c r="AI40" i="55"/>
  <c r="BC40" i="55" s="1"/>
  <c r="AW40" i="55"/>
  <c r="U42" i="55"/>
  <c r="AB42" i="55"/>
  <c r="AC9" i="55"/>
  <c r="AQ9" i="55" s="1"/>
  <c r="BK9" i="55" s="1"/>
  <c r="V9" i="55"/>
  <c r="AJ9" i="55" s="1"/>
  <c r="BD9" i="55" s="1"/>
  <c r="X32" i="55"/>
  <c r="AL32" i="55" s="1"/>
  <c r="BF32" i="55" s="1"/>
  <c r="AE32" i="55"/>
  <c r="AS32" i="55" s="1"/>
  <c r="BM32" i="55" s="1"/>
  <c r="AO11" i="55"/>
  <c r="BI11" i="55" s="1"/>
  <c r="AY11" i="55"/>
  <c r="T20" i="55"/>
  <c r="AA20" i="55"/>
  <c r="U43" i="55"/>
  <c r="AB43" i="55"/>
  <c r="AG29" i="55"/>
  <c r="AU29" i="55" s="1"/>
  <c r="BO29" i="55" s="1"/>
  <c r="Z29" i="55"/>
  <c r="AN29" i="55" s="1"/>
  <c r="BH29" i="55" s="1"/>
  <c r="Z10" i="55"/>
  <c r="AN10" i="55" s="1"/>
  <c r="BH10" i="55" s="1"/>
  <c r="AG10" i="55"/>
  <c r="AU10" i="55" s="1"/>
  <c r="BO10" i="55" s="1"/>
  <c r="AI23" i="55"/>
  <c r="BC23" i="55" s="1"/>
  <c r="AW23" i="55"/>
  <c r="T44" i="55"/>
  <c r="AA44" i="55"/>
  <c r="AX19" i="55"/>
  <c r="AK19" i="55"/>
  <c r="Z47" i="55"/>
  <c r="AN47" i="55" s="1"/>
  <c r="AG47" i="55"/>
  <c r="AU47" i="55" s="1"/>
  <c r="AD15" i="55"/>
  <c r="W15" i="55"/>
  <c r="T4" i="55"/>
  <c r="AA4" i="55"/>
  <c r="AA16" i="55"/>
  <c r="T16" i="55"/>
  <c r="AB25" i="55"/>
  <c r="U25" i="55"/>
  <c r="AC26" i="55"/>
  <c r="AQ26" i="55" s="1"/>
  <c r="BK26" i="55" s="1"/>
  <c r="V26" i="55"/>
  <c r="AJ26" i="55" s="1"/>
  <c r="BD26" i="55" s="1"/>
  <c r="AI50" i="55"/>
  <c r="BC50" i="55" s="1"/>
  <c r="AW50" i="55"/>
  <c r="AB30" i="55"/>
  <c r="U30" i="55"/>
  <c r="AE43" i="55"/>
  <c r="AS43" i="55" s="1"/>
  <c r="X43" i="55"/>
  <c r="AL43" i="55" s="1"/>
  <c r="U29" i="55"/>
  <c r="AB29" i="55"/>
  <c r="AX50" i="55"/>
  <c r="AK50" i="55"/>
  <c r="AV5" i="55"/>
  <c r="AH5" i="55"/>
  <c r="BB5" i="55" s="1"/>
  <c r="AG33" i="55"/>
  <c r="AU33" i="55" s="1"/>
  <c r="BO33" i="55" s="1"/>
  <c r="Z33" i="55"/>
  <c r="AN33" i="55" s="1"/>
  <c r="BH33" i="55" s="1"/>
  <c r="W8" i="55"/>
  <c r="AD8" i="55"/>
  <c r="AB10" i="55"/>
  <c r="U10" i="55"/>
  <c r="AP23" i="55"/>
  <c r="BJ23" i="55" s="1"/>
  <c r="AZ23" i="55"/>
  <c r="X44" i="55"/>
  <c r="AL44" i="55" s="1"/>
  <c r="AE44" i="55"/>
  <c r="AS44" i="55" s="1"/>
  <c r="AD18" i="55"/>
  <c r="W18" i="55"/>
  <c r="AZ54" i="55"/>
  <c r="AP54" i="55"/>
  <c r="BJ54" i="55" s="1"/>
  <c r="X15" i="55"/>
  <c r="AL15" i="55" s="1"/>
  <c r="BF15" i="55" s="1"/>
  <c r="AE15" i="55"/>
  <c r="AS15" i="55" s="1"/>
  <c r="BM15" i="55" s="1"/>
  <c r="AB4" i="55"/>
  <c r="U4" i="55"/>
  <c r="AK40" i="55"/>
  <c r="BE40" i="55" s="1"/>
  <c r="AX40" i="55"/>
  <c r="W16" i="55"/>
  <c r="AD16" i="55"/>
  <c r="AG22" i="55"/>
  <c r="AU22" i="55" s="1"/>
  <c r="BO22" i="55" s="1"/>
  <c r="Z22" i="55"/>
  <c r="AN22" i="55" s="1"/>
  <c r="BH22" i="55" s="1"/>
  <c r="AB36" i="55"/>
  <c r="U36" i="55"/>
  <c r="AC25" i="55"/>
  <c r="AQ25" i="55" s="1"/>
  <c r="BK25" i="55" s="1"/>
  <c r="V25" i="55"/>
  <c r="AJ25" i="55" s="1"/>
  <c r="BD25" i="55" s="1"/>
  <c r="AE21" i="55"/>
  <c r="AS21" i="55" s="1"/>
  <c r="X21" i="55"/>
  <c r="AL21" i="55" s="1"/>
  <c r="Y42" i="55"/>
  <c r="AM42" i="55" s="1"/>
  <c r="BG42" i="55" s="1"/>
  <c r="AF42" i="55"/>
  <c r="AT42" i="55" s="1"/>
  <c r="BN42" i="55" s="1"/>
  <c r="AO38" i="55"/>
  <c r="BI38" i="55" s="1"/>
  <c r="AY38" i="55"/>
  <c r="W26" i="55"/>
  <c r="AD26" i="55"/>
  <c r="AF9" i="55"/>
  <c r="AT9" i="55" s="1"/>
  <c r="Y9" i="55"/>
  <c r="AM9" i="55" s="1"/>
  <c r="AB12" i="55"/>
  <c r="U12" i="55"/>
  <c r="X31" i="55"/>
  <c r="AL31" i="55" s="1"/>
  <c r="BF31" i="55" s="1"/>
  <c r="AE31" i="55"/>
  <c r="AS31" i="55" s="1"/>
  <c r="BM31" i="55" s="1"/>
  <c r="AA30" i="55"/>
  <c r="T30" i="55"/>
  <c r="W20" i="55"/>
  <c r="AD20" i="55"/>
  <c r="U49" i="55"/>
  <c r="AB49" i="55"/>
  <c r="AF43" i="55"/>
  <c r="AT43" i="55" s="1"/>
  <c r="Y43" i="55"/>
  <c r="AM43" i="55" s="1"/>
  <c r="U17" i="55"/>
  <c r="AB17" i="55"/>
  <c r="W29" i="55"/>
  <c r="AD29" i="55"/>
  <c r="AR50" i="55"/>
  <c r="BA50" i="55"/>
  <c r="AY5" i="55"/>
  <c r="AO5" i="55"/>
  <c r="BI5" i="55" s="1"/>
  <c r="Y8" i="55"/>
  <c r="AM8" i="55" s="1"/>
  <c r="AF8" i="55"/>
  <c r="AT8" i="55" s="1"/>
  <c r="W10" i="55"/>
  <c r="AD10" i="55"/>
  <c r="AI51" i="55"/>
  <c r="BC51" i="55" s="1"/>
  <c r="AW51" i="55"/>
  <c r="AW38" i="55"/>
  <c r="AI38" i="55"/>
  <c r="BC38" i="55" s="1"/>
  <c r="Y45" i="55"/>
  <c r="AM45" i="55" s="1"/>
  <c r="AF45" i="55"/>
  <c r="AT45" i="55" s="1"/>
  <c r="V16" i="55"/>
  <c r="AJ16" i="55" s="1"/>
  <c r="BD16" i="55" s="1"/>
  <c r="AC16" i="55"/>
  <c r="AQ16" i="55" s="1"/>
  <c r="BK16" i="55" s="1"/>
  <c r="AG48" i="55"/>
  <c r="AU48" i="55" s="1"/>
  <c r="Z48" i="55"/>
  <c r="AN48" i="55" s="1"/>
  <c r="AB21" i="55"/>
  <c r="U21" i="55"/>
  <c r="AA26" i="55"/>
  <c r="T26" i="55"/>
  <c r="AD24" i="55"/>
  <c r="W24" i="55"/>
  <c r="AH54" i="55"/>
  <c r="BB54" i="55" s="1"/>
  <c r="AV54" i="55"/>
  <c r="V27" i="55"/>
  <c r="AJ27" i="55" s="1"/>
  <c r="BD27" i="55" s="1"/>
  <c r="AC27" i="55"/>
  <c r="AQ27" i="55" s="1"/>
  <c r="BK27" i="55" s="1"/>
  <c r="AR54" i="55"/>
  <c r="BA54" i="55"/>
  <c r="BA6" i="55"/>
  <c r="AR6" i="55"/>
  <c r="BL6" i="55" s="1"/>
  <c r="X8" i="55"/>
  <c r="AL8" i="55" s="1"/>
  <c r="AE8" i="55"/>
  <c r="AS8" i="55" s="1"/>
  <c r="AP38" i="55"/>
  <c r="BJ38" i="55" s="1"/>
  <c r="AZ38" i="55"/>
  <c r="X41" i="55"/>
  <c r="AL41" i="55" s="1"/>
  <c r="BF41" i="55" s="1"/>
  <c r="AE41" i="55"/>
  <c r="AS41" i="55" s="1"/>
  <c r="BM41" i="55" s="1"/>
  <c r="AD39" i="55"/>
  <c r="W39" i="55"/>
  <c r="AA48" i="55"/>
  <c r="T48" i="55"/>
  <c r="Y35" i="55"/>
  <c r="AM35" i="55" s="1"/>
  <c r="BG35" i="55" s="1"/>
  <c r="AF35" i="55"/>
  <c r="AT35" i="55" s="1"/>
  <c r="BN35" i="55" s="1"/>
  <c r="AF12" i="55"/>
  <c r="AT12" i="55" s="1"/>
  <c r="BN12" i="55" s="1"/>
  <c r="Y12" i="55"/>
  <c r="AM12" i="55" s="1"/>
  <c r="BG12" i="55" s="1"/>
  <c r="W31" i="55"/>
  <c r="AD31" i="55"/>
  <c r="Y49" i="55"/>
  <c r="AM49" i="55" s="1"/>
  <c r="AF49" i="55"/>
  <c r="AT49" i="55" s="1"/>
  <c r="W37" i="55"/>
  <c r="AD37" i="55"/>
  <c r="AR11" i="55"/>
  <c r="BL11" i="55" s="1"/>
  <c r="BA11" i="55"/>
  <c r="T47" i="55"/>
  <c r="AA47" i="55"/>
  <c r="AB45" i="55"/>
  <c r="U45" i="55"/>
  <c r="U16" i="55"/>
  <c r="AB16" i="55"/>
  <c r="W48" i="55"/>
  <c r="AD48" i="55"/>
  <c r="AA35" i="55"/>
  <c r="T35" i="55"/>
  <c r="U34" i="55"/>
  <c r="AB34" i="55"/>
  <c r="Y32" i="55"/>
  <c r="AM32" i="55" s="1"/>
  <c r="BG32" i="55" s="1"/>
  <c r="AF32" i="55"/>
  <c r="AT32" i="55" s="1"/>
  <c r="BN32" i="55" s="1"/>
  <c r="AA31" i="55"/>
  <c r="T31" i="55"/>
  <c r="X27" i="55"/>
  <c r="AL27" i="55" s="1"/>
  <c r="BF27" i="55" s="1"/>
  <c r="AE27" i="55"/>
  <c r="AS27" i="55" s="1"/>
  <c r="BM27" i="55" s="1"/>
  <c r="AB37" i="55"/>
  <c r="U37" i="55"/>
  <c r="AX11" i="55"/>
  <c r="AK11" i="55"/>
  <c r="BE11" i="55" s="1"/>
  <c r="AA8" i="55"/>
  <c r="T8" i="55"/>
  <c r="AA53" i="55"/>
  <c r="T53" i="55"/>
  <c r="U44" i="55"/>
  <c r="AB44" i="55"/>
  <c r="V47" i="55"/>
  <c r="AJ47" i="55" s="1"/>
  <c r="BD47" i="55" s="1"/>
  <c r="AC47" i="55"/>
  <c r="AQ47" i="55" s="1"/>
  <c r="BK47" i="55" s="1"/>
  <c r="AG15" i="55"/>
  <c r="AU15" i="55" s="1"/>
  <c r="BO15" i="55" s="1"/>
  <c r="Z15" i="55"/>
  <c r="AN15" i="55" s="1"/>
  <c r="BH15" i="55" s="1"/>
  <c r="AG45" i="55"/>
  <c r="AU45" i="55" s="1"/>
  <c r="Z45" i="55"/>
  <c r="AN45" i="55" s="1"/>
  <c r="W28" i="55"/>
  <c r="AD28" i="55"/>
  <c r="AC39" i="55"/>
  <c r="AQ39" i="55" s="1"/>
  <c r="BK39" i="55" s="1"/>
  <c r="V39" i="55"/>
  <c r="AJ39" i="55" s="1"/>
  <c r="BD39" i="55" s="1"/>
  <c r="AA7" i="55"/>
  <c r="T7" i="55"/>
  <c r="X48" i="55"/>
  <c r="AL48" i="55" s="1"/>
  <c r="AE48" i="55"/>
  <c r="AS48" i="55" s="1"/>
  <c r="AG21" i="55"/>
  <c r="AU21" i="55" s="1"/>
  <c r="Z21" i="55"/>
  <c r="AN21" i="55" s="1"/>
  <c r="AF34" i="55"/>
  <c r="AT34" i="55" s="1"/>
  <c r="BN34" i="55" s="1"/>
  <c r="Y34" i="55"/>
  <c r="AM34" i="55" s="1"/>
  <c r="BG34" i="55" s="1"/>
  <c r="T12" i="55"/>
  <c r="AA12" i="55"/>
  <c r="AC32" i="55"/>
  <c r="AQ32" i="55" s="1"/>
  <c r="BK32" i="55" s="1"/>
  <c r="V32" i="55"/>
  <c r="AJ32" i="55" s="1"/>
  <c r="BD32" i="55" s="1"/>
  <c r="AE24" i="55"/>
  <c r="AS24" i="55" s="1"/>
  <c r="BM24" i="55" s="1"/>
  <c r="X24" i="55"/>
  <c r="AL24" i="55" s="1"/>
  <c r="BF24" i="55" s="1"/>
  <c r="AF27" i="55"/>
  <c r="AT27" i="55" s="1"/>
  <c r="BN27" i="55" s="1"/>
  <c r="Y27" i="55"/>
  <c r="AM27" i="55" s="1"/>
  <c r="BG27" i="55" s="1"/>
  <c r="AD17" i="55"/>
  <c r="W17" i="55"/>
  <c r="AC37" i="55"/>
  <c r="AQ37" i="55" s="1"/>
  <c r="BK37" i="55" s="1"/>
  <c r="V37" i="55"/>
  <c r="AJ37" i="55" s="1"/>
  <c r="BD37" i="55" s="1"/>
  <c r="V33" i="55"/>
  <c r="AJ33" i="55" s="1"/>
  <c r="BD33" i="55" s="1"/>
  <c r="AC33" i="55"/>
  <c r="AQ33" i="55" s="1"/>
  <c r="BK33" i="55" s="1"/>
  <c r="AP11" i="55"/>
  <c r="BJ11" i="55" s="1"/>
  <c r="AZ11" i="55"/>
  <c r="AC53" i="55"/>
  <c r="AQ53" i="55" s="1"/>
  <c r="BK53" i="55" s="1"/>
  <c r="V53" i="55"/>
  <c r="AJ53" i="55" s="1"/>
  <c r="BD53" i="55" s="1"/>
  <c r="AP13" i="55"/>
  <c r="BJ13" i="55" s="1"/>
  <c r="AZ13" i="55"/>
  <c r="AC44" i="55"/>
  <c r="AQ44" i="55" s="1"/>
  <c r="BK44" i="55" s="1"/>
  <c r="V44" i="55"/>
  <c r="AJ44" i="55" s="1"/>
  <c r="BD44" i="55" s="1"/>
  <c r="AE18" i="55"/>
  <c r="AS18" i="55" s="1"/>
  <c r="BM18" i="55" s="1"/>
  <c r="X18" i="55"/>
  <c r="AL18" i="55" s="1"/>
  <c r="BF18" i="55" s="1"/>
  <c r="AE47" i="55"/>
  <c r="AS47" i="55" s="1"/>
  <c r="X47" i="55"/>
  <c r="AL47" i="55" s="1"/>
  <c r="T45" i="55"/>
  <c r="AA45" i="55"/>
  <c r="U28" i="55"/>
  <c r="AB28" i="55"/>
  <c r="AB22" i="55"/>
  <c r="U22" i="55"/>
  <c r="AF48" i="55"/>
  <c r="AT48" i="55" s="1"/>
  <c r="Y48" i="55"/>
  <c r="AM48" i="55" s="1"/>
  <c r="V42" i="55"/>
  <c r="AJ42" i="55" s="1"/>
  <c r="BD42" i="55" s="1"/>
  <c r="AC42" i="55"/>
  <c r="AQ42" i="55" s="1"/>
  <c r="BK42" i="55" s="1"/>
  <c r="AG34" i="55"/>
  <c r="AU34" i="55" s="1"/>
  <c r="BO34" i="55" s="1"/>
  <c r="Z34" i="55"/>
  <c r="AN34" i="55" s="1"/>
  <c r="BH34" i="55" s="1"/>
  <c r="W32" i="55"/>
  <c r="AD32" i="55"/>
  <c r="AS52" i="55"/>
  <c r="BA52" i="55"/>
  <c r="Y20" i="55"/>
  <c r="AM20" i="55" s="1"/>
  <c r="AF20" i="55"/>
  <c r="AT20" i="55" s="1"/>
  <c r="V43" i="55"/>
  <c r="AJ43" i="55" s="1"/>
  <c r="BD43" i="55" s="1"/>
  <c r="AC43" i="55"/>
  <c r="AQ43" i="55" s="1"/>
  <c r="BK43" i="55" s="1"/>
  <c r="X33" i="55"/>
  <c r="AL33" i="55" s="1"/>
  <c r="BF33" i="55" s="1"/>
  <c r="AE33" i="55"/>
  <c r="AS33" i="55" s="1"/>
  <c r="BM33" i="55" s="1"/>
  <c r="AA10" i="55"/>
  <c r="T10" i="55"/>
  <c r="AB53" i="55"/>
  <c r="U53" i="55"/>
  <c r="AX23" i="55"/>
  <c r="AK23" i="55"/>
  <c r="BE23" i="55" s="1"/>
  <c r="AF47" i="55"/>
  <c r="AT47" i="55" s="1"/>
  <c r="Y47" i="55"/>
  <c r="AM47" i="55" s="1"/>
  <c r="AB15" i="55"/>
  <c r="U15" i="55"/>
  <c r="AE28" i="55"/>
  <c r="AS28" i="55" s="1"/>
  <c r="BM28" i="55" s="1"/>
  <c r="X28" i="55"/>
  <c r="AL28" i="55" s="1"/>
  <c r="BF28" i="55" s="1"/>
  <c r="V7" i="55"/>
  <c r="AJ7" i="55" s="1"/>
  <c r="BD7" i="55" s="1"/>
  <c r="AC7" i="55"/>
  <c r="AQ7" i="55" s="1"/>
  <c r="BK7" i="55" s="1"/>
  <c r="AG25" i="55"/>
  <c r="AU25" i="55" s="1"/>
  <c r="BO25" i="55" s="1"/>
  <c r="Z25" i="55"/>
  <c r="AN25" i="55" s="1"/>
  <c r="BH25" i="55" s="1"/>
  <c r="Z35" i="55"/>
  <c r="AN35" i="55" s="1"/>
  <c r="BH35" i="55" s="1"/>
  <c r="AG35" i="55"/>
  <c r="AU35" i="55" s="1"/>
  <c r="BO35" i="55" s="1"/>
  <c r="AB32" i="55"/>
  <c r="U32" i="55"/>
  <c r="AF30" i="55"/>
  <c r="AT30" i="55" s="1"/>
  <c r="BN30" i="55" s="1"/>
  <c r="Y30" i="55"/>
  <c r="AM30" i="55" s="1"/>
  <c r="BG30" i="55" s="1"/>
  <c r="AD43" i="55"/>
  <c r="W43" i="55"/>
  <c r="T29" i="55"/>
  <c r="AA29" i="55"/>
  <c r="Y10" i="55"/>
  <c r="AM10" i="55" s="1"/>
  <c r="BG10" i="55" s="1"/>
  <c r="AF10" i="55"/>
  <c r="AT10" i="55" s="1"/>
  <c r="BN10" i="55" s="1"/>
  <c r="BA23" i="55"/>
  <c r="AR23" i="55"/>
  <c r="BL23" i="55" s="1"/>
  <c r="T18" i="55"/>
  <c r="AA18" i="55"/>
  <c r="W47" i="55"/>
  <c r="AD47" i="55"/>
  <c r="U41" i="55"/>
  <c r="AB41" i="55"/>
  <c r="AW6" i="55"/>
  <c r="AI6" i="55"/>
  <c r="BC6" i="55" s="1"/>
  <c r="AF28" i="55"/>
  <c r="AT28" i="55" s="1"/>
  <c r="BN28" i="55" s="1"/>
  <c r="Y28" i="55"/>
  <c r="AM28" i="55" s="1"/>
  <c r="BG28" i="55" s="1"/>
  <c r="T22" i="55"/>
  <c r="AA22" i="55"/>
  <c r="AA25" i="55"/>
  <c r="T25" i="55"/>
  <c r="X35" i="55"/>
  <c r="AL35" i="55" s="1"/>
  <c r="BF35" i="55" s="1"/>
  <c r="AE35" i="55"/>
  <c r="AS35" i="55" s="1"/>
  <c r="BM35" i="55" s="1"/>
  <c r="AW19" i="55"/>
  <c r="AI19" i="55"/>
  <c r="BC19" i="55" s="1"/>
  <c r="U26" i="55"/>
  <c r="AB26" i="55"/>
  <c r="AP50" i="55"/>
  <c r="BJ50" i="55" s="1"/>
  <c r="AZ50" i="55"/>
  <c r="AY52" i="55"/>
  <c r="AO52" i="55"/>
  <c r="BI52" i="55" s="1"/>
  <c r="Z30" i="55"/>
  <c r="AN30" i="55" s="1"/>
  <c r="BH30" i="55" s="1"/>
  <c r="AG30" i="55"/>
  <c r="AU30" i="55" s="1"/>
  <c r="BO30" i="55" s="1"/>
  <c r="U27" i="55"/>
  <c r="AB27" i="55"/>
  <c r="V17" i="55"/>
  <c r="AJ17" i="55" s="1"/>
  <c r="BD17" i="55" s="1"/>
  <c r="AC17" i="55"/>
  <c r="AQ17" i="55" s="1"/>
  <c r="BK17" i="55" s="1"/>
  <c r="W33" i="55"/>
  <c r="AD33" i="55"/>
  <c r="AY50" i="55"/>
  <c r="AO50" i="55"/>
  <c r="BI50" i="55" s="1"/>
  <c r="AX13" i="55"/>
  <c r="AK13" i="55"/>
  <c r="BE13" i="55" s="1"/>
  <c r="V18" i="55"/>
  <c r="AJ18" i="55" s="1"/>
  <c r="BD18" i="55" s="1"/>
  <c r="AC18" i="55"/>
  <c r="AQ18" i="55" s="1"/>
  <c r="BK18" i="55" s="1"/>
  <c r="Z41" i="55"/>
  <c r="AN41" i="55" s="1"/>
  <c r="BH41" i="55" s="1"/>
  <c r="AG41" i="55"/>
  <c r="AU41" i="55" s="1"/>
  <c r="BO41" i="55" s="1"/>
  <c r="AZ6" i="55"/>
  <c r="AP6" i="55"/>
  <c r="BJ6" i="55" s="1"/>
  <c r="AG28" i="55"/>
  <c r="AU28" i="55" s="1"/>
  <c r="BO28" i="55" s="1"/>
  <c r="Z28" i="55"/>
  <c r="AN28" i="55" s="1"/>
  <c r="BH28" i="55" s="1"/>
  <c r="AR40" i="55"/>
  <c r="BL40" i="55" s="1"/>
  <c r="BA40" i="55"/>
  <c r="AF22" i="55"/>
  <c r="AT22" i="55" s="1"/>
  <c r="BN22" i="55" s="1"/>
  <c r="Y22" i="55"/>
  <c r="AM22" i="55" s="1"/>
  <c r="BG22" i="55" s="1"/>
  <c r="AZ40" i="55"/>
  <c r="AP40" i="55"/>
  <c r="BJ40" i="55" s="1"/>
  <c r="AE42" i="55"/>
  <c r="AS42" i="55" s="1"/>
  <c r="BM42" i="55" s="1"/>
  <c r="X42" i="55"/>
  <c r="AL42" i="55" s="1"/>
  <c r="BF42" i="55" s="1"/>
  <c r="AZ19" i="55"/>
  <c r="AP19" i="55"/>
  <c r="BJ19" i="55" s="1"/>
  <c r="AE9" i="55"/>
  <c r="AS9" i="55" s="1"/>
  <c r="X9" i="55"/>
  <c r="AL9" i="55" s="1"/>
  <c r="AV52" i="55"/>
  <c r="AH52" i="55"/>
  <c r="BB52" i="55" s="1"/>
  <c r="AV11" i="55"/>
  <c r="AH11" i="55"/>
  <c r="BB11" i="55" s="1"/>
  <c r="V20" i="55"/>
  <c r="AJ20" i="55" s="1"/>
  <c r="BD20" i="55" s="1"/>
  <c r="AC20" i="55"/>
  <c r="AQ20" i="55" s="1"/>
  <c r="BK20" i="55" s="1"/>
  <c r="AR13" i="55"/>
  <c r="BL13" i="55" s="1"/>
  <c r="BA13" i="55"/>
  <c r="Y18" i="55"/>
  <c r="AM18" i="55" s="1"/>
  <c r="BG18" i="55" s="1"/>
  <c r="AF18" i="55"/>
  <c r="AT18" i="55" s="1"/>
  <c r="BN18" i="55" s="1"/>
  <c r="AW54" i="55"/>
  <c r="AI54" i="55"/>
  <c r="BC54" i="55" s="1"/>
  <c r="T41" i="55"/>
  <c r="AA41" i="55"/>
  <c r="AF15" i="55"/>
  <c r="AT15" i="55" s="1"/>
  <c r="BN15" i="55" s="1"/>
  <c r="Y15" i="55"/>
  <c r="AM15" i="55" s="1"/>
  <c r="BG15" i="55" s="1"/>
  <c r="BA38" i="55"/>
  <c r="AR38" i="55"/>
  <c r="BL38" i="55" s="1"/>
  <c r="X16" i="55"/>
  <c r="AL16" i="55" s="1"/>
  <c r="BF16" i="55" s="1"/>
  <c r="AE16" i="55"/>
  <c r="AS16" i="55" s="1"/>
  <c r="BM16" i="55" s="1"/>
  <c r="AE22" i="55"/>
  <c r="AS22" i="55" s="1"/>
  <c r="BM22" i="55" s="1"/>
  <c r="X22" i="55"/>
  <c r="AL22" i="55" s="1"/>
  <c r="BF22" i="55" s="1"/>
  <c r="W36" i="55"/>
  <c r="AD36" i="55"/>
  <c r="AE25" i="55"/>
  <c r="AS25" i="55" s="1"/>
  <c r="BM25" i="55" s="1"/>
  <c r="X25" i="55"/>
  <c r="AL25" i="55" s="1"/>
  <c r="BF25" i="55" s="1"/>
  <c r="AF21" i="55"/>
  <c r="AT21" i="55" s="1"/>
  <c r="Y21" i="55"/>
  <c r="AM21" i="55" s="1"/>
  <c r="W42" i="55"/>
  <c r="AD42" i="55"/>
  <c r="AH38" i="55"/>
  <c r="BB38" i="55" s="1"/>
  <c r="AV38" i="55"/>
  <c r="X26" i="55"/>
  <c r="AL26" i="55" s="1"/>
  <c r="BF26" i="55" s="1"/>
  <c r="AE26" i="55"/>
  <c r="AS26" i="55" s="1"/>
  <c r="BM26" i="55" s="1"/>
  <c r="AG9" i="55"/>
  <c r="AU9" i="55" s="1"/>
  <c r="Z9" i="55"/>
  <c r="AN9" i="55" s="1"/>
  <c r="AC12" i="55"/>
  <c r="AQ12" i="55" s="1"/>
  <c r="BK12" i="55" s="1"/>
  <c r="V12" i="55"/>
  <c r="AJ12" i="55" s="1"/>
  <c r="BD12" i="55" s="1"/>
  <c r="Y24" i="55"/>
  <c r="AM24" i="55" s="1"/>
  <c r="BG24" i="55" s="1"/>
  <c r="AF24" i="55"/>
  <c r="AT24" i="55" s="1"/>
  <c r="BN24" i="55" s="1"/>
  <c r="AF31" i="55"/>
  <c r="AT31" i="55" s="1"/>
  <c r="BN31" i="55" s="1"/>
  <c r="Y31" i="55"/>
  <c r="AM31" i="55" s="1"/>
  <c r="BG31" i="55" s="1"/>
  <c r="AC30" i="55"/>
  <c r="AQ30" i="55" s="1"/>
  <c r="BK30" i="55" s="1"/>
  <c r="V30" i="55"/>
  <c r="AJ30" i="55" s="1"/>
  <c r="BD30" i="55" s="1"/>
  <c r="X20" i="55"/>
  <c r="AL20" i="55" s="1"/>
  <c r="AE20" i="55"/>
  <c r="AS20" i="55" s="1"/>
  <c r="W49" i="55"/>
  <c r="AD49" i="55"/>
  <c r="AG43" i="55"/>
  <c r="AU43" i="55" s="1"/>
  <c r="Z43" i="55"/>
  <c r="AN43" i="55" s="1"/>
  <c r="AG17" i="55"/>
  <c r="AU17" i="55" s="1"/>
  <c r="BO17" i="55" s="1"/>
  <c r="Z17" i="55"/>
  <c r="AN17" i="55" s="1"/>
  <c r="BH17" i="55" s="1"/>
  <c r="AE29" i="55"/>
  <c r="AS29" i="55" s="1"/>
  <c r="BM29" i="55" s="1"/>
  <c r="X29" i="55"/>
  <c r="AL29" i="55" s="1"/>
  <c r="BF29" i="55" s="1"/>
  <c r="AY19" i="55"/>
  <c r="AO19" i="55"/>
  <c r="BI19" i="55" s="1"/>
  <c r="Z8" i="55"/>
  <c r="AN8" i="55" s="1"/>
  <c r="AG8" i="55"/>
  <c r="AU8" i="55" s="1"/>
  <c r="AC10" i="55"/>
  <c r="AQ10" i="55" s="1"/>
  <c r="BK10" i="55" s="1"/>
  <c r="V10" i="55"/>
  <c r="AJ10" i="55" s="1"/>
  <c r="BD10" i="55" s="1"/>
  <c r="AP51" i="55"/>
  <c r="BJ51" i="55" s="1"/>
  <c r="AZ51" i="55"/>
  <c r="AV23" i="55"/>
  <c r="AH23" i="55"/>
  <c r="Z39" i="55"/>
  <c r="AN39" i="55" s="1"/>
  <c r="BH39" i="55" s="1"/>
  <c r="AG39" i="55"/>
  <c r="AU39" i="55" s="1"/>
  <c r="BO39" i="55" s="1"/>
  <c r="U35" i="55"/>
  <c r="AB35" i="55"/>
  <c r="AA32" i="55"/>
  <c r="T32" i="55"/>
  <c r="Z53" i="55"/>
  <c r="AN53" i="55" s="1"/>
  <c r="AG53" i="55"/>
  <c r="AU53" i="55" s="1"/>
  <c r="W14" i="55"/>
  <c r="AD14" i="55"/>
  <c r="T28" i="55"/>
  <c r="AA28" i="55"/>
  <c r="T21" i="55"/>
  <c r="AA21" i="55"/>
  <c r="AG32" i="55"/>
  <c r="AU32" i="55" s="1"/>
  <c r="BO32" i="55" s="1"/>
  <c r="Z32" i="55"/>
  <c r="AN32" i="55" s="1"/>
  <c r="BH32" i="55" s="1"/>
  <c r="AO54" i="55"/>
  <c r="BI54" i="55" s="1"/>
  <c r="AY54" i="55"/>
  <c r="AD53" i="55"/>
  <c r="W53" i="55"/>
  <c r="V14" i="55"/>
  <c r="AJ14" i="55" s="1"/>
  <c r="BD14" i="55" s="1"/>
  <c r="AC14" i="55"/>
  <c r="AQ14" i="55" s="1"/>
  <c r="BK14" i="55" s="1"/>
  <c r="V28" i="55"/>
  <c r="AJ28" i="55" s="1"/>
  <c r="BD28" i="55" s="1"/>
  <c r="AC28" i="55"/>
  <c r="AQ28" i="55" s="1"/>
  <c r="BK28" i="55" s="1"/>
  <c r="AC36" i="55"/>
  <c r="AQ36" i="55" s="1"/>
  <c r="BK36" i="55" s="1"/>
  <c r="V36" i="55"/>
  <c r="AJ36" i="55" s="1"/>
  <c r="BD36" i="55" s="1"/>
  <c r="AD9" i="55"/>
  <c r="W9" i="55"/>
  <c r="V24" i="55"/>
  <c r="AJ24" i="55" s="1"/>
  <c r="BD24" i="55" s="1"/>
  <c r="AC24" i="55"/>
  <c r="AQ24" i="55" s="1"/>
  <c r="BK24" i="55" s="1"/>
  <c r="Z49" i="55"/>
  <c r="AN49" i="55" s="1"/>
  <c r="AG49" i="55"/>
  <c r="AU49" i="55" s="1"/>
  <c r="AY6" i="55"/>
  <c r="AO6" i="55"/>
  <c r="BI6" i="55" s="1"/>
  <c r="AW13" i="55"/>
  <c r="AI13" i="55"/>
  <c r="BC13" i="55" s="1"/>
  <c r="X14" i="55"/>
  <c r="AL14" i="55" s="1"/>
  <c r="BF14" i="55" s="1"/>
  <c r="AE14" i="55"/>
  <c r="AS14" i="55" s="1"/>
  <c r="BM14" i="55" s="1"/>
  <c r="X4" i="55"/>
  <c r="AL4" i="55" s="1"/>
  <c r="BF4" i="55" s="1"/>
  <c r="AE4" i="55"/>
  <c r="AS4" i="55" s="1"/>
  <c r="BM4" i="55" s="1"/>
  <c r="AC22" i="55"/>
  <c r="AQ22" i="55" s="1"/>
  <c r="BK22" i="55" s="1"/>
  <c r="V22" i="55"/>
  <c r="AJ22" i="55" s="1"/>
  <c r="BD22" i="55" s="1"/>
  <c r="V35" i="55"/>
  <c r="AJ35" i="55" s="1"/>
  <c r="BD35" i="55" s="1"/>
  <c r="AC35" i="55"/>
  <c r="AQ35" i="55" s="1"/>
  <c r="BK35" i="55" s="1"/>
  <c r="Z18" i="55"/>
  <c r="AN18" i="55" s="1"/>
  <c r="BH18" i="55" s="1"/>
  <c r="AG18" i="55"/>
  <c r="AU18" i="55" s="1"/>
  <c r="BO18" i="55" s="1"/>
  <c r="AR51" i="55"/>
  <c r="BA51" i="55"/>
  <c r="AC41" i="55"/>
  <c r="AQ41" i="55" s="1"/>
  <c r="BK41" i="55" s="1"/>
  <c r="V41" i="55"/>
  <c r="AJ41" i="55" s="1"/>
  <c r="BD41" i="55" s="1"/>
  <c r="V45" i="55"/>
  <c r="AJ45" i="55" s="1"/>
  <c r="BD45" i="55" s="1"/>
  <c r="AC45" i="55"/>
  <c r="AQ45" i="55" s="1"/>
  <c r="BK45" i="55" s="1"/>
  <c r="AK38" i="55"/>
  <c r="BE38" i="55" s="1"/>
  <c r="AX38" i="55"/>
  <c r="Y16" i="55"/>
  <c r="AM16" i="55" s="1"/>
  <c r="BG16" i="55" s="1"/>
  <c r="AF16" i="55"/>
  <c r="AT16" i="55" s="1"/>
  <c r="BN16" i="55" s="1"/>
  <c r="AD22" i="55"/>
  <c r="W22" i="55"/>
  <c r="X36" i="55"/>
  <c r="AL36" i="55" s="1"/>
  <c r="BF36" i="55" s="1"/>
  <c r="AE36" i="55"/>
  <c r="AS36" i="55" s="1"/>
  <c r="BM36" i="55" s="1"/>
  <c r="W25" i="55"/>
  <c r="AD25" i="55"/>
  <c r="AH40" i="55"/>
  <c r="AV40" i="55"/>
  <c r="W34" i="55"/>
  <c r="AD34" i="55"/>
  <c r="Y26" i="55"/>
  <c r="AM26" i="55" s="1"/>
  <c r="BG26" i="55" s="1"/>
  <c r="AF26" i="55"/>
  <c r="AT26" i="55" s="1"/>
  <c r="BN26" i="55" s="1"/>
  <c r="AV51" i="55"/>
  <c r="AH51" i="55"/>
  <c r="BB51" i="55" s="1"/>
  <c r="W12" i="55"/>
  <c r="AD12" i="55"/>
  <c r="AG24" i="55"/>
  <c r="AU24" i="55" s="1"/>
  <c r="BO24" i="55" s="1"/>
  <c r="Z24" i="55"/>
  <c r="AN24" i="55" s="1"/>
  <c r="BH24" i="55" s="1"/>
  <c r="AG31" i="55"/>
  <c r="AU31" i="55" s="1"/>
  <c r="BO31" i="55" s="1"/>
  <c r="Z31" i="55"/>
  <c r="AN31" i="55" s="1"/>
  <c r="BH31" i="55" s="1"/>
  <c r="AE30" i="55"/>
  <c r="AS30" i="55" s="1"/>
  <c r="BM30" i="55" s="1"/>
  <c r="X30" i="55"/>
  <c r="AL30" i="55" s="1"/>
  <c r="BF30" i="55" s="1"/>
  <c r="AB20" i="55"/>
  <c r="U20" i="55"/>
  <c r="T49" i="55"/>
  <c r="AA49" i="55"/>
  <c r="T43" i="55"/>
  <c r="AA43" i="55"/>
  <c r="AF17" i="55"/>
  <c r="AT17" i="55" s="1"/>
  <c r="BN17" i="55" s="1"/>
  <c r="Y17" i="55"/>
  <c r="AM17" i="55" s="1"/>
  <c r="BG17" i="55" s="1"/>
  <c r="AC29" i="55"/>
  <c r="AQ29" i="55" s="1"/>
  <c r="BK29" i="55" s="1"/>
  <c r="V29" i="55"/>
  <c r="AJ29" i="55" s="1"/>
  <c r="BD29" i="55" s="1"/>
  <c r="AE37" i="55"/>
  <c r="AS37" i="55" s="1"/>
  <c r="BM37" i="55" s="1"/>
  <c r="X37" i="55"/>
  <c r="AL37" i="55" s="1"/>
  <c r="BF37" i="55" s="1"/>
  <c r="AV19" i="55"/>
  <c r="AH19" i="55"/>
  <c r="BB19" i="55" s="1"/>
  <c r="AB8" i="55"/>
  <c r="U8" i="55"/>
  <c r="X10" i="55"/>
  <c r="AL10" i="55" s="1"/>
  <c r="BF10" i="55" s="1"/>
  <c r="AE10" i="55"/>
  <c r="AS10" i="55" s="1"/>
  <c r="BM10" i="55" s="1"/>
  <c r="U18" i="55"/>
  <c r="AB18" i="55"/>
  <c r="AX51" i="55"/>
  <c r="AK51" i="55"/>
  <c r="W41" i="55"/>
  <c r="AD41" i="55"/>
  <c r="X45" i="55"/>
  <c r="AL45" i="55" s="1"/>
  <c r="AE45" i="55"/>
  <c r="AS45" i="55" s="1"/>
  <c r="AB39" i="55"/>
  <c r="U39" i="55"/>
  <c r="Z16" i="55"/>
  <c r="AN16" i="55" s="1"/>
  <c r="BH16" i="55" s="1"/>
  <c r="AG16" i="55"/>
  <c r="AU16" i="55" s="1"/>
  <c r="BO16" i="55" s="1"/>
  <c r="AB48" i="55"/>
  <c r="U48" i="55"/>
  <c r="Y36" i="55"/>
  <c r="AM36" i="55" s="1"/>
  <c r="BG36" i="55" s="1"/>
  <c r="AF36" i="55"/>
  <c r="AT36" i="55" s="1"/>
  <c r="BN36" i="55" s="1"/>
  <c r="AY40" i="55"/>
  <c r="AO40" i="55"/>
  <c r="W21" i="55"/>
  <c r="AD21" i="55"/>
  <c r="AG42" i="55"/>
  <c r="AU42" i="55" s="1"/>
  <c r="BO42" i="55" s="1"/>
  <c r="Z42" i="55"/>
  <c r="AN42" i="55" s="1"/>
  <c r="BH42" i="55" s="1"/>
  <c r="X34" i="55"/>
  <c r="AL34" i="55" s="1"/>
  <c r="BF34" i="55" s="1"/>
  <c r="AE34" i="55"/>
  <c r="AS34" i="55" s="1"/>
  <c r="BM34" i="55" s="1"/>
  <c r="Z26" i="55"/>
  <c r="AN26" i="55" s="1"/>
  <c r="BH26" i="55" s="1"/>
  <c r="AG26" i="55"/>
  <c r="AU26" i="55" s="1"/>
  <c r="BO26" i="55" s="1"/>
  <c r="AO51" i="55"/>
  <c r="BI51" i="55" s="1"/>
  <c r="AY51" i="55"/>
  <c r="X12" i="55"/>
  <c r="AL12" i="55" s="1"/>
  <c r="BF12" i="55" s="1"/>
  <c r="AE12" i="55"/>
  <c r="AS12" i="55" s="1"/>
  <c r="BM12" i="55" s="1"/>
  <c r="T24" i="55"/>
  <c r="AA24" i="55"/>
  <c r="AB31" i="55"/>
  <c r="U31" i="55"/>
  <c r="V49" i="55"/>
  <c r="AJ49" i="55" s="1"/>
  <c r="BD49" i="55" s="1"/>
  <c r="AC49" i="55"/>
  <c r="AQ49" i="55" s="1"/>
  <c r="BK49" i="55" s="1"/>
  <c r="AK54" i="55"/>
  <c r="AX54" i="55"/>
  <c r="AX6" i="55"/>
  <c r="AK6" i="55"/>
  <c r="BE6" i="55" s="1"/>
  <c r="Y29" i="55"/>
  <c r="AM29" i="55" s="1"/>
  <c r="BG29" i="55" s="1"/>
  <c r="AF29" i="55"/>
  <c r="AT29" i="55" s="1"/>
  <c r="BN29" i="55" s="1"/>
  <c r="Y37" i="55"/>
  <c r="AM37" i="55" s="1"/>
  <c r="BG37" i="55" s="1"/>
  <c r="AF37" i="55"/>
  <c r="AT37" i="55" s="1"/>
  <c r="BN37" i="55" s="1"/>
  <c r="AW5" i="55"/>
  <c r="AI5" i="55"/>
  <c r="BC5" i="55" s="1"/>
  <c r="V8" i="55"/>
  <c r="AJ8" i="55" s="1"/>
  <c r="BD8" i="55" s="1"/>
  <c r="AC8" i="55"/>
  <c r="AQ8" i="55" s="1"/>
  <c r="BK8" i="55" s="1"/>
  <c r="AF53" i="55"/>
  <c r="AT53" i="55" s="1"/>
  <c r="Y53" i="55"/>
  <c r="AM53" i="55" s="1"/>
  <c r="K163" i="48"/>
  <c r="K165" i="48" s="1"/>
  <c r="O161" i="48"/>
  <c r="N161" i="48"/>
  <c r="M161" i="48"/>
  <c r="L161" i="48"/>
  <c r="K161" i="48"/>
  <c r="N160" i="48"/>
  <c r="M160" i="48"/>
  <c r="L160" i="48"/>
  <c r="K160" i="48"/>
  <c r="N159" i="48"/>
  <c r="W130" i="48" s="1"/>
  <c r="M159" i="48"/>
  <c r="V130" i="48" s="1"/>
  <c r="L159" i="48"/>
  <c r="L163" i="48" s="1"/>
  <c r="L165" i="48" s="1"/>
  <c r="K159" i="48"/>
  <c r="L158" i="48"/>
  <c r="K158" i="48"/>
  <c r="O154" i="48"/>
  <c r="O153" i="48"/>
  <c r="O160" i="48" s="1"/>
  <c r="O152" i="48"/>
  <c r="O159" i="48" s="1"/>
  <c r="O151" i="48"/>
  <c r="O158" i="48" s="1"/>
  <c r="O163" i="48" s="1"/>
  <c r="O165" i="48" s="1"/>
  <c r="N151" i="48"/>
  <c r="N158" i="48" s="1"/>
  <c r="N163" i="48" s="1"/>
  <c r="N165" i="48" s="1"/>
  <c r="M151" i="48"/>
  <c r="M158" i="48" s="1"/>
  <c r="M163" i="48" s="1"/>
  <c r="M165" i="48" s="1"/>
  <c r="L151" i="48"/>
  <c r="K151" i="48"/>
  <c r="R132" i="48"/>
  <c r="Q132" i="48"/>
  <c r="P132" i="48"/>
  <c r="O132" i="48"/>
  <c r="R131" i="48"/>
  <c r="T130" i="48" s="1"/>
  <c r="Q131" i="48"/>
  <c r="P131" i="48"/>
  <c r="O131" i="48"/>
  <c r="R130" i="48"/>
  <c r="Q130" i="48"/>
  <c r="P130" i="48"/>
  <c r="O130" i="48"/>
  <c r="X129" i="48" s="1"/>
  <c r="T94" i="48"/>
  <c r="S94" i="48"/>
  <c r="R94" i="48"/>
  <c r="Q94" i="48"/>
  <c r="P94" i="48"/>
  <c r="P34" i="48"/>
  <c r="O34" i="48"/>
  <c r="P33" i="48"/>
  <c r="O33" i="48"/>
  <c r="N33" i="48"/>
  <c r="N34" i="48" s="1"/>
  <c r="M33" i="48"/>
  <c r="M34" i="48" s="1"/>
  <c r="L33" i="48"/>
  <c r="L34" i="48" s="1"/>
  <c r="L4" i="48"/>
  <c r="M4" i="48" s="1"/>
  <c r="BA34" i="55" l="1"/>
  <c r="AR34" i="55"/>
  <c r="BL34" i="55" s="1"/>
  <c r="AV32" i="55"/>
  <c r="AH32" i="55"/>
  <c r="BB32" i="55" s="1"/>
  <c r="AP41" i="55"/>
  <c r="BJ41" i="55" s="1"/>
  <c r="AZ41" i="55"/>
  <c r="AK43" i="55"/>
  <c r="AX43" i="55"/>
  <c r="BA37" i="55"/>
  <c r="AR37" i="55"/>
  <c r="BL37" i="55" s="1"/>
  <c r="AX39" i="55"/>
  <c r="AK39" i="55"/>
  <c r="BE39" i="55" s="1"/>
  <c r="BA20" i="55"/>
  <c r="AR20" i="55"/>
  <c r="AR16" i="55"/>
  <c r="BL16" i="55" s="1"/>
  <c r="BA16" i="55"/>
  <c r="AI25" i="55"/>
  <c r="BC25" i="55" s="1"/>
  <c r="AW25" i="55"/>
  <c r="AO44" i="55"/>
  <c r="BI44" i="55" s="1"/>
  <c r="AY44" i="55"/>
  <c r="AH39" i="55"/>
  <c r="BB39" i="55" s="1"/>
  <c r="AV39" i="55"/>
  <c r="AK45" i="55"/>
  <c r="AX45" i="55"/>
  <c r="AW7" i="55"/>
  <c r="AI7" i="55"/>
  <c r="BC7" i="55" s="1"/>
  <c r="AX41" i="55"/>
  <c r="AK41" i="55"/>
  <c r="BE41" i="55" s="1"/>
  <c r="AK34" i="55"/>
  <c r="BE34" i="55" s="1"/>
  <c r="AX34" i="55"/>
  <c r="AY32" i="55"/>
  <c r="AO32" i="55"/>
  <c r="BI32" i="55" s="1"/>
  <c r="AW41" i="55"/>
  <c r="AI41" i="55"/>
  <c r="BC41" i="55" s="1"/>
  <c r="AO35" i="55"/>
  <c r="BI35" i="55" s="1"/>
  <c r="AY35" i="55"/>
  <c r="BA39" i="55"/>
  <c r="AR39" i="55"/>
  <c r="BL39" i="55" s="1"/>
  <c r="AK20" i="55"/>
  <c r="AX20" i="55"/>
  <c r="AX16" i="55"/>
  <c r="AK16" i="55"/>
  <c r="BE16" i="55" s="1"/>
  <c r="AP25" i="55"/>
  <c r="BJ25" i="55" s="1"/>
  <c r="AZ25" i="55"/>
  <c r="AH44" i="55"/>
  <c r="BB44" i="55" s="1"/>
  <c r="AV44" i="55"/>
  <c r="AY39" i="55"/>
  <c r="AO39" i="55"/>
  <c r="BI39" i="55" s="1"/>
  <c r="BA45" i="55"/>
  <c r="AR45" i="55"/>
  <c r="AZ7" i="55"/>
  <c r="AP7" i="55"/>
  <c r="BJ7" i="55" s="1"/>
  <c r="AX9" i="55"/>
  <c r="AK9" i="55"/>
  <c r="AP35" i="55"/>
  <c r="BJ35" i="55" s="1"/>
  <c r="AZ35" i="55"/>
  <c r="AZ27" i="55"/>
  <c r="AP27" i="55"/>
  <c r="BJ27" i="55" s="1"/>
  <c r="AI15" i="55"/>
  <c r="BC15" i="55" s="1"/>
  <c r="AW15" i="55"/>
  <c r="AK17" i="55"/>
  <c r="BE17" i="55" s="1"/>
  <c r="AX17" i="55"/>
  <c r="AW37" i="55"/>
  <c r="AI37" i="55"/>
  <c r="BC37" i="55" s="1"/>
  <c r="AP29" i="55"/>
  <c r="BJ29" i="55" s="1"/>
  <c r="AZ29" i="55"/>
  <c r="AV16" i="55"/>
  <c r="AH16" i="55"/>
  <c r="AR30" i="55"/>
  <c r="BL30" i="55" s="1"/>
  <c r="BA30" i="55"/>
  <c r="AY34" i="55"/>
  <c r="AO34" i="55"/>
  <c r="BI34" i="55" s="1"/>
  <c r="AR9" i="55"/>
  <c r="BA9" i="55"/>
  <c r="AI35" i="55"/>
  <c r="BC35" i="55" s="1"/>
  <c r="AW35" i="55"/>
  <c r="AP15" i="55"/>
  <c r="BJ15" i="55" s="1"/>
  <c r="AZ15" i="55"/>
  <c r="AR17" i="55"/>
  <c r="BL17" i="55" s="1"/>
  <c r="BA17" i="55"/>
  <c r="AK48" i="55"/>
  <c r="AX48" i="55"/>
  <c r="AO30" i="55"/>
  <c r="BI30" i="55" s="1"/>
  <c r="AY30" i="55"/>
  <c r="AI29" i="55"/>
  <c r="BC29" i="55" s="1"/>
  <c r="AW29" i="55"/>
  <c r="AY16" i="55"/>
  <c r="AO16" i="55"/>
  <c r="AK30" i="55"/>
  <c r="BE30" i="55" s="1"/>
  <c r="AX30" i="55"/>
  <c r="AV34" i="55"/>
  <c r="AH34" i="55"/>
  <c r="BB34" i="55" s="1"/>
  <c r="AW48" i="55"/>
  <c r="AI48" i="55"/>
  <c r="BC48" i="55" s="1"/>
  <c r="AZ18" i="55"/>
  <c r="AP18" i="55"/>
  <c r="BJ18" i="55" s="1"/>
  <c r="AR42" i="55"/>
  <c r="BL42" i="55" s="1"/>
  <c r="BA42" i="55"/>
  <c r="AH25" i="55"/>
  <c r="BB25" i="55" s="1"/>
  <c r="AV25" i="55"/>
  <c r="AY18" i="55"/>
  <c r="AO18" i="55"/>
  <c r="AI32" i="55"/>
  <c r="BC32" i="55" s="1"/>
  <c r="AW32" i="55"/>
  <c r="AW22" i="55"/>
  <c r="AI22" i="55"/>
  <c r="BC22" i="55" s="1"/>
  <c r="AZ16" i="55"/>
  <c r="AP16" i="55"/>
  <c r="BJ16" i="55" s="1"/>
  <c r="AR29" i="55"/>
  <c r="BL29" i="55" s="1"/>
  <c r="BA29" i="55"/>
  <c r="AW4" i="55"/>
  <c r="AI4" i="55"/>
  <c r="BC4" i="55" s="1"/>
  <c r="AI10" i="55"/>
  <c r="BC10" i="55" s="1"/>
  <c r="AW10" i="55"/>
  <c r="AY4" i="55"/>
  <c r="AO4" i="55"/>
  <c r="BI4" i="55" s="1"/>
  <c r="AP9" i="55"/>
  <c r="BJ9" i="55" s="1"/>
  <c r="AZ9" i="55"/>
  <c r="BA4" i="55"/>
  <c r="AR4" i="55"/>
  <c r="BL4" i="55" s="1"/>
  <c r="AP48" i="55"/>
  <c r="BJ48" i="55" s="1"/>
  <c r="AZ48" i="55"/>
  <c r="AW18" i="55"/>
  <c r="AI18" i="55"/>
  <c r="BC18" i="55" s="1"/>
  <c r="AX25" i="55"/>
  <c r="AK25" i="55"/>
  <c r="BE25" i="55" s="1"/>
  <c r="AH21" i="55"/>
  <c r="BB21" i="55" s="1"/>
  <c r="AV21" i="55"/>
  <c r="AX42" i="55"/>
  <c r="AK42" i="55"/>
  <c r="BE42" i="55" s="1"/>
  <c r="AZ32" i="55"/>
  <c r="AP32" i="55"/>
  <c r="BJ32" i="55" s="1"/>
  <c r="AZ22" i="55"/>
  <c r="AP22" i="55"/>
  <c r="BJ22" i="55" s="1"/>
  <c r="AW16" i="55"/>
  <c r="AI16" i="55"/>
  <c r="BC16" i="55" s="1"/>
  <c r="AX31" i="55"/>
  <c r="AK31" i="55"/>
  <c r="BE31" i="55" s="1"/>
  <c r="AR24" i="55"/>
  <c r="BL24" i="55" s="1"/>
  <c r="BA24" i="55"/>
  <c r="AZ4" i="55"/>
  <c r="AP4" i="55"/>
  <c r="BJ4" i="55" s="1"/>
  <c r="AI9" i="55"/>
  <c r="BC9" i="55" s="1"/>
  <c r="AW9" i="55"/>
  <c r="AX4" i="55"/>
  <c r="AK4" i="55"/>
  <c r="BE4" i="55" s="1"/>
  <c r="AY43" i="55"/>
  <c r="AO43" i="55"/>
  <c r="BI43" i="55" s="1"/>
  <c r="AY28" i="55"/>
  <c r="AO28" i="55"/>
  <c r="BI28" i="55" s="1"/>
  <c r="AZ28" i="55"/>
  <c r="AP28" i="55"/>
  <c r="BJ28" i="55" s="1"/>
  <c r="AV7" i="55"/>
  <c r="AH7" i="55"/>
  <c r="BB7" i="55" s="1"/>
  <c r="AV31" i="55"/>
  <c r="AH31" i="55"/>
  <c r="BB31" i="55" s="1"/>
  <c r="AW45" i="55"/>
  <c r="AI45" i="55"/>
  <c r="BC45" i="55" s="1"/>
  <c r="AV26" i="55"/>
  <c r="AH26" i="55"/>
  <c r="BB26" i="55" s="1"/>
  <c r="AZ17" i="55"/>
  <c r="AP17" i="55"/>
  <c r="BJ17" i="55" s="1"/>
  <c r="AW12" i="55"/>
  <c r="AI12" i="55"/>
  <c r="BC12" i="55" s="1"/>
  <c r="BA8" i="55"/>
  <c r="AR8" i="55"/>
  <c r="AI30" i="55"/>
  <c r="BC30" i="55" s="1"/>
  <c r="AW30" i="55"/>
  <c r="AK15" i="55"/>
  <c r="BE15" i="55" s="1"/>
  <c r="AX15" i="55"/>
  <c r="AP42" i="55"/>
  <c r="BJ42" i="55" s="1"/>
  <c r="AZ42" i="55"/>
  <c r="AY14" i="55"/>
  <c r="AO14" i="55"/>
  <c r="AY17" i="55"/>
  <c r="AO17" i="55"/>
  <c r="AY42" i="55"/>
  <c r="AO42" i="55"/>
  <c r="AY9" i="55"/>
  <c r="AO9" i="55"/>
  <c r="BI9" i="55" s="1"/>
  <c r="AO15" i="55"/>
  <c r="AY15" i="55"/>
  <c r="AV43" i="55"/>
  <c r="AH43" i="55"/>
  <c r="BB43" i="55" s="1"/>
  <c r="AX12" i="55"/>
  <c r="AK12" i="55"/>
  <c r="BE12" i="55" s="1"/>
  <c r="AH28" i="55"/>
  <c r="BB28" i="55" s="1"/>
  <c r="AV28" i="55"/>
  <c r="AV22" i="55"/>
  <c r="AH22" i="55"/>
  <c r="AI28" i="55"/>
  <c r="BC28" i="55" s="1"/>
  <c r="AW28" i="55"/>
  <c r="AY7" i="55"/>
  <c r="AO7" i="55"/>
  <c r="BI7" i="55" s="1"/>
  <c r="AI44" i="55"/>
  <c r="BC44" i="55" s="1"/>
  <c r="AW44" i="55"/>
  <c r="AO31" i="55"/>
  <c r="BI31" i="55" s="1"/>
  <c r="AY31" i="55"/>
  <c r="AZ45" i="55"/>
  <c r="AP45" i="55"/>
  <c r="BJ45" i="55" s="1"/>
  <c r="AO26" i="55"/>
  <c r="BI26" i="55" s="1"/>
  <c r="AY26" i="55"/>
  <c r="AW17" i="55"/>
  <c r="AI17" i="55"/>
  <c r="BC17" i="55" s="1"/>
  <c r="AZ12" i="55"/>
  <c r="AP12" i="55"/>
  <c r="BJ12" i="55" s="1"/>
  <c r="AK8" i="55"/>
  <c r="AX8" i="55"/>
  <c r="AP30" i="55"/>
  <c r="BJ30" i="55" s="1"/>
  <c r="AZ30" i="55"/>
  <c r="AR15" i="55"/>
  <c r="BL15" i="55" s="1"/>
  <c r="BA15" i="55"/>
  <c r="AW42" i="55"/>
  <c r="AI42" i="55"/>
  <c r="BC42" i="55" s="1"/>
  <c r="AH14" i="55"/>
  <c r="AV14" i="55"/>
  <c r="AV17" i="55"/>
  <c r="AH17" i="55"/>
  <c r="AV42" i="55"/>
  <c r="AH42" i="55"/>
  <c r="AH9" i="55"/>
  <c r="BB9" i="55" s="1"/>
  <c r="AV9" i="55"/>
  <c r="AV15" i="55"/>
  <c r="AH15" i="55"/>
  <c r="AI31" i="55"/>
  <c r="BC31" i="55" s="1"/>
  <c r="AW31" i="55"/>
  <c r="AI39" i="55"/>
  <c r="BC39" i="55" s="1"/>
  <c r="AW39" i="55"/>
  <c r="AW8" i="55"/>
  <c r="AI8" i="55"/>
  <c r="BC8" i="55" s="1"/>
  <c r="AO49" i="55"/>
  <c r="BI49" i="55" s="1"/>
  <c r="AY49" i="55"/>
  <c r="AK22" i="55"/>
  <c r="BE22" i="55" s="1"/>
  <c r="AX22" i="55"/>
  <c r="BA14" i="55"/>
  <c r="AR14" i="55"/>
  <c r="BL14" i="55" s="1"/>
  <c r="AW53" i="55"/>
  <c r="AI53" i="55"/>
  <c r="BC53" i="55" s="1"/>
  <c r="BA32" i="55"/>
  <c r="AR32" i="55"/>
  <c r="BL32" i="55" s="1"/>
  <c r="AY45" i="55"/>
  <c r="AO45" i="55"/>
  <c r="BI45" i="55" s="1"/>
  <c r="AH53" i="55"/>
  <c r="BB53" i="55" s="1"/>
  <c r="AV53" i="55"/>
  <c r="AO47" i="55"/>
  <c r="BI47" i="55" s="1"/>
  <c r="AY47" i="55"/>
  <c r="AI21" i="55"/>
  <c r="BC21" i="55" s="1"/>
  <c r="AW21" i="55"/>
  <c r="BA10" i="55"/>
  <c r="AR10" i="55"/>
  <c r="BL10" i="55" s="1"/>
  <c r="AW36" i="55"/>
  <c r="AI36" i="55"/>
  <c r="BC36" i="55" s="1"/>
  <c r="AZ43" i="55"/>
  <c r="AP43" i="55"/>
  <c r="BJ43" i="55" s="1"/>
  <c r="AH27" i="55"/>
  <c r="BB27" i="55" s="1"/>
  <c r="AV27" i="55"/>
  <c r="AH37" i="55"/>
  <c r="BB37" i="55" s="1"/>
  <c r="AV37" i="55"/>
  <c r="BA35" i="55"/>
  <c r="AR35" i="55"/>
  <c r="BL35" i="55" s="1"/>
  <c r="AZ33" i="55"/>
  <c r="AP33" i="55"/>
  <c r="BJ33" i="55" s="1"/>
  <c r="AZ31" i="55"/>
  <c r="AP31" i="55"/>
  <c r="BJ31" i="55" s="1"/>
  <c r="AZ39" i="55"/>
  <c r="AP39" i="55"/>
  <c r="BJ39" i="55" s="1"/>
  <c r="AP8" i="55"/>
  <c r="BJ8" i="55" s="1"/>
  <c r="AZ8" i="55"/>
  <c r="AH49" i="55"/>
  <c r="BB49" i="55" s="1"/>
  <c r="AV49" i="55"/>
  <c r="BA22" i="55"/>
  <c r="AR22" i="55"/>
  <c r="BL22" i="55" s="1"/>
  <c r="AX14" i="55"/>
  <c r="AK14" i="55"/>
  <c r="BE14" i="55" s="1"/>
  <c r="AH41" i="55"/>
  <c r="AV41" i="55"/>
  <c r="AZ53" i="55"/>
  <c r="AP53" i="55"/>
  <c r="BJ53" i="55" s="1"/>
  <c r="AK32" i="55"/>
  <c r="BE32" i="55" s="1"/>
  <c r="AX32" i="55"/>
  <c r="AV45" i="55"/>
  <c r="AH45" i="55"/>
  <c r="BB45" i="55" s="1"/>
  <c r="AO53" i="55"/>
  <c r="BI53" i="55" s="1"/>
  <c r="AY53" i="55"/>
  <c r="AH47" i="55"/>
  <c r="BB47" i="55" s="1"/>
  <c r="AV47" i="55"/>
  <c r="AP21" i="55"/>
  <c r="BJ21" i="55" s="1"/>
  <c r="AZ21" i="55"/>
  <c r="AK10" i="55"/>
  <c r="BE10" i="55" s="1"/>
  <c r="AX10" i="55"/>
  <c r="AP36" i="55"/>
  <c r="BJ36" i="55" s="1"/>
  <c r="AZ36" i="55"/>
  <c r="AI43" i="55"/>
  <c r="BC43" i="55" s="1"/>
  <c r="AW43" i="55"/>
  <c r="AY27" i="55"/>
  <c r="AO27" i="55"/>
  <c r="BI27" i="55" s="1"/>
  <c r="AO37" i="55"/>
  <c r="BI37" i="55" s="1"/>
  <c r="AY37" i="55"/>
  <c r="AK35" i="55"/>
  <c r="BE35" i="55" s="1"/>
  <c r="AX35" i="55"/>
  <c r="AI33" i="55"/>
  <c r="BC33" i="55" s="1"/>
  <c r="AW33" i="55"/>
  <c r="AO36" i="55"/>
  <c r="BI36" i="55" s="1"/>
  <c r="AY36" i="55"/>
  <c r="AV35" i="55"/>
  <c r="AH35" i="55"/>
  <c r="BB35" i="55" s="1"/>
  <c r="AK37" i="55"/>
  <c r="BE37" i="55" s="1"/>
  <c r="AX37" i="55"/>
  <c r="AR48" i="55"/>
  <c r="BA48" i="55"/>
  <c r="AV30" i="55"/>
  <c r="AH30" i="55"/>
  <c r="BB30" i="55" s="1"/>
  <c r="AI47" i="55"/>
  <c r="BC47" i="55" s="1"/>
  <c r="AW47" i="55"/>
  <c r="AK47" i="55"/>
  <c r="AX47" i="55"/>
  <c r="AX27" i="55"/>
  <c r="AK27" i="55"/>
  <c r="BE27" i="55" s="1"/>
  <c r="AR25" i="55"/>
  <c r="BL25" i="55" s="1"/>
  <c r="BA25" i="55"/>
  <c r="AR31" i="55"/>
  <c r="BL31" i="55" s="1"/>
  <c r="BA31" i="55"/>
  <c r="AP24" i="55"/>
  <c r="BJ24" i="55" s="1"/>
  <c r="AZ24" i="55"/>
  <c r="AO25" i="55"/>
  <c r="BI25" i="55" s="1"/>
  <c r="AY25" i="55"/>
  <c r="AZ10" i="55"/>
  <c r="AP10" i="55"/>
  <c r="BJ10" i="55" s="1"/>
  <c r="AI24" i="55"/>
  <c r="BC24" i="55" s="1"/>
  <c r="AW24" i="55"/>
  <c r="AO41" i="55"/>
  <c r="AY41" i="55"/>
  <c r="AV36" i="55"/>
  <c r="AH36" i="55"/>
  <c r="BB36" i="55" s="1"/>
  <c r="AO24" i="55"/>
  <c r="AY24" i="55"/>
  <c r="AR21" i="55"/>
  <c r="BA21" i="55"/>
  <c r="AI20" i="55"/>
  <c r="BC20" i="55" s="1"/>
  <c r="AW20" i="55"/>
  <c r="AX53" i="55"/>
  <c r="AK53" i="55"/>
  <c r="BA49" i="55"/>
  <c r="AR49" i="55"/>
  <c r="AR36" i="55"/>
  <c r="BL36" i="55" s="1"/>
  <c r="BA36" i="55"/>
  <c r="BA33" i="55"/>
  <c r="AR33" i="55"/>
  <c r="BL33" i="55" s="1"/>
  <c r="AZ26" i="55"/>
  <c r="AP26" i="55"/>
  <c r="BJ26" i="55" s="1"/>
  <c r="AY29" i="55"/>
  <c r="AO29" i="55"/>
  <c r="BI29" i="55" s="1"/>
  <c r="AV10" i="55"/>
  <c r="AH10" i="55"/>
  <c r="BB10" i="55" s="1"/>
  <c r="AY12" i="55"/>
  <c r="AO12" i="55"/>
  <c r="BI12" i="55" s="1"/>
  <c r="BA28" i="55"/>
  <c r="AR28" i="55"/>
  <c r="BL28" i="55" s="1"/>
  <c r="AH8" i="55"/>
  <c r="BB8" i="55" s="1"/>
  <c r="AV8" i="55"/>
  <c r="AZ34" i="55"/>
  <c r="AP34" i="55"/>
  <c r="BJ34" i="55" s="1"/>
  <c r="AV48" i="55"/>
  <c r="AH48" i="55"/>
  <c r="BB48" i="55" s="1"/>
  <c r="AP49" i="55"/>
  <c r="BJ49" i="55" s="1"/>
  <c r="AZ49" i="55"/>
  <c r="BA26" i="55"/>
  <c r="AR26" i="55"/>
  <c r="BL26" i="55" s="1"/>
  <c r="AX18" i="55"/>
  <c r="AK18" i="55"/>
  <c r="BE18" i="55" s="1"/>
  <c r="AY20" i="55"/>
  <c r="AO20" i="55"/>
  <c r="BI20" i="55" s="1"/>
  <c r="AR7" i="55"/>
  <c r="BA7" i="55"/>
  <c r="AK44" i="55"/>
  <c r="AX44" i="55"/>
  <c r="AV33" i="55"/>
  <c r="AH33" i="55"/>
  <c r="BB33" i="55" s="1"/>
  <c r="AZ14" i="55"/>
  <c r="AP14" i="55"/>
  <c r="BJ14" i="55" s="1"/>
  <c r="BA41" i="55"/>
  <c r="AR41" i="55"/>
  <c r="BL41" i="55" s="1"/>
  <c r="BA43" i="55"/>
  <c r="AR43" i="55"/>
  <c r="BA47" i="55"/>
  <c r="AR47" i="55"/>
  <c r="BA27" i="55"/>
  <c r="AR27" i="55"/>
  <c r="BL27" i="55" s="1"/>
  <c r="AI27" i="55"/>
  <c r="BC27" i="55" s="1"/>
  <c r="AW27" i="55"/>
  <c r="AZ37" i="55"/>
  <c r="AP37" i="55"/>
  <c r="BJ37" i="55" s="1"/>
  <c r="AZ47" i="55"/>
  <c r="AP47" i="55"/>
  <c r="BJ47" i="55" s="1"/>
  <c r="AO21" i="55"/>
  <c r="BI21" i="55" s="1"/>
  <c r="AY21" i="55"/>
  <c r="AX24" i="55"/>
  <c r="AK24" i="55"/>
  <c r="BE24" i="55" s="1"/>
  <c r="AV18" i="55"/>
  <c r="AH18" i="55"/>
  <c r="AK29" i="55"/>
  <c r="BE29" i="55" s="1"/>
  <c r="AX29" i="55"/>
  <c r="AV4" i="55"/>
  <c r="AH4" i="55"/>
  <c r="BB4" i="55" s="1"/>
  <c r="AR12" i="55"/>
  <c r="BL12" i="55" s="1"/>
  <c r="BA12" i="55"/>
  <c r="AO22" i="55"/>
  <c r="AY22" i="55"/>
  <c r="AP44" i="55"/>
  <c r="BJ44" i="55" s="1"/>
  <c r="AZ44" i="55"/>
  <c r="AV24" i="55"/>
  <c r="AH24" i="55"/>
  <c r="AK21" i="55"/>
  <c r="AX21" i="55"/>
  <c r="AZ20" i="55"/>
  <c r="AP20" i="55"/>
  <c r="BJ20" i="55" s="1"/>
  <c r="BA53" i="55"/>
  <c r="AR53" i="55"/>
  <c r="AK49" i="55"/>
  <c r="AX49" i="55"/>
  <c r="AX36" i="55"/>
  <c r="AK36" i="55"/>
  <c r="BE36" i="55" s="1"/>
  <c r="AK33" i="55"/>
  <c r="BE33" i="55" s="1"/>
  <c r="AX33" i="55"/>
  <c r="AI26" i="55"/>
  <c r="BC26" i="55" s="1"/>
  <c r="AW26" i="55"/>
  <c r="AV29" i="55"/>
  <c r="AH29" i="55"/>
  <c r="BB29" i="55" s="1"/>
  <c r="AO10" i="55"/>
  <c r="BI10" i="55" s="1"/>
  <c r="AY10" i="55"/>
  <c r="AV12" i="55"/>
  <c r="AH12" i="55"/>
  <c r="BB12" i="55" s="1"/>
  <c r="AX28" i="55"/>
  <c r="AK28" i="55"/>
  <c r="BE28" i="55" s="1"/>
  <c r="AY8" i="55"/>
  <c r="AO8" i="55"/>
  <c r="BI8" i="55" s="1"/>
  <c r="AI34" i="55"/>
  <c r="BC34" i="55" s="1"/>
  <c r="AW34" i="55"/>
  <c r="AY48" i="55"/>
  <c r="AO48" i="55"/>
  <c r="BI48" i="55" s="1"/>
  <c r="AW49" i="55"/>
  <c r="AI49" i="55"/>
  <c r="BC49" i="55" s="1"/>
  <c r="AX26" i="55"/>
  <c r="AK26" i="55"/>
  <c r="BE26" i="55" s="1"/>
  <c r="BA18" i="55"/>
  <c r="AR18" i="55"/>
  <c r="BL18" i="55" s="1"/>
  <c r="AV20" i="55"/>
  <c r="AH20" i="55"/>
  <c r="BB20" i="55" s="1"/>
  <c r="AK7" i="55"/>
  <c r="AX7" i="55"/>
  <c r="AR44" i="55"/>
  <c r="BA44" i="55"/>
  <c r="AY33" i="55"/>
  <c r="AO33" i="55"/>
  <c r="BI33" i="55" s="1"/>
  <c r="AW14" i="55"/>
  <c r="AI14" i="55"/>
  <c r="BC14" i="55" s="1"/>
  <c r="U130" i="48"/>
  <c r="X130" i="48"/>
  <c r="X131" i="48"/>
  <c r="U131" i="48"/>
  <c r="V131" i="48"/>
  <c r="W131" i="48"/>
  <c r="T129" i="48"/>
  <c r="T131" i="48"/>
  <c r="U129" i="48"/>
  <c r="V129" i="48"/>
  <c r="W129" i="48"/>
  <c r="C10" i="2"/>
  <c r="D44" i="28"/>
  <c r="D43" i="28"/>
  <c r="D42" i="28"/>
  <c r="F44" i="28"/>
  <c r="F43" i="28"/>
  <c r="F42" i="28"/>
  <c r="AB3" i="45" l="1"/>
  <c r="A16" i="47"/>
  <c r="C16" i="47"/>
  <c r="A17" i="47"/>
  <c r="A18" i="47"/>
  <c r="C18" i="47"/>
  <c r="C15" i="47"/>
  <c r="A15" i="47"/>
  <c r="C14" i="47"/>
  <c r="A14" i="47"/>
  <c r="C13" i="47"/>
  <c r="A13" i="47"/>
  <c r="C12" i="47"/>
  <c r="A12" i="47"/>
  <c r="C11" i="47"/>
  <c r="A11" i="47"/>
  <c r="C10" i="47"/>
  <c r="A10" i="47"/>
  <c r="C9" i="47"/>
  <c r="A9" i="47"/>
  <c r="C8" i="47"/>
  <c r="A8" i="47"/>
  <c r="C7" i="47"/>
  <c r="A7" i="47"/>
  <c r="C6" i="47"/>
  <c r="A6" i="47"/>
  <c r="C5" i="47"/>
  <c r="A5" i="47"/>
  <c r="C4" i="47"/>
  <c r="A4" i="47"/>
  <c r="C3" i="47"/>
  <c r="A3" i="47"/>
  <c r="C2" i="47"/>
  <c r="A2" i="47"/>
  <c r="J19" i="45" l="1"/>
  <c r="K19" i="45"/>
  <c r="I19" i="45"/>
  <c r="J14" i="12" l="1"/>
  <c r="J15" i="12"/>
  <c r="J16" i="12"/>
  <c r="D82" i="28"/>
  <c r="R59" i="2"/>
  <c r="R58" i="2"/>
  <c r="R57" i="2"/>
  <c r="R56" i="2"/>
  <c r="R55" i="2"/>
  <c r="R54" i="2"/>
  <c r="R53" i="2"/>
  <c r="R52" i="2"/>
  <c r="R51" i="2"/>
  <c r="R50" i="2"/>
  <c r="R49" i="2"/>
  <c r="R48" i="2"/>
  <c r="R47" i="2"/>
  <c r="R46" i="2"/>
  <c r="R45" i="2"/>
  <c r="R44" i="2"/>
  <c r="R43" i="2"/>
  <c r="R42" i="2"/>
  <c r="R41" i="2"/>
  <c r="R40" i="2"/>
  <c r="R39" i="2"/>
  <c r="R38" i="2"/>
  <c r="R37" i="2"/>
  <c r="R36" i="2"/>
  <c r="R35" i="2"/>
  <c r="R34" i="2"/>
  <c r="R33" i="2"/>
  <c r="R32" i="2"/>
  <c r="R31" i="2"/>
  <c r="R30" i="2"/>
  <c r="Q59" i="2"/>
  <c r="Q58" i="2"/>
  <c r="Q57" i="2"/>
  <c r="Q56" i="2"/>
  <c r="Q55" i="2"/>
  <c r="Q54" i="2"/>
  <c r="Q53" i="2"/>
  <c r="Q52" i="2"/>
  <c r="Q51" i="2"/>
  <c r="Q50" i="2"/>
  <c r="Q49" i="2"/>
  <c r="Q48" i="2"/>
  <c r="Q47" i="2"/>
  <c r="Q46" i="2"/>
  <c r="Q45" i="2"/>
  <c r="Q44" i="2"/>
  <c r="Q43" i="2"/>
  <c r="Q42" i="2"/>
  <c r="Q41" i="2"/>
  <c r="Q40" i="2"/>
  <c r="Q39" i="2"/>
  <c r="Q38" i="2"/>
  <c r="Q37" i="2"/>
  <c r="Q36" i="2"/>
  <c r="Q35" i="2"/>
  <c r="Q34" i="2"/>
  <c r="Q33" i="2"/>
  <c r="Q32" i="2"/>
  <c r="Q31" i="2"/>
  <c r="Q30" i="2"/>
  <c r="E59" i="2"/>
  <c r="D59" i="2"/>
  <c r="E58" i="2"/>
  <c r="D58" i="2"/>
  <c r="E57" i="2"/>
  <c r="D57" i="2"/>
  <c r="E56" i="2"/>
  <c r="D56" i="2"/>
  <c r="E55" i="2"/>
  <c r="D55" i="2"/>
  <c r="E54" i="2"/>
  <c r="D54" i="2"/>
  <c r="E53" i="2"/>
  <c r="D53" i="2"/>
  <c r="E52" i="2"/>
  <c r="D52" i="2"/>
  <c r="E51" i="2"/>
  <c r="D51" i="2"/>
  <c r="E50" i="2"/>
  <c r="D50" i="2"/>
  <c r="E49" i="2"/>
  <c r="D49" i="2"/>
  <c r="E48" i="2"/>
  <c r="D48" i="2"/>
  <c r="E47" i="2"/>
  <c r="D47" i="2"/>
  <c r="E46" i="2"/>
  <c r="D46" i="2"/>
  <c r="E45" i="2"/>
  <c r="D45" i="2"/>
  <c r="E44" i="2"/>
  <c r="D44" i="2"/>
  <c r="E43" i="2"/>
  <c r="D43" i="2"/>
  <c r="E42" i="2"/>
  <c r="D42" i="2"/>
  <c r="E41" i="2"/>
  <c r="D41" i="2"/>
  <c r="E40" i="2"/>
  <c r="D40" i="2"/>
  <c r="E39" i="2"/>
  <c r="D39" i="2"/>
  <c r="E38" i="2"/>
  <c r="D38" i="2"/>
  <c r="E37" i="2"/>
  <c r="D37" i="2"/>
  <c r="E36" i="2"/>
  <c r="D36" i="2"/>
  <c r="E35" i="2"/>
  <c r="D35" i="2"/>
  <c r="E34" i="2"/>
  <c r="D34" i="2"/>
  <c r="E33" i="2"/>
  <c r="D33" i="2"/>
  <c r="E32" i="2"/>
  <c r="D32" i="2"/>
  <c r="E31" i="2"/>
  <c r="D31" i="2"/>
  <c r="E30" i="2"/>
  <c r="D30" i="2"/>
  <c r="E24" i="2"/>
  <c r="K6" i="29"/>
  <c r="N83" i="12"/>
  <c r="P83" i="12" s="1"/>
  <c r="N82" i="12"/>
  <c r="P82" i="12" s="1"/>
  <c r="P76" i="12"/>
  <c r="O76" i="12"/>
  <c r="N76" i="12"/>
  <c r="N84" i="12" s="1"/>
  <c r="P84" i="12" s="1"/>
  <c r="P77" i="12"/>
  <c r="O77" i="12"/>
  <c r="N77" i="12"/>
  <c r="L48" i="29" l="1"/>
  <c r="H48" i="29"/>
  <c r="G48" i="29"/>
  <c r="H50" i="29"/>
  <c r="G50" i="29"/>
  <c r="L50" i="29"/>
  <c r="L49" i="29"/>
  <c r="H49" i="29"/>
  <c r="G49" i="29"/>
  <c r="J4" i="2"/>
  <c r="F6" i="29"/>
  <c r="F22" i="29"/>
  <c r="F21" i="29"/>
  <c r="F20" i="29"/>
  <c r="AC5" i="45"/>
  <c r="AC4" i="45"/>
  <c r="AC3" i="45"/>
  <c r="AA5" i="45"/>
  <c r="AA4" i="45"/>
  <c r="AA3" i="45"/>
  <c r="T5" i="45"/>
  <c r="T4" i="45"/>
  <c r="T3" i="45"/>
  <c r="Z5" i="45"/>
  <c r="Z4" i="45"/>
  <c r="Z3" i="45"/>
  <c r="X5" i="45"/>
  <c r="X4" i="45"/>
  <c r="X3" i="45"/>
  <c r="S5" i="45"/>
  <c r="S4" i="45"/>
  <c r="S3" i="45"/>
  <c r="F82" i="28"/>
  <c r="D73" i="28"/>
  <c r="F32" i="28"/>
  <c r="E32" i="28"/>
  <c r="D32" i="28"/>
  <c r="K14" i="45"/>
  <c r="Y3" i="45" s="1"/>
  <c r="J14" i="45"/>
  <c r="Y4" i="45" s="1"/>
  <c r="I14" i="45"/>
  <c r="Y5" i="45" s="1"/>
  <c r="K18" i="45"/>
  <c r="J18" i="45"/>
  <c r="I18" i="45"/>
  <c r="AB5" i="45"/>
  <c r="AB4" i="45"/>
  <c r="AN6" i="45"/>
  <c r="AN5" i="45"/>
  <c r="AN4" i="45"/>
  <c r="AN3" i="45"/>
  <c r="K5" i="45"/>
  <c r="AF3" i="45" s="1"/>
  <c r="E15" i="28" s="1"/>
  <c r="I5" i="45"/>
  <c r="AF5" i="45" s="1"/>
  <c r="E17" i="28" s="1"/>
  <c r="K4" i="45"/>
  <c r="I4" i="45"/>
  <c r="K6" i="45"/>
  <c r="AG3" i="45" s="1"/>
  <c r="F15" i="28" s="1"/>
  <c r="I6" i="45"/>
  <c r="AG5" i="45" s="1"/>
  <c r="F17" i="28" s="1"/>
  <c r="K3" i="45"/>
  <c r="I3" i="45"/>
  <c r="J3" i="45" s="1"/>
  <c r="AE5" i="45" l="1"/>
  <c r="D17" i="28" s="1"/>
  <c r="AE3" i="45"/>
  <c r="D15" i="28" s="1"/>
  <c r="J5" i="45"/>
  <c r="AF4" i="45" s="1"/>
  <c r="E16" i="28" s="1"/>
  <c r="J4" i="45"/>
  <c r="AE4" i="45" s="1"/>
  <c r="D16" i="28" s="1"/>
  <c r="J6" i="45"/>
  <c r="AG4" i="45" s="1"/>
  <c r="F16" i="28" s="1"/>
  <c r="F1" i="28" l="1"/>
  <c r="E1" i="28"/>
  <c r="D1" i="28"/>
  <c r="AJ65" i="29"/>
  <c r="AJ62" i="29"/>
  <c r="AJ59" i="29"/>
  <c r="AJ56" i="29"/>
  <c r="AJ53" i="29"/>
  <c r="AJ50" i="29"/>
  <c r="AJ47" i="29"/>
  <c r="AJ44" i="29"/>
  <c r="AJ41" i="29"/>
  <c r="AJ38" i="29"/>
  <c r="AJ35" i="29"/>
  <c r="AJ32" i="29"/>
  <c r="AJ29" i="29"/>
  <c r="AJ26" i="29"/>
  <c r="AJ23" i="29"/>
  <c r="AG31" i="29"/>
  <c r="AG30" i="29"/>
  <c r="AG28" i="29"/>
  <c r="AG27" i="29"/>
  <c r="AI65" i="29"/>
  <c r="AI62" i="29"/>
  <c r="AI59" i="29"/>
  <c r="AI56" i="29"/>
  <c r="AI53" i="29"/>
  <c r="AI50" i="29"/>
  <c r="AI47" i="29"/>
  <c r="AI44" i="29"/>
  <c r="AI41" i="29"/>
  <c r="AI38" i="29"/>
  <c r="AI35" i="29"/>
  <c r="AI32" i="29"/>
  <c r="AI29" i="29"/>
  <c r="AI26" i="29"/>
  <c r="AI23" i="29"/>
  <c r="AH65" i="29"/>
  <c r="AH62" i="29"/>
  <c r="AH59" i="29"/>
  <c r="AH56" i="29"/>
  <c r="AH53" i="29"/>
  <c r="AH50" i="29"/>
  <c r="AH47" i="29"/>
  <c r="AH44" i="29"/>
  <c r="AH41" i="29"/>
  <c r="AH38" i="29"/>
  <c r="AH35" i="29"/>
  <c r="AH32" i="29"/>
  <c r="AH29" i="29"/>
  <c r="AH26" i="29"/>
  <c r="AH23" i="29"/>
  <c r="AG67" i="29"/>
  <c r="AG66" i="29"/>
  <c r="AG65" i="29"/>
  <c r="AG64" i="29"/>
  <c r="AG63" i="29"/>
  <c r="AG62" i="29"/>
  <c r="AG61" i="29"/>
  <c r="AG60" i="29"/>
  <c r="AG59" i="29"/>
  <c r="AG58" i="29"/>
  <c r="AG57" i="29"/>
  <c r="AG56" i="29"/>
  <c r="AG55" i="29"/>
  <c r="AG54" i="29"/>
  <c r="AG53" i="29"/>
  <c r="AG52" i="29"/>
  <c r="AG51" i="29"/>
  <c r="AG50" i="29"/>
  <c r="AG49" i="29"/>
  <c r="AG48" i="29"/>
  <c r="AG47" i="29"/>
  <c r="AG46" i="29"/>
  <c r="AG45" i="29"/>
  <c r="AG44" i="29"/>
  <c r="AG43" i="29"/>
  <c r="AG42" i="29"/>
  <c r="AG40" i="29"/>
  <c r="AG39" i="29"/>
  <c r="AG37" i="29"/>
  <c r="AG36" i="29"/>
  <c r="AG34" i="29"/>
  <c r="AG33" i="29"/>
  <c r="AG41" i="29"/>
  <c r="AG38" i="29"/>
  <c r="AG35" i="29"/>
  <c r="AG32" i="29"/>
  <c r="AG29" i="29"/>
  <c r="AG26" i="29"/>
  <c r="AG23" i="29"/>
  <c r="AD67" i="29"/>
  <c r="AE67" i="29" s="1"/>
  <c r="AD66" i="29"/>
  <c r="AE66" i="29" s="1"/>
  <c r="AD65" i="29"/>
  <c r="AE65" i="29" s="1"/>
  <c r="AD58" i="29"/>
  <c r="AE58" i="29" s="1"/>
  <c r="AD57" i="29"/>
  <c r="AE57" i="29" s="1"/>
  <c r="AD56" i="29"/>
  <c r="AE56" i="29" s="1"/>
  <c r="AD52" i="29"/>
  <c r="AE52" i="29" s="1"/>
  <c r="AD51" i="29"/>
  <c r="AE51" i="29" s="1"/>
  <c r="AD50" i="29"/>
  <c r="AE50" i="29" s="1"/>
  <c r="AD25" i="29"/>
  <c r="AE25" i="29" s="1"/>
  <c r="AD24" i="29"/>
  <c r="AE24" i="29" s="1"/>
  <c r="AD23" i="29"/>
  <c r="AD43" i="29"/>
  <c r="AE43" i="29" s="1"/>
  <c r="AD42" i="29"/>
  <c r="AE42" i="29" s="1"/>
  <c r="AD41" i="29"/>
  <c r="AD40" i="29"/>
  <c r="AE40" i="29" s="1"/>
  <c r="AD39" i="29"/>
  <c r="AE39" i="29" s="1"/>
  <c r="AD38" i="29"/>
  <c r="AB65" i="29"/>
  <c r="AB62" i="29"/>
  <c r="AB56" i="29"/>
  <c r="O6" i="29"/>
  <c r="AB59" i="29" s="1"/>
  <c r="M6" i="29"/>
  <c r="AB53" i="29" s="1"/>
  <c r="AB50" i="29"/>
  <c r="AB47" i="29" l="1"/>
  <c r="L6" i="29"/>
  <c r="AB44" i="29" s="1"/>
  <c r="J6" i="29"/>
  <c r="AB41" i="29" s="1"/>
  <c r="I6" i="29"/>
  <c r="AB38" i="29" s="1"/>
  <c r="H6" i="29"/>
  <c r="AB35" i="29" s="1"/>
  <c r="G6" i="29"/>
  <c r="AB32" i="29" s="1"/>
  <c r="E6" i="29"/>
  <c r="AB29" i="29" s="1"/>
  <c r="D6" i="29"/>
  <c r="AB26" i="29" s="1"/>
  <c r="AB23" i="29"/>
  <c r="V3" i="45"/>
  <c r="H20" i="29" s="1"/>
  <c r="AD35" i="29" s="1"/>
  <c r="V4" i="45"/>
  <c r="H21" i="29" s="1"/>
  <c r="AD36" i="29" s="1"/>
  <c r="V5" i="45"/>
  <c r="H22" i="29" s="1"/>
  <c r="AD37" i="29" s="1"/>
  <c r="R3" i="45"/>
  <c r="D20" i="29" s="1"/>
  <c r="AD26" i="29" s="1"/>
  <c r="R4" i="45"/>
  <c r="D21" i="29" s="1"/>
  <c r="AD27" i="29" s="1"/>
  <c r="R5" i="45"/>
  <c r="D22" i="29" s="1"/>
  <c r="AD28" i="29" s="1"/>
  <c r="L20" i="29"/>
  <c r="AD44" i="29" s="1"/>
  <c r="AE44" i="29" s="1"/>
  <c r="L21" i="29"/>
  <c r="AD45" i="29" s="1"/>
  <c r="AE45" i="29" s="1"/>
  <c r="L22" i="29"/>
  <c r="AD46" i="29" s="1"/>
  <c r="AE46" i="29" s="1"/>
  <c r="P22" i="29"/>
  <c r="AD64" i="29" s="1"/>
  <c r="AE64" i="29" s="1"/>
  <c r="O22" i="29"/>
  <c r="AD61" i="29" s="1"/>
  <c r="AE61" i="29" s="1"/>
  <c r="W5" i="45"/>
  <c r="M22" i="29"/>
  <c r="AD55" i="29" s="1"/>
  <c r="AE55" i="29" s="1"/>
  <c r="U5" i="45"/>
  <c r="G22" i="29" s="1"/>
  <c r="AD34" i="29" s="1"/>
  <c r="AE34" i="29" s="1"/>
  <c r="E22" i="29"/>
  <c r="AD31" i="29" s="1"/>
  <c r="AE31" i="29" s="1"/>
  <c r="P21" i="29"/>
  <c r="AD63" i="29" s="1"/>
  <c r="AE63" i="29" s="1"/>
  <c r="O21" i="29"/>
  <c r="AD60" i="29" s="1"/>
  <c r="AE60" i="29" s="1"/>
  <c r="W4" i="45"/>
  <c r="M21" i="29"/>
  <c r="AD54" i="29" s="1"/>
  <c r="AE54" i="29" s="1"/>
  <c r="U4" i="45"/>
  <c r="G21" i="29" s="1"/>
  <c r="AD33" i="29" s="1"/>
  <c r="AE33" i="29" s="1"/>
  <c r="E21" i="29"/>
  <c r="AD30" i="29" s="1"/>
  <c r="AE30" i="29" s="1"/>
  <c r="P20" i="29"/>
  <c r="AD62" i="29" s="1"/>
  <c r="AE62" i="29" s="1"/>
  <c r="O20" i="29"/>
  <c r="AD59" i="29" s="1"/>
  <c r="AE59" i="29" s="1"/>
  <c r="W3" i="45"/>
  <c r="M20" i="29"/>
  <c r="AD53" i="29" s="1"/>
  <c r="AE53" i="29" s="1"/>
  <c r="AD47" i="29"/>
  <c r="AE47" i="29" s="1"/>
  <c r="U3" i="45"/>
  <c r="G20" i="29" s="1"/>
  <c r="AD32" i="29" s="1"/>
  <c r="E20" i="29"/>
  <c r="AD29" i="29" s="1"/>
  <c r="AE41" i="29" l="1"/>
  <c r="AE29" i="29"/>
  <c r="AE28" i="29"/>
  <c r="AE27" i="29"/>
  <c r="AE26" i="29"/>
  <c r="AE38" i="29"/>
  <c r="AE35" i="29"/>
  <c r="AE32" i="29"/>
  <c r="AE23" i="29"/>
  <c r="H154" i="12"/>
  <c r="L154" i="12" s="1"/>
  <c r="H152" i="12"/>
  <c r="L152" i="12" s="1"/>
  <c r="H153" i="12"/>
  <c r="L153" i="12" s="1"/>
  <c r="K153" i="12"/>
  <c r="K154" i="12"/>
  <c r="K152" i="12"/>
  <c r="F143" i="12"/>
  <c r="F142" i="12"/>
  <c r="F145" i="12"/>
  <c r="F144" i="12"/>
  <c r="F147" i="12"/>
  <c r="F146" i="12"/>
  <c r="D128" i="12"/>
  <c r="E128" i="12" s="1"/>
  <c r="D119" i="12"/>
  <c r="E119" i="12"/>
  <c r="M152" i="12" l="1"/>
  <c r="M154" i="12"/>
  <c r="M153" i="12"/>
  <c r="G142" i="12"/>
  <c r="G144" i="12"/>
  <c r="G146" i="12"/>
  <c r="G119" i="12"/>
  <c r="F112" i="12" l="1"/>
  <c r="E112" i="12"/>
  <c r="D112" i="12"/>
  <c r="F113" i="12"/>
  <c r="E113" i="12"/>
  <c r="D113" i="12"/>
  <c r="F114" i="12"/>
  <c r="E114" i="12"/>
  <c r="D114" i="12"/>
  <c r="H100" i="12"/>
  <c r="H104" i="12" s="1"/>
  <c r="F46" i="12"/>
  <c r="E46" i="12"/>
  <c r="D46" i="12"/>
  <c r="C46" i="12"/>
  <c r="F45" i="12"/>
  <c r="E45" i="12"/>
  <c r="D45" i="12"/>
  <c r="C45" i="12"/>
  <c r="F42" i="12"/>
  <c r="E42" i="12"/>
  <c r="D42" i="12"/>
  <c r="C42" i="12"/>
  <c r="F41" i="12"/>
  <c r="E41" i="12"/>
  <c r="D41" i="12"/>
  <c r="C41" i="12"/>
  <c r="F38" i="12"/>
  <c r="E38" i="12"/>
  <c r="D38" i="12"/>
  <c r="C38" i="12"/>
  <c r="F37" i="12"/>
  <c r="E37" i="12"/>
  <c r="D37" i="12"/>
  <c r="G114" i="12" l="1"/>
  <c r="G112" i="12"/>
  <c r="I38" i="12"/>
  <c r="C31" i="12" s="1"/>
  <c r="G31" i="12" s="1"/>
  <c r="H46" i="12"/>
  <c r="E27" i="12" s="1"/>
  <c r="I27" i="12" s="1"/>
  <c r="I41" i="12"/>
  <c r="D22" i="12" s="1"/>
  <c r="H22" i="12" s="1"/>
  <c r="G37" i="12"/>
  <c r="C17" i="12" s="1"/>
  <c r="G17" i="12" s="1"/>
  <c r="G113" i="12"/>
  <c r="I46" i="12"/>
  <c r="E25" i="12" s="1"/>
  <c r="I25" i="12" s="1"/>
  <c r="I45" i="12"/>
  <c r="E22" i="12" s="1"/>
  <c r="I22" i="12" s="1"/>
  <c r="H37" i="12"/>
  <c r="H45" i="12"/>
  <c r="E21" i="12" s="1"/>
  <c r="I21" i="12" s="1"/>
  <c r="I37" i="12"/>
  <c r="C22" i="12" s="1"/>
  <c r="G22" i="12" s="1"/>
  <c r="G38" i="12"/>
  <c r="C26" i="12" s="1"/>
  <c r="G26" i="12" s="1"/>
  <c r="I42" i="12"/>
  <c r="D25" i="12" s="1"/>
  <c r="H25" i="12" s="1"/>
  <c r="H38" i="12"/>
  <c r="C30" i="12" s="1"/>
  <c r="G30" i="12" s="1"/>
  <c r="G42" i="12"/>
  <c r="D23" i="12" s="1"/>
  <c r="H23" i="12" s="1"/>
  <c r="G46" i="12"/>
  <c r="G45" i="12"/>
  <c r="G41" i="12"/>
  <c r="H42" i="12"/>
  <c r="H41" i="12"/>
  <c r="C20" i="12" l="1"/>
  <c r="G20" i="12" s="1"/>
  <c r="E18" i="12"/>
  <c r="I18" i="12" s="1"/>
  <c r="E19" i="12"/>
  <c r="I19" i="12" s="1"/>
  <c r="C28" i="12"/>
  <c r="G28" i="12" s="1"/>
  <c r="C24" i="12"/>
  <c r="D28" i="12"/>
  <c r="H28" i="12" s="1"/>
  <c r="C27" i="12"/>
  <c r="G27" i="12" s="1"/>
  <c r="C25" i="12"/>
  <c r="E30" i="12"/>
  <c r="I30" i="12" s="1"/>
  <c r="D26" i="12"/>
  <c r="H26" i="12" s="1"/>
  <c r="E24" i="12"/>
  <c r="I24" i="12" s="1"/>
  <c r="D29" i="12"/>
  <c r="H29" i="12" s="1"/>
  <c r="E28" i="12"/>
  <c r="I28" i="12" s="1"/>
  <c r="C29" i="12"/>
  <c r="G29" i="12" s="1"/>
  <c r="E31" i="12"/>
  <c r="I31" i="12" s="1"/>
  <c r="C19" i="12"/>
  <c r="G19" i="12" s="1"/>
  <c r="C23" i="12"/>
  <c r="D31" i="12"/>
  <c r="H31" i="12" s="1"/>
  <c r="C21" i="12"/>
  <c r="G21" i="12" s="1"/>
  <c r="C18" i="12"/>
  <c r="G18" i="12" s="1"/>
  <c r="D19" i="12"/>
  <c r="H19" i="12" s="1"/>
  <c r="E17" i="12"/>
  <c r="I17" i="12" s="1"/>
  <c r="E20" i="12"/>
  <c r="I20" i="12" s="1"/>
  <c r="D18" i="12"/>
  <c r="H18" i="12" s="1"/>
  <c r="D21" i="12"/>
  <c r="H21" i="12" s="1"/>
  <c r="E23" i="12"/>
  <c r="I23" i="12" s="1"/>
  <c r="E29" i="12"/>
  <c r="I29" i="12" s="1"/>
  <c r="E26" i="12"/>
  <c r="I26" i="12" s="1"/>
  <c r="D27" i="12"/>
  <c r="H27" i="12" s="1"/>
  <c r="D30" i="12"/>
  <c r="H30" i="12" s="1"/>
  <c r="D24" i="12"/>
  <c r="H24" i="12" s="1"/>
  <c r="D20" i="12"/>
  <c r="H20" i="12" s="1"/>
  <c r="D17" i="12"/>
  <c r="H17" i="12" s="1"/>
</calcChain>
</file>

<file path=xl/sharedStrings.xml><?xml version="1.0" encoding="utf-8"?>
<sst xmlns="http://schemas.openxmlformats.org/spreadsheetml/2006/main" count="6464" uniqueCount="1490">
  <si>
    <t>Table of Contents</t>
  </si>
  <si>
    <t>Tab Name</t>
  </si>
  <si>
    <t>Description</t>
  </si>
  <si>
    <t>P-Chem</t>
  </si>
  <si>
    <t>Values for physical chemical properites used in consumer modeling</t>
  </si>
  <si>
    <t>Crosswalk of products in EPA Use Report to COUs and consumer scenarios.</t>
  </si>
  <si>
    <t>Calculation of weight fractions for high, medium, and low level exposure scenarios for products</t>
  </si>
  <si>
    <t>Dermal Calcs</t>
  </si>
  <si>
    <t>Inputs, calculations, and results for dermal route of consumer scenarios (products and articles)</t>
  </si>
  <si>
    <t>Article Inputs</t>
  </si>
  <si>
    <t>Calculations and sources for mouthing duration, area of article mouthed, chemical migration rate, material density, surface area of articles</t>
  </si>
  <si>
    <t>Compiled Products</t>
  </si>
  <si>
    <t>Inputs for product consumer scenarios compiled in one tab.</t>
  </si>
  <si>
    <t>Compiled Articles</t>
  </si>
  <si>
    <t>Inputs for article consumer scenarios compiled in one tab.</t>
  </si>
  <si>
    <t>Flooring</t>
  </si>
  <si>
    <t>Shower Curtains</t>
  </si>
  <si>
    <t>Synthetic Leather Furniture</t>
  </si>
  <si>
    <t>Wallpaper</t>
  </si>
  <si>
    <t>Wire Insulation</t>
  </si>
  <si>
    <t>Floor coverings</t>
  </si>
  <si>
    <t>Toys, playground, and sporting equipment</t>
  </si>
  <si>
    <t>Fabric, textile, and leather products not covered elsewhere</t>
  </si>
  <si>
    <r>
      <t>Fabric, textile, and leather products not covered elsewhere (</t>
    </r>
    <r>
      <rPr>
        <i/>
        <sz val="12"/>
        <color theme="1"/>
        <rFont val="Times New Roman"/>
        <family val="1"/>
      </rPr>
      <t xml:space="preserve">e.g., </t>
    </r>
    <r>
      <rPr>
        <sz val="12"/>
        <color theme="1"/>
        <rFont val="Times New Roman"/>
        <family val="1"/>
      </rPr>
      <t>Textile (fabric) dyes)</t>
    </r>
  </si>
  <si>
    <t>Plastic and rubber products not covered elsewhere</t>
  </si>
  <si>
    <t>Other</t>
  </si>
  <si>
    <t>Physical and Chemical Properties for DINP Used in Consumer Modeling</t>
  </si>
  <si>
    <t>Common Materials</t>
  </si>
  <si>
    <t>Dp (m2/hr)</t>
  </si>
  <si>
    <t>Kma</t>
  </si>
  <si>
    <t>Chemical Migration Partial Calculation</t>
  </si>
  <si>
    <t>DINP CAS 68515-48-0</t>
  </si>
  <si>
    <t>Carpet</t>
  </si>
  <si>
    <t>Property or Endpoint</t>
  </si>
  <si>
    <t>Mean</t>
  </si>
  <si>
    <t>Selected Value</t>
  </si>
  <si>
    <t>Unit</t>
  </si>
  <si>
    <t>Vinyl Flooring</t>
  </si>
  <si>
    <t>Molecular weight</t>
  </si>
  <si>
    <t>g/mol</t>
  </si>
  <si>
    <t>PVC</t>
  </si>
  <si>
    <t>Vapor pressure</t>
  </si>
  <si>
    <t>mm Hg</t>
  </si>
  <si>
    <t>Rigid Plastics</t>
  </si>
  <si>
    <t>Water solubility</t>
  </si>
  <si>
    <t>mg/L</t>
  </si>
  <si>
    <t>Flexible Plastics</t>
  </si>
  <si>
    <t>Octanol/water partition coefficient (log Kow)</t>
  </si>
  <si>
    <t>-</t>
  </si>
  <si>
    <t>Rubbers</t>
  </si>
  <si>
    <t>Henry’s Law constant</t>
  </si>
  <si>
    <t>atm·m3/mol</t>
  </si>
  <si>
    <t>Low Density Foam (Packaging)</t>
  </si>
  <si>
    <r>
      <t>Octanol/air partition coefficient (log K</t>
    </r>
    <r>
      <rPr>
        <vertAlign val="subscript"/>
        <sz val="11"/>
        <color rgb="FF111111"/>
        <rFont val="Calibri"/>
        <family val="2"/>
        <scheme val="minor"/>
      </rPr>
      <t>OA</t>
    </r>
    <r>
      <rPr>
        <sz val="11"/>
        <color rgb="FF111111"/>
        <rFont val="Calibri"/>
        <family val="2"/>
        <scheme val="minor"/>
      </rPr>
      <t>)</t>
    </r>
  </si>
  <si>
    <t>High Density Foam (matresses, insulation)</t>
  </si>
  <si>
    <t>Wood</t>
  </si>
  <si>
    <t>Source of Pchem Information:</t>
  </si>
  <si>
    <t>pChem module</t>
  </si>
  <si>
    <t>Pressed Wood</t>
  </si>
  <si>
    <t>Paper</t>
  </si>
  <si>
    <t>Gypsum Board</t>
  </si>
  <si>
    <t>CEM Estimated Value (Material Agnostic)</t>
  </si>
  <si>
    <t>N/A</t>
  </si>
  <si>
    <t>Calculation of Internal Diffusion Cefficient based on Huang et al. (2017)</t>
  </si>
  <si>
    <t>Calculations for Solid-Air Partitioning Coefficient</t>
  </si>
  <si>
    <t>Calculations for chemical Migration Rate to Saliva based on Aurisano et al. (2022)</t>
  </si>
  <si>
    <t>https://doi.org/10.1111/ina.12395</t>
  </si>
  <si>
    <t>DOI: 10.1111/ina.12510</t>
  </si>
  <si>
    <t>doi: 10.1038/s41370-021-00354-0</t>
  </si>
  <si>
    <t>QPPR Equaation</t>
  </si>
  <si>
    <t xml:space="preserve">QPPR Equation </t>
  </si>
  <si>
    <r>
      <t>Where </t>
    </r>
    <r>
      <rPr>
        <i/>
        <sz val="10"/>
        <color rgb="FF212121"/>
        <rFont val="Cambria"/>
        <family val="1"/>
      </rPr>
      <t>R</t>
    </r>
    <r>
      <rPr>
        <sz val="8"/>
        <color rgb="FF212121"/>
        <rFont val="Cambria"/>
        <family val="1"/>
      </rPr>
      <t>mgr</t>
    </r>
    <r>
      <rPr>
        <sz val="10"/>
        <color rgb="FF212121"/>
        <rFont val="Cambria"/>
        <family val="1"/>
      </rPr>
      <t> is the migration rate (µg/10cm</t>
    </r>
    <r>
      <rPr>
        <sz val="8"/>
        <color rgb="FF212121"/>
        <rFont val="Cambria"/>
        <family val="1"/>
      </rPr>
      <t>2</t>
    </r>
    <r>
      <rPr>
        <sz val="10"/>
        <color rgb="FF212121"/>
        <rFont val="Cambria"/>
        <family val="1"/>
      </rPr>
      <t>/min), Dp is the solid phase diffusion Coefficient  (cm2/s), C0 is the initial concentration of chemical (ug/g), and KOW is the octanol water partitioning coefficient</t>
    </r>
  </si>
  <si>
    <t>where D is the diffusion coefficient (m2/s), MW is molecular weight (g/mol), T is absolute temperature (K), b and τ (K) are the material-specific coefficients below</t>
  </si>
  <si>
    <r>
      <t>log</t>
    </r>
    <r>
      <rPr>
        <sz val="8"/>
        <color theme="1"/>
        <rFont val="Calibri"/>
        <family val="2"/>
        <scheme val="minor"/>
      </rPr>
      <t>10</t>
    </r>
    <r>
      <rPr>
        <sz val="11"/>
        <color theme="1"/>
        <rFont val="Calibri"/>
        <family val="2"/>
        <scheme val="minor"/>
      </rPr>
      <t>MW</t>
    </r>
  </si>
  <si>
    <t>where Kma is the dimensionless solid material-air partition coefficient, Koa is the chemical's dimensionless octanol-air partition coefficient at 25°C, ΔHma is the enthalpy of the partitioning between material and air (J/mol) which is given by Equation (5), T is absolute temperature (K), and b is the material-specific coefficient below</t>
  </si>
  <si>
    <t>Full list of Materials</t>
  </si>
  <si>
    <t>T</t>
  </si>
  <si>
    <t>Material</t>
  </si>
  <si>
    <t>b</t>
  </si>
  <si>
    <t>τ</t>
  </si>
  <si>
    <r>
      <t>D1 (m</t>
    </r>
    <r>
      <rPr>
        <vertAlign val="superscript"/>
        <sz val="11"/>
        <color theme="1"/>
        <rFont val="Calibri"/>
        <family val="2"/>
        <scheme val="minor"/>
      </rPr>
      <t>2</t>
    </r>
    <r>
      <rPr>
        <sz val="11"/>
        <color theme="1"/>
        <rFont val="Calibri"/>
        <family val="2"/>
        <scheme val="minor"/>
      </rPr>
      <t>/s)</t>
    </r>
  </si>
  <si>
    <r>
      <t>D2 (m</t>
    </r>
    <r>
      <rPr>
        <vertAlign val="superscript"/>
        <sz val="11"/>
        <color theme="1"/>
        <rFont val="Calibri"/>
        <family val="2"/>
        <scheme val="minor"/>
      </rPr>
      <t>2</t>
    </r>
    <r>
      <rPr>
        <sz val="11"/>
        <color theme="1"/>
        <rFont val="Calibri"/>
        <family val="2"/>
        <scheme val="minor"/>
      </rPr>
      <t>/s)</t>
    </r>
  </si>
  <si>
    <t>(5)</t>
  </si>
  <si>
    <r>
      <t>Log Dp(cm</t>
    </r>
    <r>
      <rPr>
        <b/>
        <vertAlign val="superscript"/>
        <sz val="11"/>
        <color theme="1"/>
        <rFont val="Calibri"/>
        <family val="2"/>
        <scheme val="minor"/>
      </rPr>
      <t>2</t>
    </r>
    <r>
      <rPr>
        <b/>
        <sz val="11"/>
        <color theme="1"/>
        <rFont val="Calibri"/>
        <family val="2"/>
        <scheme val="minor"/>
      </rPr>
      <t>/s)</t>
    </r>
  </si>
  <si>
    <t>Term 1</t>
  </si>
  <si>
    <t>Term 2</t>
  </si>
  <si>
    <t>Term 4</t>
  </si>
  <si>
    <t>Calcium silicate</t>
  </si>
  <si>
    <t>Where  ΔHv is the chemicals enthalpy of vaporization obtained from chem spider</t>
  </si>
  <si>
    <t>Cement</t>
  </si>
  <si>
    <t>https://www.chemspider.com/</t>
  </si>
  <si>
    <t>Ethylene-propylene rubbers</t>
  </si>
  <si>
    <t>ΔHv</t>
  </si>
  <si>
    <t>Δhma/2.303*R</t>
  </si>
  <si>
    <t>Flexible PVC</t>
  </si>
  <si>
    <t>General polystyrene (PS)</t>
  </si>
  <si>
    <t>Glass, Stainless steel</t>
  </si>
  <si>
    <t>Gypsum and cellulose ceiling tile</t>
  </si>
  <si>
    <t>Gypsum board</t>
  </si>
  <si>
    <t>High density polyethylene (HDPE)</t>
  </si>
  <si>
    <t>Cellulose fabric (cotton, linen)</t>
  </si>
  <si>
    <t>High-impact polystyrene (HIPS)</t>
  </si>
  <si>
    <t>Cement, Calcium silicate</t>
  </si>
  <si>
    <t>Methyl methacrylate (MMA) copolymer-medium or low density</t>
  </si>
  <si>
    <t>Concrete</t>
  </si>
  <si>
    <t>Methyl methacrylate (MMA) homopolymer</t>
  </si>
  <si>
    <t>Ethylene Vinyl Acetate (EVA)</t>
  </si>
  <si>
    <t>Natural rubber (NR)</t>
  </si>
  <si>
    <t>Glass</t>
  </si>
  <si>
    <t>Other wooden boards</t>
  </si>
  <si>
    <t>Latex and solvent-based paint</t>
  </si>
  <si>
    <t>Plywood</t>
  </si>
  <si>
    <t>Polyamide (PA)</t>
  </si>
  <si>
    <t>Poly acrylnitrile butadiene styrene (ABS), Ethylene vinyl alcohol (EVOH)</t>
  </si>
  <si>
    <t>Polyester fabric</t>
  </si>
  <si>
    <t>Polychloroprene (CR)</t>
  </si>
  <si>
    <t>Polyether ether ketone (PEEK)</t>
  </si>
  <si>
    <t>Polyethylene (PE, LDPE, LLDPE)</t>
  </si>
  <si>
    <t>Polyethylene (PE)</t>
  </si>
  <si>
    <t>Polyethylene naphthalate (PEN)</t>
  </si>
  <si>
    <t>Polypropylene (PP)</t>
  </si>
  <si>
    <t>Polyethylene terephthalate (PET)</t>
  </si>
  <si>
    <t>Polytetrafluoroethylene (PTFE)</t>
  </si>
  <si>
    <t>Polystyrene foam (XPS, EPS)</t>
  </si>
  <si>
    <t>PU-ester</t>
  </si>
  <si>
    <t>Polyurethane-based materials</t>
  </si>
  <si>
    <t>PU-ether</t>
  </si>
  <si>
    <t>PP copolymer</t>
  </si>
  <si>
    <t>PUF-undefined</t>
  </si>
  <si>
    <t>PP homopolymer</t>
  </si>
  <si>
    <t>Rayon fabric</t>
  </si>
  <si>
    <t>Rigid polymers</t>
  </si>
  <si>
    <t>Stainless steel</t>
  </si>
  <si>
    <t>Synthetic rubber</t>
  </si>
  <si>
    <t>Vinyl flooring</t>
  </si>
  <si>
    <t>Vinyl acetate-based polymers</t>
  </si>
  <si>
    <t>Wooden boards</t>
  </si>
  <si>
    <t>Taken from draft P chem module 8.1.2024</t>
  </si>
  <si>
    <r>
      <t>Property</t>
    </r>
    <r>
      <rPr>
        <sz val="11"/>
        <color rgb="FF000000"/>
        <rFont val="Times New Roman"/>
        <family val="1"/>
      </rPr>
      <t> </t>
    </r>
  </si>
  <si>
    <r>
      <t>Selected Value</t>
    </r>
    <r>
      <rPr>
        <sz val="11"/>
        <rFont val="Times New Roman"/>
        <family val="1"/>
      </rPr>
      <t> </t>
    </r>
  </si>
  <si>
    <r>
      <t>Reference</t>
    </r>
    <r>
      <rPr>
        <sz val="11"/>
        <color rgb="FF000000"/>
        <rFont val="Times New Roman"/>
        <family val="1"/>
      </rPr>
      <t> </t>
    </r>
  </si>
  <si>
    <r>
      <t>Overall Quality Determination</t>
    </r>
    <r>
      <rPr>
        <sz val="11"/>
        <color rgb="FF000000"/>
        <rFont val="Times New Roman"/>
        <family val="1"/>
      </rPr>
      <t> </t>
    </r>
  </si>
  <si>
    <t>Molecular formula </t>
  </si>
  <si>
    <r>
      <t>C</t>
    </r>
    <r>
      <rPr>
        <vertAlign val="subscript"/>
        <sz val="8.5"/>
        <rFont val="Times New Roman"/>
        <family val="1"/>
      </rPr>
      <t>16</t>
    </r>
    <r>
      <rPr>
        <sz val="11"/>
        <rFont val="Times New Roman"/>
        <family val="1"/>
      </rPr>
      <t>H</t>
    </r>
    <r>
      <rPr>
        <vertAlign val="subscript"/>
        <sz val="8.5"/>
        <rFont val="Times New Roman"/>
        <family val="1"/>
      </rPr>
      <t>22</t>
    </r>
    <r>
      <rPr>
        <sz val="11"/>
        <rFont val="Times New Roman"/>
        <family val="1"/>
      </rPr>
      <t>O</t>
    </r>
    <r>
      <rPr>
        <vertAlign val="subscript"/>
        <sz val="8.5"/>
        <rFont val="Times New Roman"/>
        <family val="1"/>
      </rPr>
      <t>4</t>
    </r>
    <r>
      <rPr>
        <sz val="8.5"/>
        <rFont val="Times New Roman"/>
        <family val="1"/>
      </rPr>
      <t> </t>
    </r>
  </si>
  <si>
    <t>  </t>
  </si>
  <si>
    <t>Molecular weight </t>
  </si>
  <si>
    <t>278.35 g/mol </t>
  </si>
  <si>
    <t>Physical form </t>
  </si>
  <si>
    <t>Clear Viscous Liquid </t>
  </si>
  <si>
    <t>{CPSC, 2011, 5155528} </t>
  </si>
  <si>
    <t>High </t>
  </si>
  <si>
    <t>Melting point </t>
  </si>
  <si>
    <t>−64 °C </t>
  </si>
  <si>
    <t>{NLM, 2013, 5926117} </t>
  </si>
  <si>
    <t>Boiling point </t>
  </si>
  <si>
    <t>296.5 °C </t>
  </si>
  <si>
    <t>Density </t>
  </si>
  <si>
    <r>
      <t>1.049 g/cm</t>
    </r>
    <r>
      <rPr>
        <vertAlign val="superscript"/>
        <sz val="8.5"/>
        <rFont val="Times New Roman"/>
        <family val="1"/>
      </rPr>
      <t>3</t>
    </r>
    <r>
      <rPr>
        <sz val="11"/>
        <rFont val="Times New Roman"/>
        <family val="1"/>
      </rPr>
      <t>  </t>
    </r>
  </si>
  <si>
    <t>{Rumble, 2018, 5926366} </t>
  </si>
  <si>
    <t>Vapor pressure </t>
  </si>
  <si>
    <t>4.76E-05 mmHg </t>
  </si>
  <si>
    <t>Water solubility </t>
  </si>
  <si>
    <t>6.2 mg/L </t>
  </si>
  <si>
    <t>{U.S. EPA, 2019, 5926150} </t>
  </si>
  <si>
    <r>
      <t>Octanol:water partition coefficient (log K</t>
    </r>
    <r>
      <rPr>
        <vertAlign val="subscript"/>
        <sz val="8.5"/>
        <rFont val="Times New Roman"/>
        <family val="1"/>
      </rPr>
      <t>OW</t>
    </r>
    <r>
      <rPr>
        <sz val="11"/>
        <rFont val="Times New Roman"/>
        <family val="1"/>
      </rPr>
      <t>) </t>
    </r>
  </si>
  <si>
    <t>4.34 </t>
  </si>
  <si>
    <t>{Ishak, 2016, 3475635} </t>
  </si>
  <si>
    <r>
      <t>Octanol:air partition coefficient (log K</t>
    </r>
    <r>
      <rPr>
        <vertAlign val="subscript"/>
        <sz val="8.5"/>
        <rFont val="Times New Roman"/>
        <family val="1"/>
      </rPr>
      <t>OA</t>
    </r>
    <r>
      <rPr>
        <sz val="11"/>
        <rFont val="Times New Roman"/>
        <family val="1"/>
      </rPr>
      <t>) </t>
    </r>
  </si>
  <si>
    <t>9.47 (EPI Suite™) </t>
  </si>
  <si>
    <t>{U.S. EPA, 2017, 11181058} </t>
  </si>
  <si>
    <t>Henry’s Law constant </t>
  </si>
  <si>
    <r>
      <t>1.83E-07 atm·m</t>
    </r>
    <r>
      <rPr>
        <vertAlign val="superscript"/>
        <sz val="8.5"/>
        <rFont val="Times New Roman"/>
        <family val="1"/>
      </rPr>
      <t>3</t>
    </r>
    <r>
      <rPr>
        <sz val="11"/>
        <rFont val="Times New Roman"/>
        <family val="1"/>
      </rPr>
      <t>/mol at</t>
    </r>
    <r>
      <rPr>
        <sz val="12"/>
        <rFont val="Times New Roman"/>
        <family val="1"/>
      </rPr>
      <t xml:space="preserve"> </t>
    </r>
    <r>
      <rPr>
        <sz val="11"/>
        <rFont val="Times New Roman"/>
        <family val="1"/>
      </rPr>
      <t>25 °C </t>
    </r>
  </si>
  <si>
    <t>{Elsevier, 2019, 5926421} </t>
  </si>
  <si>
    <t>Flash point </t>
  </si>
  <si>
    <t>185 °C </t>
  </si>
  <si>
    <t>{Rumble, 2018, 6655446} </t>
  </si>
  <si>
    <t>Autoflammability </t>
  </si>
  <si>
    <t>432 °C </t>
  </si>
  <si>
    <t>Viscosity </t>
  </si>
  <si>
    <t>41 cP </t>
  </si>
  <si>
    <t>COU</t>
  </si>
  <si>
    <t>Sub Category COU</t>
  </si>
  <si>
    <t>Use Scenario Name for Modeling</t>
  </si>
  <si>
    <t>Exposures Modeled</t>
  </si>
  <si>
    <t>CEM ENV</t>
  </si>
  <si>
    <t>Source</t>
  </si>
  <si>
    <t>Product Name</t>
  </si>
  <si>
    <t xml:space="preserve">Manufacturer </t>
  </si>
  <si>
    <t>Weight Fractions</t>
  </si>
  <si>
    <t>Density (g/cm3)</t>
  </si>
  <si>
    <t>Product Size and format</t>
  </si>
  <si>
    <t>Use Description</t>
  </si>
  <si>
    <t>Product Weight Fractions for Modeling</t>
  </si>
  <si>
    <t>Product Volume and Mass Calculations</t>
  </si>
  <si>
    <t>Min</t>
  </si>
  <si>
    <t>Average/Mid</t>
  </si>
  <si>
    <t>Max</t>
  </si>
  <si>
    <t>Air Beds</t>
  </si>
  <si>
    <t>Car Mats</t>
  </si>
  <si>
    <t>Carpet Tiles</t>
  </si>
  <si>
    <t>Children's Toys (Legacy)</t>
  </si>
  <si>
    <t>Children's Toys (New)</t>
  </si>
  <si>
    <t>Clothing (Synthetic Leather)</t>
  </si>
  <si>
    <t>Clothing (Children's)</t>
  </si>
  <si>
    <t>Footwear Components</t>
  </si>
  <si>
    <t>Furniture Components (Textile)</t>
  </si>
  <si>
    <t>Sealants for Small Home Repairs</t>
  </si>
  <si>
    <t>Concrete Adhesive</t>
  </si>
  <si>
    <t>Flooring Adhesive</t>
  </si>
  <si>
    <t xml:space="preserve">Product </t>
  </si>
  <si>
    <t>Volume</t>
  </si>
  <si>
    <t>Conversion</t>
  </si>
  <si>
    <t>mass (g)</t>
  </si>
  <si>
    <t>Adhesives and sealants</t>
  </si>
  <si>
    <t>Adhesives and Sealants for Small Home Repairs</t>
  </si>
  <si>
    <t>Inhalation, Dermal</t>
  </si>
  <si>
    <t>Kitchen</t>
  </si>
  <si>
    <t>SDS</t>
  </si>
  <si>
    <t>Chem-Set C-19 Seaming Adhesive – All Colors</t>
  </si>
  <si>
    <t>Chemical Concepts Inc.</t>
  </si>
  <si>
    <t>Paste (caulk gun)</t>
  </si>
  <si>
    <t>250 mL tube</t>
  </si>
  <si>
    <t>Ideal for fabricating countertops, bathroom vanities, wall panels, and other surfaces, C19 produces tough, virtually invisible bonds on a variety of surfacing materials including cast polymers, acrylics, polyester blends, engineered quartz, and natural stone.</t>
  </si>
  <si>
    <t>mL</t>
  </si>
  <si>
    <t>CP310 [fire caulk]</t>
  </si>
  <si>
    <t>Abesco Fire LLC</t>
  </si>
  <si>
    <t>10.5 oz tube</t>
  </si>
  <si>
    <t>Abesco CP310 FR Acrylic Intumescent Caulk is a fire sealant designed to prevent the spread of fire from one compartment to another wherever cables, wires, or other services pass through firewalls and/or floors, or wherever there is a gap between elements in fire rated walls or floors.</t>
  </si>
  <si>
    <t>Jowacoll 110.60 [wood adhesive]</t>
  </si>
  <si>
    <t>gal</t>
  </si>
  <si>
    <t>Concrete Bonding Adhesive</t>
  </si>
  <si>
    <t>Dermal</t>
  </si>
  <si>
    <t>Outside</t>
  </si>
  <si>
    <t>AT (AT10, AT13, AT30, AT) [concrete adhesive]</t>
  </si>
  <si>
    <t>Simpson Strong-Tie Company Inc.</t>
  </si>
  <si>
    <t>single component, super smooth putty works great on minor scratches, surface flaws and little pinholes. It is a ready to use formula and shows exceptional adhesion to treated metal, galvanized steel, aluminum, existing finishes and primers. Amazon consumer reviews indicate that it is most often used for small vehicle repairs</t>
  </si>
  <si>
    <t>oz</t>
  </si>
  <si>
    <t>Wood Adhesive</t>
  </si>
  <si>
    <t>inside</t>
  </si>
  <si>
    <t>Jowat Corporation</t>
  </si>
  <si>
    <t>Liquid (rolled or brushed on)</t>
  </si>
  <si>
    <t>(4) 1 gallon pack or 5 gallon can</t>
  </si>
  <si>
    <t>a PVAc water based adhesive that is perfect for bonding wood when a fast set speed is needed. It offers a medium viscosity and forms a hard, tough glue line with exceptional durability and bond strength. </t>
  </si>
  <si>
    <t>Children's Clothing</t>
  </si>
  <si>
    <t>HPCDS</t>
  </si>
  <si>
    <t>Synthetic Leather Clothing</t>
  </si>
  <si>
    <t>10622421</t>
  </si>
  <si>
    <t>Synthetic Leather</t>
  </si>
  <si>
    <t>NR</t>
  </si>
  <si>
    <t>inhalation, dermal, dust ingestion, Mouthing</t>
  </si>
  <si>
    <t>Living Room</t>
  </si>
  <si>
    <t>inhalation, dermal, dust ingestion</t>
  </si>
  <si>
    <t>Whole House</t>
  </si>
  <si>
    <t>Danish EPA, 2011 (HERO 7265437); 1062241</t>
  </si>
  <si>
    <t>PVC Flooring</t>
  </si>
  <si>
    <t>Ecocenter 2018, 1062241</t>
  </si>
  <si>
    <t>carpet tile backing, carpet tile</t>
  </si>
  <si>
    <t>wallpaper</t>
  </si>
  <si>
    <t>dermal</t>
  </si>
  <si>
    <t>11374030, 6302975</t>
  </si>
  <si>
    <t>Footwear</t>
  </si>
  <si>
    <t>Air Mattresses</t>
  </si>
  <si>
    <t>Air Bed</t>
  </si>
  <si>
    <t>Inhalation, dust Ingestion, Dermal</t>
  </si>
  <si>
    <t>Auto</t>
  </si>
  <si>
    <t>Car Mat</t>
  </si>
  <si>
    <t>Shower Curtain</t>
  </si>
  <si>
    <t>Inhalation, dust Ingestion</t>
  </si>
  <si>
    <t>Bathroom</t>
  </si>
  <si>
    <t>Children's Toys (legacy and non-compliant)</t>
  </si>
  <si>
    <t>Bedroom</t>
  </si>
  <si>
    <t>Various</t>
  </si>
  <si>
    <t>Children's Toys (new/compliant)</t>
  </si>
  <si>
    <t>Regulation</t>
  </si>
  <si>
    <t>Articles with the potential for Significant Aggregated Dermal Exposure</t>
  </si>
  <si>
    <t xml:space="preserve">Dermal </t>
  </si>
  <si>
    <t>phone charger</t>
  </si>
  <si>
    <t>garden hose</t>
  </si>
  <si>
    <t>pet chew toy</t>
  </si>
  <si>
    <t>feeding mat</t>
  </si>
  <si>
    <t>Hobby Cutting Board</t>
  </si>
  <si>
    <t>Headband</t>
  </si>
  <si>
    <t>https://www.ecocenter.org/sites/default/files/2022-04/DS_SPSSoutput_byretailer.pdf</t>
  </si>
  <si>
    <t>Bath Tub Appliques</t>
  </si>
  <si>
    <t>Car Steering Wheel Cover</t>
  </si>
  <si>
    <t>diving goggles</t>
  </si>
  <si>
    <t>Fitness Balls</t>
  </si>
  <si>
    <t>Jump Rope</t>
  </si>
  <si>
    <t>Yoga Mat</t>
  </si>
  <si>
    <t>Football</t>
  </si>
  <si>
    <t xml:space="preserve">Recycled rubber tire </t>
  </si>
  <si>
    <t>recycled rubber tire urban playgrounds</t>
  </si>
  <si>
    <t>Inhalation</t>
  </si>
  <si>
    <t>Ingestion</t>
  </si>
  <si>
    <t>Article</t>
  </si>
  <si>
    <t>Adult Toys</t>
  </si>
  <si>
    <t>High</t>
  </si>
  <si>
    <t>Medium</t>
  </si>
  <si>
    <t>Low</t>
  </si>
  <si>
    <t>Rubber Eraser</t>
  </si>
  <si>
    <t>Shower curtain</t>
  </si>
  <si>
    <t>`</t>
  </si>
  <si>
    <t>Med</t>
  </si>
  <si>
    <t xml:space="preserve">Compiled CEM Inputs for Article Scenarios </t>
  </si>
  <si>
    <t>Key for CEM Models</t>
  </si>
  <si>
    <t>Refer to Individual Scenario Tabs for Sources and Notes.</t>
  </si>
  <si>
    <t xml:space="preserve">A_ING1 = Ingestion after Inhalation </t>
  </si>
  <si>
    <t xml:space="preserve">A_INH1 = Inhalation from Article Placed in Environment </t>
  </si>
  <si>
    <t>A_ING2 = Ingestion of Article Mouthed</t>
  </si>
  <si>
    <t>E6 = Emission from Article Placed in Environment</t>
  </si>
  <si>
    <t>A_ING3 = Inidental Dust Ingestion</t>
  </si>
  <si>
    <t>Small Articles with Potential for semi-routine contact</t>
  </si>
  <si>
    <t>Wallpaper (In Place)</t>
  </si>
  <si>
    <t>Wallpaper (Installation)</t>
  </si>
  <si>
    <t>Exposure Assessed</t>
  </si>
  <si>
    <t>Inhalation, Dermal, Dust Ingestion</t>
  </si>
  <si>
    <t>Inhalation, Dermal, Dust Ingestion, Mouthing</t>
  </si>
  <si>
    <t>Mouthing, Dermal</t>
  </si>
  <si>
    <t>Dermal Spreadsheet Inputs</t>
  </si>
  <si>
    <t>Units</t>
  </si>
  <si>
    <t>Exposure Level</t>
  </si>
  <si>
    <t>Value</t>
  </si>
  <si>
    <t xml:space="preserve">Users </t>
  </si>
  <si>
    <t>Adult, Youth, Child</t>
  </si>
  <si>
    <t>Adult, Youth</t>
  </si>
  <si>
    <t>Youth, Child</t>
  </si>
  <si>
    <t>Frequency of Article Contact</t>
  </si>
  <si>
    <t>events/day</t>
  </si>
  <si>
    <t>events/year</t>
  </si>
  <si>
    <t>Duration of Article Contact</t>
  </si>
  <si>
    <t>min/event</t>
  </si>
  <si>
    <t>CEM Model Selection</t>
  </si>
  <si>
    <t>CEM Models (inhalation and/or ingestion pathways):</t>
  </si>
  <si>
    <t>E6, A_INH1, A_ING1, A_ING3</t>
  </si>
  <si>
    <t>E6, A_INH1, A_ING1, A_ING2, A_ING3</t>
  </si>
  <si>
    <t>Not Applicable. Article only modeled for dermal exposure outside of CEM.</t>
  </si>
  <si>
    <t>CEM Saved Analysis:</t>
  </si>
  <si>
    <t>Plastic articles: vinyl flooring</t>
  </si>
  <si>
    <t>Rubber articles: with potential for routine contact (baby bottle nipples, pacifiers, toys)</t>
  </si>
  <si>
    <t>Leather Furniture</t>
  </si>
  <si>
    <t>Plastic articles: other objects with potential for routine contact (toys, foam blocks, tents)</t>
  </si>
  <si>
    <t>Fabrics: curtains, rugs, wall coverings</t>
  </si>
  <si>
    <t>CEM Input Parameter</t>
  </si>
  <si>
    <t>Scenario Screen Parameters</t>
  </si>
  <si>
    <t>Weight Fraction</t>
  </si>
  <si>
    <t>(-)</t>
  </si>
  <si>
    <t>n/a</t>
  </si>
  <si>
    <t>Scenario</t>
  </si>
  <si>
    <t>Weight Fraction (%)</t>
  </si>
  <si>
    <r>
      <t>Initial Conc. (mg/cm</t>
    </r>
    <r>
      <rPr>
        <b/>
        <vertAlign val="superscript"/>
        <sz val="10"/>
        <color rgb="FF000000"/>
        <rFont val="Times New Roman"/>
        <family val="1"/>
      </rPr>
      <t>3</t>
    </r>
    <r>
      <rPr>
        <b/>
        <sz val="10"/>
        <color rgb="FF000000"/>
        <rFont val="Times New Roman"/>
        <family val="1"/>
      </rPr>
      <t>)</t>
    </r>
  </si>
  <si>
    <r>
      <t>Density (g/cm</t>
    </r>
    <r>
      <rPr>
        <b/>
        <vertAlign val="superscript"/>
        <sz val="10"/>
        <color rgb="FF000000"/>
        <rFont val="Times New Roman"/>
        <family val="1"/>
      </rPr>
      <t>3</t>
    </r>
    <r>
      <rPr>
        <b/>
        <sz val="10"/>
        <color rgb="FF000000"/>
        <rFont val="Times New Roman"/>
        <family val="1"/>
      </rPr>
      <t>)</t>
    </r>
  </si>
  <si>
    <r>
      <t>Surface Area (m</t>
    </r>
    <r>
      <rPr>
        <b/>
        <vertAlign val="superscript"/>
        <sz val="10"/>
        <color rgb="FF000000"/>
        <rFont val="Times New Roman"/>
        <family val="1"/>
      </rPr>
      <t>2</t>
    </r>
    <r>
      <rPr>
        <b/>
        <sz val="10"/>
        <color rgb="FF000000"/>
        <rFont val="Times New Roman"/>
        <family val="1"/>
      </rPr>
      <t>)</t>
    </r>
  </si>
  <si>
    <t>Surface Layer Thickness (m)</t>
  </si>
  <si>
    <r>
      <t>Use Environment Volume (m</t>
    </r>
    <r>
      <rPr>
        <b/>
        <vertAlign val="superscript"/>
        <sz val="10"/>
        <color rgb="FF000000"/>
        <rFont val="Times New Roman"/>
        <family val="1"/>
      </rPr>
      <t>3</t>
    </r>
    <r>
      <rPr>
        <b/>
        <sz val="10"/>
        <color rgb="FF000000"/>
        <rFont val="Times New Roman"/>
        <family val="1"/>
      </rPr>
      <t>)</t>
    </r>
  </si>
  <si>
    <r>
      <t>Interzone Ventilation Rate (m</t>
    </r>
    <r>
      <rPr>
        <b/>
        <vertAlign val="superscript"/>
        <sz val="10"/>
        <color rgb="FF000000"/>
        <rFont val="Times New Roman"/>
        <family val="1"/>
      </rPr>
      <t>3</t>
    </r>
    <r>
      <rPr>
        <b/>
        <sz val="10"/>
        <color rgb="FF000000"/>
        <rFont val="Times New Roman"/>
        <family val="1"/>
      </rPr>
      <t>/h)</t>
    </r>
  </si>
  <si>
    <t>Initial Concentration of SVOC in Article</t>
  </si>
  <si>
    <t>mg/cm3</t>
  </si>
  <si>
    <t>Background Air Concentration</t>
  </si>
  <si>
    <t>mg/m3</t>
  </si>
  <si>
    <t>Background Dust Concentration</t>
  </si>
  <si>
    <t>ug/mg</t>
  </si>
  <si>
    <t>Product/Article Use Environment</t>
  </si>
  <si>
    <t>automobile</t>
  </si>
  <si>
    <t>Pathways</t>
  </si>
  <si>
    <t>Inhalation/Ingestion</t>
  </si>
  <si>
    <r>
      <t xml:space="preserve">Product Users </t>
    </r>
    <r>
      <rPr>
        <b/>
        <sz val="11"/>
        <rFont val="Calibri"/>
        <family val="2"/>
        <scheme val="minor"/>
      </rPr>
      <t>(Non-users are automatically modeled as bystanders)</t>
    </r>
  </si>
  <si>
    <t>Adult/Youth/Child</t>
  </si>
  <si>
    <t>Youth/Child</t>
  </si>
  <si>
    <t>Activity Pattern</t>
  </si>
  <si>
    <t>Stay at Home</t>
  </si>
  <si>
    <t>User-defined Emission Rates</t>
  </si>
  <si>
    <t>Use Near-field Zone? (E1, E2, E3 only)</t>
  </si>
  <si>
    <t>Dermal Absorption or Permeability?</t>
  </si>
  <si>
    <t>Emission Factor Method (E1 only)</t>
  </si>
  <si>
    <t>Product/Article Properties Screen Parameters</t>
  </si>
  <si>
    <t>Product/Article and Use Inputs</t>
  </si>
  <si>
    <t>User Defined Emission Rate</t>
  </si>
  <si>
    <t>mg/hr</t>
  </si>
  <si>
    <t>Density of Product/Article</t>
  </si>
  <si>
    <t>g/cm3</t>
  </si>
  <si>
    <t xml:space="preserve">Surface Area of Article </t>
  </si>
  <si>
    <r>
      <t>m</t>
    </r>
    <r>
      <rPr>
        <vertAlign val="superscript"/>
        <sz val="11"/>
        <color theme="1"/>
        <rFont val="Calibri"/>
        <family val="2"/>
        <scheme val="minor"/>
      </rPr>
      <t>2</t>
    </r>
  </si>
  <si>
    <t>Insulated Cords</t>
  </si>
  <si>
    <t>Thickness of Article Surface Layer</t>
  </si>
  <si>
    <t>cm</t>
  </si>
  <si>
    <t>min/day</t>
  </si>
  <si>
    <t xml:space="preserve">Area of Article mouthed </t>
  </si>
  <si>
    <t>cm2</t>
  </si>
  <si>
    <t>Inputs for Dermal and Ingestion Exposure</t>
  </si>
  <si>
    <t>Film Thickness on Skin</t>
  </si>
  <si>
    <t>Amount Retained on Skin</t>
  </si>
  <si>
    <t>g/cm2</t>
  </si>
  <si>
    <t xml:space="preserve">Skin Permeability Coefficient </t>
  </si>
  <si>
    <t>cm/hr</t>
  </si>
  <si>
    <t>Chemical Migration Rate</t>
  </si>
  <si>
    <t>mg/cm2/hr</t>
  </si>
  <si>
    <t>Thickness of Contact Layer</t>
  </si>
  <si>
    <t>Surface Loading</t>
  </si>
  <si>
    <t>mg/cm2</t>
  </si>
  <si>
    <t>Mouthing Transfer Efficiency</t>
  </si>
  <si>
    <t>(per event)</t>
  </si>
  <si>
    <t>Fraction of Chemical that is Dislodgeable</t>
  </si>
  <si>
    <t>Product Dilution Factor</t>
  </si>
  <si>
    <t>Transdermal Permeability Coefficient</t>
  </si>
  <si>
    <t>m/hr</t>
  </si>
  <si>
    <t>Absorption Fraction-Acute</t>
  </si>
  <si>
    <t>Absorption Fraction-Chronic</t>
  </si>
  <si>
    <t>Ingestion Fraction-RP</t>
  </si>
  <si>
    <t>Ingestion Fraction-Dust</t>
  </si>
  <si>
    <t>Ingestion Fraction-Abraded particle</t>
  </si>
  <si>
    <t>Chemical Half-life in Soil</t>
  </si>
  <si>
    <t>days</t>
  </si>
  <si>
    <t>Avg Molecule Difffusion per Contact</t>
  </si>
  <si>
    <t>cm/day</t>
  </si>
  <si>
    <t>Adherence Factor</t>
  </si>
  <si>
    <t>mg/cm2*event)</t>
  </si>
  <si>
    <t>Environment Inputs</t>
  </si>
  <si>
    <t>Environment Property/Attribute</t>
  </si>
  <si>
    <t>Building Volume (Residence)</t>
  </si>
  <si>
    <t>m3</t>
  </si>
  <si>
    <t>Use Environment Volume</t>
  </si>
  <si>
    <t>Yard Area</t>
  </si>
  <si>
    <t>m2</t>
  </si>
  <si>
    <t>Air Exchange Rate, Zone 1 (Residence)</t>
  </si>
  <si>
    <t>hr-1</t>
  </si>
  <si>
    <t>Air Exchange Rate, Zone 2 (Residence)</t>
  </si>
  <si>
    <t>Interzone Ventilation Rate</t>
  </si>
  <si>
    <t>m3/hr</t>
  </si>
  <si>
    <t>Area of Interior Surface</t>
  </si>
  <si>
    <t>Thickness of Interior Surface</t>
  </si>
  <si>
    <t>m</t>
  </si>
  <si>
    <t>Near Field Environmetnal Inputs</t>
  </si>
  <si>
    <t>Near Field Volume</t>
  </si>
  <si>
    <t>Far-Field Volume</t>
  </si>
  <si>
    <t xml:space="preserve">Air Exchange Rate at Near-field Boundary </t>
  </si>
  <si>
    <t>per hour</t>
  </si>
  <si>
    <t>Soil Properties</t>
  </si>
  <si>
    <t xml:space="preserve">Soil Mixing Depth </t>
  </si>
  <si>
    <t xml:space="preserve">Soil Density </t>
  </si>
  <si>
    <t>kg/m3</t>
  </si>
  <si>
    <t>Soil Porosity</t>
  </si>
  <si>
    <t>Chronic Concentration in Soil/Powders</t>
  </si>
  <si>
    <t>mg/kg</t>
  </si>
  <si>
    <t>Acute Concentration in Soil/Powders</t>
  </si>
  <si>
    <t>Dust Parameter Inputs</t>
  </si>
  <si>
    <t>RP</t>
  </si>
  <si>
    <t xml:space="preserve">Deposition rate </t>
  </si>
  <si>
    <t xml:space="preserve">Resuspension rate </t>
  </si>
  <si>
    <t>Mass Generation Rate, Suspended</t>
  </si>
  <si>
    <t>Mass Generation Rate, Floor</t>
  </si>
  <si>
    <t>Radius of Particle</t>
  </si>
  <si>
    <t>Density of Particle</t>
  </si>
  <si>
    <t xml:space="preserve">Dust </t>
  </si>
  <si>
    <t>Abraded Particle</t>
  </si>
  <si>
    <t>Ambient RP Concentration</t>
  </si>
  <si>
    <t xml:space="preserve">Cleaning Frequency </t>
  </si>
  <si>
    <t>Cleaning Efficiency</t>
  </si>
  <si>
    <t xml:space="preserve">HVAC Filter Penetration </t>
  </si>
  <si>
    <t>Receptor Exposure Factors</t>
  </si>
  <si>
    <t xml:space="preserve">Exposure Duration - chronic </t>
  </si>
  <si>
    <t>years</t>
  </si>
  <si>
    <t>Exposure Duration - acute</t>
  </si>
  <si>
    <t>Mouthing Duration (Adult &gt;= 21 yrs)</t>
  </si>
  <si>
    <t>min/hour</t>
  </si>
  <si>
    <t>Mouthing Duration (Youth 16-20 yrs)</t>
  </si>
  <si>
    <t>Mouthing Duration (Youth 11-15 yrs)</t>
  </si>
  <si>
    <t>Mouthing Duration (Child 6-10 yrs)</t>
  </si>
  <si>
    <t>Mouthing Duration (Child 3-5 yrs)</t>
  </si>
  <si>
    <t>Mouthing Duration (Small Child 1-2 yrs)</t>
  </si>
  <si>
    <t>Mouthing Duration (Small Child &lt;1 yr)</t>
  </si>
  <si>
    <t>Product or Article</t>
  </si>
  <si>
    <t>Acute Freq</t>
  </si>
  <si>
    <t>Chronic Freq</t>
  </si>
  <si>
    <t>subCOU</t>
  </si>
  <si>
    <r>
      <t>Fabric, textile, and leather products not covered elsewhere (</t>
    </r>
    <r>
      <rPr>
        <i/>
        <sz val="10"/>
        <color theme="1"/>
        <rFont val="Times New Roman"/>
        <family val="1"/>
      </rPr>
      <t xml:space="preserve">e.g., </t>
    </r>
    <r>
      <rPr>
        <sz val="10"/>
        <color theme="1"/>
        <rFont val="Times New Roman"/>
        <family val="1"/>
      </rPr>
      <t>Textile (fabric) dyes)</t>
    </r>
  </si>
  <si>
    <t>Fabric, textile, and leather products not covered elsewhere (e.g., textile (fabric) dyes)</t>
  </si>
  <si>
    <t>Multiple</t>
  </si>
  <si>
    <t>Tire Crumbs</t>
  </si>
  <si>
    <t>Product</t>
  </si>
  <si>
    <t>Adult/Youth</t>
  </si>
  <si>
    <t>Frequency of Product Contact</t>
  </si>
  <si>
    <t>Duration of Product Contact</t>
  </si>
  <si>
    <t>Caulk (Sealant)</t>
  </si>
  <si>
    <t>Not Applicable. Product only modeled for dermal exposure outside of CEM.</t>
  </si>
  <si>
    <t>Glue and adhesives (large scale)</t>
  </si>
  <si>
    <t>E1, P_INH2 (Near-field)</t>
  </si>
  <si>
    <t>Input Parameter</t>
  </si>
  <si>
    <t xml:space="preserve">Weight Fraction </t>
  </si>
  <si>
    <t>Residence - Kitchen</t>
  </si>
  <si>
    <t>Residence - Whole house</t>
  </si>
  <si>
    <t>Product Users</t>
  </si>
  <si>
    <t>Stay-At-Home</t>
  </si>
  <si>
    <t>Let CEM Estimate Emission Rate</t>
  </si>
  <si>
    <t>Use Near-field area in zone 1 (P_INH2)</t>
  </si>
  <si>
    <t>Evaporation Time</t>
  </si>
  <si>
    <t>Chronic and Acute Assessments</t>
  </si>
  <si>
    <t>Duration of Use (acute)</t>
  </si>
  <si>
    <t>Mass of Product Used Per Event (acute)</t>
  </si>
  <si>
    <t>oz/event</t>
  </si>
  <si>
    <t xml:space="preserve">Mass of Product Used Per Event </t>
  </si>
  <si>
    <t>g/event</t>
  </si>
  <si>
    <t>Frequency of Use (Chronic)</t>
  </si>
  <si>
    <t>events/yr</t>
  </si>
  <si>
    <t>Frequency of Use (acute)</t>
  </si>
  <si>
    <t>All Assessments</t>
  </si>
  <si>
    <t xml:space="preserve">Aerosol fraction </t>
  </si>
  <si>
    <t>unitless</t>
  </si>
  <si>
    <t xml:space="preserve">FractionProduct Ingested </t>
  </si>
  <si>
    <t>Environment</t>
  </si>
  <si>
    <t>Vol_Building</t>
  </si>
  <si>
    <t>Vol_Zone1</t>
  </si>
  <si>
    <t>AER_Zone1</t>
  </si>
  <si>
    <t>Automobile</t>
  </si>
  <si>
    <t>Office/School</t>
  </si>
  <si>
    <t>Residence - Bathroom</t>
  </si>
  <si>
    <t>Residence - Bedroom</t>
  </si>
  <si>
    <t>Residence - Garage</t>
  </si>
  <si>
    <t>Residence - Laundry room</t>
  </si>
  <si>
    <t>Residence - Living room</t>
  </si>
  <si>
    <t>Residence - Utility room</t>
  </si>
  <si>
    <t>School</t>
  </si>
  <si>
    <t>Calculations for non-CEM defaults, including:</t>
  </si>
  <si>
    <t>CEM Input: Mouthing Duration</t>
  </si>
  <si>
    <t>CEM Input: Area of Article Mouthed</t>
  </si>
  <si>
    <t>CEM Input: Chemical Migration Rate</t>
  </si>
  <si>
    <t>CEM Input: Density of Product</t>
  </si>
  <si>
    <t>CEM Input: Surface Area of Articles</t>
  </si>
  <si>
    <r>
      <t xml:space="preserve">CEM Input: </t>
    </r>
    <r>
      <rPr>
        <sz val="14"/>
        <color theme="1"/>
        <rFont val="Calibri"/>
        <family val="2"/>
        <scheme val="minor"/>
      </rPr>
      <t>Mouthing Duration</t>
    </r>
  </si>
  <si>
    <t>Exposure Scenario</t>
  </si>
  <si>
    <t>Mouthing Duration (min/day)</t>
  </si>
  <si>
    <t>Mouthing Duration (min/hr)</t>
  </si>
  <si>
    <t>&lt;1 yr</t>
  </si>
  <si>
    <t>1-2 yr</t>
  </si>
  <si>
    <t>3-5 yr</t>
  </si>
  <si>
    <t>16+ yr</t>
  </si>
  <si>
    <t>--</t>
  </si>
  <si>
    <t>Professional Judgement</t>
  </si>
  <si>
    <t>Childrens Toy (new)</t>
  </si>
  <si>
    <t>Exposure Factors Handbook Chapter 4 Table 4-23 (Toy). See calculations below. Maximum, average, and minimum values used for High, Med, and Low Scenarios, respectively.</t>
  </si>
  <si>
    <t>Childrens Toy (legacy)</t>
  </si>
  <si>
    <t>Exposure Factors Handbook Chapter 4 Table 4-23  (Other Object). See calculations below. Maximum, average, and minimum values used for High, Med, and Low Scenarios, respectively.</t>
  </si>
  <si>
    <t>Estimated Mean Daily Mouthing Duration Values from Table 4-23 in Exposure Factors Handbook (Source: Smith and Norris (2003))</t>
  </si>
  <si>
    <t>Calculation of Daily Mouthing Durations for Age Groups Applicable to CEM</t>
  </si>
  <si>
    <t>Item Mouthed</t>
  </si>
  <si>
    <t>Duration Mouthed Units</t>
  </si>
  <si>
    <t>Reported Age Group</t>
  </si>
  <si>
    <t>CEM Age Group: Infants &lt;1 year</t>
  </si>
  <si>
    <t>1 to 3 mo</t>
  </si>
  <si>
    <t>3 to 6 mo</t>
  </si>
  <si>
    <t>6 to 9 mo</t>
  </si>
  <si>
    <t>9 to 12 mo</t>
  </si>
  <si>
    <t>Maximum</t>
  </si>
  <si>
    <t>Average</t>
  </si>
  <si>
    <t>Minimum</t>
  </si>
  <si>
    <t>Toy</t>
  </si>
  <si>
    <t>Other Object</t>
  </si>
  <si>
    <t>CEM Age Group: Infants 1-2 years</t>
  </si>
  <si>
    <t>12-15 mo</t>
  </si>
  <si>
    <t>15-18 mo</t>
  </si>
  <si>
    <t>18-21 mo</t>
  </si>
  <si>
    <t>21-24 mo</t>
  </si>
  <si>
    <t>CEM Age Group: Small Child 3-5 years</t>
  </si>
  <si>
    <t>2 yr</t>
  </si>
  <si>
    <t>3 yr</t>
  </si>
  <si>
    <t>4 yr</t>
  </si>
  <si>
    <t>5 yr</t>
  </si>
  <si>
    <r>
      <t>Mouthing area (cm</t>
    </r>
    <r>
      <rPr>
        <b/>
        <vertAlign val="superscript"/>
        <sz val="10"/>
        <color theme="1"/>
        <rFont val="Calibri"/>
        <family val="2"/>
        <scheme val="minor"/>
      </rPr>
      <t>2</t>
    </r>
    <r>
      <rPr>
        <b/>
        <sz val="10"/>
        <color theme="1"/>
        <rFont val="Calibri"/>
        <family val="2"/>
        <scheme val="minor"/>
      </rPr>
      <t>)</t>
    </r>
  </si>
  <si>
    <t>High CEM Default</t>
  </si>
  <si>
    <t>Med CEM Default. Commonly accepted surface area for mouthing activities.</t>
  </si>
  <si>
    <r>
      <t xml:space="preserve">CEM Input: </t>
    </r>
    <r>
      <rPr>
        <sz val="14"/>
        <color theme="1"/>
        <rFont val="Calibri"/>
        <family val="2"/>
        <scheme val="minor"/>
      </rPr>
      <t>Chemical Migration Rate</t>
    </r>
  </si>
  <si>
    <t>Summary of DINP Chemical Migration Rates Obtained from Literature as Reported in Tables 17, 18, and 19 of Danish Environmental Protection Agency (2016) report "Determination of Migration Rates for Certain Phthalates"</t>
  </si>
  <si>
    <t>Articles with Mouthing Modeled</t>
  </si>
  <si>
    <t>Analytical Method</t>
  </si>
  <si>
    <r>
      <t>Migration Rate (</t>
    </r>
    <r>
      <rPr>
        <b/>
        <sz val="10"/>
        <color theme="1"/>
        <rFont val="Calibri"/>
        <family val="2"/>
        <scheme val="minor"/>
      </rPr>
      <t>µg/cm</t>
    </r>
    <r>
      <rPr>
        <b/>
        <vertAlign val="superscript"/>
        <sz val="10"/>
        <color theme="1"/>
        <rFont val="Calibri"/>
        <family val="2"/>
        <scheme val="minor"/>
      </rPr>
      <t>2</t>
    </r>
    <r>
      <rPr>
        <b/>
        <sz val="10"/>
        <color theme="1"/>
        <rFont val="Calibri"/>
        <family val="2"/>
        <scheme val="minor"/>
      </rPr>
      <t>/hr</t>
    </r>
    <r>
      <rPr>
        <b/>
        <sz val="10"/>
        <color rgb="FF000000"/>
        <rFont val="Calibri"/>
        <family val="2"/>
        <scheme val="minor"/>
      </rPr>
      <t>)</t>
    </r>
  </si>
  <si>
    <t>Mean (Selected</t>
  </si>
  <si>
    <t>Standard Deviation</t>
  </si>
  <si>
    <t>Harsh</t>
  </si>
  <si>
    <t>Mild</t>
  </si>
  <si>
    <t>WF (g/g)</t>
  </si>
  <si>
    <t>Rmgr - Chemical Migration Rate (µg/10cm2/min),</t>
  </si>
  <si>
    <r>
      <t xml:space="preserve">CEM Input: </t>
    </r>
    <r>
      <rPr>
        <sz val="14"/>
        <color theme="1"/>
        <rFont val="Calibri"/>
        <family val="2"/>
        <scheme val="minor"/>
      </rPr>
      <t>Density of Product</t>
    </r>
  </si>
  <si>
    <t>Product Density Calculations for Plastic Articles</t>
  </si>
  <si>
    <t>Reference</t>
  </si>
  <si>
    <t>Link</t>
  </si>
  <si>
    <t>Min Density</t>
  </si>
  <si>
    <t>Max Density</t>
  </si>
  <si>
    <t>Average Density</t>
  </si>
  <si>
    <t>Ansys (2021)</t>
  </si>
  <si>
    <t>material-property-data-for-eng-materials-BOKENGEN21.pdf (ansys.com)</t>
  </si>
  <si>
    <t>Polyvinylchloride (tpPVC)</t>
  </si>
  <si>
    <t>Aurisano (2020)</t>
  </si>
  <si>
    <t>Estimating mouthing exposure to chemicals in children’s products | Journal of Exposure Science &amp; Environmental Epidemiology (nature.com)</t>
  </si>
  <si>
    <t>PVC toy with phthalates</t>
  </si>
  <si>
    <t>iPolymer.com</t>
  </si>
  <si>
    <t>PVC.pdf (ipolymer.com)</t>
  </si>
  <si>
    <t>Li, et. al (2018)</t>
  </si>
  <si>
    <t>Insulated Cable Temperature Calculation and Numerical Simulation (matec-conferences.org)</t>
  </si>
  <si>
    <t>PVC insulation layer of non-sheathed copper 
Polyvinyl chloride cable</t>
  </si>
  <si>
    <t>Overall</t>
  </si>
  <si>
    <t>Foam</t>
  </si>
  <si>
    <t>https://plastics-rubber.basf.com/global/en/performance_polymers/locations/great-britain/insulation.html</t>
  </si>
  <si>
    <r>
      <t xml:space="preserve">CEM Input: </t>
    </r>
    <r>
      <rPr>
        <sz val="14"/>
        <color theme="1"/>
        <rFont val="Calibri"/>
        <family val="2"/>
        <scheme val="minor"/>
      </rPr>
      <t>Surface Area of Articles</t>
    </r>
  </si>
  <si>
    <t>Estimating Surface Area of Toys in a Room</t>
  </si>
  <si>
    <r>
      <t>S</t>
    </r>
    <r>
      <rPr>
        <i/>
        <sz val="12"/>
        <color theme="1"/>
        <rFont val="Calibri"/>
        <family val="2"/>
        <scheme val="minor"/>
      </rPr>
      <t>A</t>
    </r>
    <r>
      <rPr>
        <sz val="12"/>
        <color rgb="FF374151"/>
        <rFont val="Calibri"/>
        <family val="2"/>
        <scheme val="minor"/>
      </rPr>
      <t>one toy​</t>
    </r>
    <r>
      <rPr>
        <sz val="12"/>
        <color theme="1"/>
        <rFont val="Calibri"/>
        <family val="2"/>
        <scheme val="minor"/>
      </rPr>
      <t>=2</t>
    </r>
    <r>
      <rPr>
        <sz val="12"/>
        <color rgb="FF374151"/>
        <rFont val="Calibri"/>
        <family val="2"/>
        <scheme val="minor"/>
      </rPr>
      <t>×</t>
    </r>
    <r>
      <rPr>
        <sz val="12"/>
        <color theme="1"/>
        <rFont val="Calibri"/>
        <family val="2"/>
        <scheme val="minor"/>
      </rPr>
      <t>(</t>
    </r>
    <r>
      <rPr>
        <sz val="12"/>
        <color rgb="FF374151"/>
        <rFont val="Calibri"/>
        <family val="2"/>
        <scheme val="minor"/>
      </rPr>
      <t>Length×</t>
    </r>
    <r>
      <rPr>
        <sz val="12"/>
        <color theme="1"/>
        <rFont val="Calibri"/>
        <family val="2"/>
        <scheme val="minor"/>
      </rPr>
      <t>Width</t>
    </r>
    <r>
      <rPr>
        <sz val="12"/>
        <color rgb="FF374151"/>
        <rFont val="Calibri"/>
        <family val="2"/>
        <scheme val="minor"/>
      </rPr>
      <t>+</t>
    </r>
    <r>
      <rPr>
        <sz val="12"/>
        <color theme="1"/>
        <rFont val="Calibri"/>
        <family val="2"/>
        <scheme val="minor"/>
      </rPr>
      <t>Width</t>
    </r>
    <r>
      <rPr>
        <sz val="12"/>
        <color rgb="FF374151"/>
        <rFont val="Calibri"/>
        <family val="2"/>
        <scheme val="minor"/>
      </rPr>
      <t>×</t>
    </r>
    <r>
      <rPr>
        <sz val="12"/>
        <color theme="1"/>
        <rFont val="Calibri"/>
        <family val="2"/>
        <scheme val="minor"/>
      </rPr>
      <t>Height</t>
    </r>
    <r>
      <rPr>
        <sz val="12"/>
        <color rgb="FF374151"/>
        <rFont val="Calibri"/>
        <family val="2"/>
        <scheme val="minor"/>
      </rPr>
      <t>+</t>
    </r>
    <r>
      <rPr>
        <sz val="12"/>
        <color theme="1"/>
        <rFont val="Calibri"/>
        <family val="2"/>
        <scheme val="minor"/>
      </rPr>
      <t>Height</t>
    </r>
    <r>
      <rPr>
        <sz val="12"/>
        <color rgb="FF374151"/>
        <rFont val="Calibri"/>
        <family val="2"/>
        <scheme val="minor"/>
      </rPr>
      <t>×</t>
    </r>
    <r>
      <rPr>
        <sz val="12"/>
        <color theme="1"/>
        <rFont val="Calibri"/>
        <family val="2"/>
        <scheme val="minor"/>
      </rPr>
      <t>Length</t>
    </r>
    <r>
      <rPr>
        <sz val="12"/>
        <color rgb="FF374151"/>
        <rFont val="Calibri"/>
        <family val="2"/>
        <scheme val="minor"/>
      </rPr>
      <t>)</t>
    </r>
  </si>
  <si>
    <t>Exposure Level and Description</t>
  </si>
  <si>
    <t>Toys Per Room</t>
  </si>
  <si>
    <t>Lenth (m)</t>
  </si>
  <si>
    <t>Width (m)</t>
  </si>
  <si>
    <t>Height (m)</t>
  </si>
  <si>
    <t>Total Surface Area of Toys (m2)</t>
  </si>
  <si>
    <t>High Estimate: 30 toys per room, average size 30x25x15 cm</t>
  </si>
  <si>
    <t>Medium Estimate: 20 toys per room, average size 20x15x8 cm.</t>
  </si>
  <si>
    <t>Low Estimate: 5 toys per room, average size 15x10x5 cm.</t>
  </si>
  <si>
    <t>Estimating Surface Area of Shower Curtain</t>
  </si>
  <si>
    <t>Number of Sides</t>
  </si>
  <si>
    <r>
      <rPr>
        <u/>
        <sz val="11"/>
        <color theme="1"/>
        <rFont val="Calibri"/>
        <family val="2"/>
        <scheme val="minor"/>
      </rPr>
      <t>High, Medium, and Low</t>
    </r>
    <r>
      <rPr>
        <sz val="11"/>
        <color theme="1"/>
        <rFont val="Calibri"/>
        <family val="2"/>
        <scheme val="minor"/>
      </rPr>
      <t xml:space="preserve">
Standard bathtub shower curtain, measuring 70 inches horizontel and 72 inches vertical.</t>
    </r>
  </si>
  <si>
    <t>Manufacturer Specs for a typical shower curtain</t>
  </si>
  <si>
    <t>https://www.bobrick.com/wp-content/uploads/204-2-3_td.pdf</t>
  </si>
  <si>
    <t>Estimating Surface Area of Solid Flooring</t>
  </si>
  <si>
    <t>Volume (m3)</t>
  </si>
  <si>
    <t>8 ft Ceiling Height (m)</t>
  </si>
  <si>
    <t>Surface Area of Floor (m2)</t>
  </si>
  <si>
    <r>
      <rPr>
        <u/>
        <sz val="11"/>
        <color theme="1"/>
        <rFont val="Calibri"/>
        <family val="2"/>
        <scheme val="minor"/>
      </rPr>
      <t>High, Medium, and Low</t>
    </r>
    <r>
      <rPr>
        <sz val="11"/>
        <color theme="1"/>
        <rFont val="Calibri"/>
        <family val="2"/>
        <scheme val="minor"/>
      </rPr>
      <t xml:space="preserve">
Based on floor area associated with a  492 m3 volume house with 8 ft ceilings.</t>
    </r>
  </si>
  <si>
    <t>CEM default of house volume</t>
  </si>
  <si>
    <t>Estimating Surface Area of Leather Furniture</t>
  </si>
  <si>
    <r>
      <t>SA</t>
    </r>
    <r>
      <rPr>
        <sz val="10"/>
        <color rgb="FF374151"/>
        <rFont val="Times New Roman"/>
        <family val="1"/>
      </rPr>
      <t>=2×(</t>
    </r>
    <r>
      <rPr>
        <i/>
        <sz val="10"/>
        <color rgb="FF374151"/>
        <rFont val="KaTeX_Math"/>
      </rPr>
      <t>L</t>
    </r>
    <r>
      <rPr>
        <sz val="7.7"/>
        <color rgb="FF374151"/>
        <rFont val="Times New Roman"/>
        <family val="1"/>
      </rPr>
      <t>couch</t>
    </r>
    <r>
      <rPr>
        <sz val="1"/>
        <color rgb="FF374151"/>
        <rFont val="Times New Roman"/>
        <family val="1"/>
      </rPr>
      <t>​</t>
    </r>
    <r>
      <rPr>
        <sz val="10"/>
        <color rgb="FF374151"/>
        <rFont val="Times New Roman"/>
        <family val="1"/>
      </rPr>
      <t>×</t>
    </r>
    <r>
      <rPr>
        <i/>
        <sz val="10"/>
        <color rgb="FF374151"/>
        <rFont val="KaTeX_Math"/>
      </rPr>
      <t>D</t>
    </r>
    <r>
      <rPr>
        <sz val="7.7"/>
        <color rgb="FF374151"/>
        <rFont val="Times New Roman"/>
        <family val="1"/>
      </rPr>
      <t>couch</t>
    </r>
    <r>
      <rPr>
        <sz val="1"/>
        <color rgb="FF374151"/>
        <rFont val="Times New Roman"/>
        <family val="1"/>
      </rPr>
      <t>​</t>
    </r>
    <r>
      <rPr>
        <sz val="10"/>
        <color rgb="FF374151"/>
        <rFont val="Times New Roman"/>
        <family val="1"/>
      </rPr>
      <t>+</t>
    </r>
    <r>
      <rPr>
        <i/>
        <sz val="10"/>
        <color rgb="FF374151"/>
        <rFont val="KaTeX_Math"/>
      </rPr>
      <t>L</t>
    </r>
    <r>
      <rPr>
        <sz val="7.7"/>
        <color rgb="FF374151"/>
        <rFont val="Times New Roman"/>
        <family val="1"/>
      </rPr>
      <t>couch</t>
    </r>
    <r>
      <rPr>
        <sz val="1"/>
        <color rgb="FF374151"/>
        <rFont val="Times New Roman"/>
        <family val="1"/>
      </rPr>
      <t>​</t>
    </r>
    <r>
      <rPr>
        <sz val="10"/>
        <color rgb="FF374151"/>
        <rFont val="Times New Roman"/>
        <family val="1"/>
      </rPr>
      <t>×</t>
    </r>
    <r>
      <rPr>
        <i/>
        <sz val="10"/>
        <color rgb="FF374151"/>
        <rFont val="KaTeX_Math"/>
      </rPr>
      <t>H</t>
    </r>
    <r>
      <rPr>
        <sz val="7.7"/>
        <color rgb="FF374151"/>
        <rFont val="Times New Roman"/>
        <family val="1"/>
      </rPr>
      <t>couch</t>
    </r>
    <r>
      <rPr>
        <sz val="1"/>
        <color rgb="FF374151"/>
        <rFont val="Times New Roman"/>
        <family val="1"/>
      </rPr>
      <t>​</t>
    </r>
    <r>
      <rPr>
        <sz val="10"/>
        <color rgb="FF374151"/>
        <rFont val="Times New Roman"/>
        <family val="1"/>
      </rPr>
      <t>+</t>
    </r>
    <r>
      <rPr>
        <i/>
        <sz val="10"/>
        <color rgb="FF374151"/>
        <rFont val="KaTeX_Math"/>
      </rPr>
      <t>D</t>
    </r>
    <r>
      <rPr>
        <sz val="7.7"/>
        <color rgb="FF374151"/>
        <rFont val="Times New Roman"/>
        <family val="1"/>
      </rPr>
      <t>couch</t>
    </r>
    <r>
      <rPr>
        <sz val="1"/>
        <color rgb="FF374151"/>
        <rFont val="Times New Roman"/>
        <family val="1"/>
      </rPr>
      <t>​</t>
    </r>
    <r>
      <rPr>
        <sz val="10"/>
        <color rgb="FF374151"/>
        <rFont val="Times New Roman"/>
        <family val="1"/>
      </rPr>
      <t>×</t>
    </r>
    <r>
      <rPr>
        <i/>
        <sz val="10"/>
        <color rgb="FF374151"/>
        <rFont val="KaTeX_Math"/>
      </rPr>
      <t>H</t>
    </r>
    <r>
      <rPr>
        <sz val="7.7"/>
        <color rgb="FF374151"/>
        <rFont val="Times New Roman"/>
        <family val="1"/>
      </rPr>
      <t>couch</t>
    </r>
    <r>
      <rPr>
        <sz val="1"/>
        <color rgb="FF374151"/>
        <rFont val="Times New Roman"/>
        <family val="1"/>
      </rPr>
      <t>​</t>
    </r>
    <r>
      <rPr>
        <sz val="10"/>
        <color rgb="FF374151"/>
        <rFont val="Times New Roman"/>
        <family val="1"/>
      </rPr>
      <t>)+2×(</t>
    </r>
    <r>
      <rPr>
        <i/>
        <sz val="10"/>
        <color rgb="FF374151"/>
        <rFont val="KaTeX_Math"/>
      </rPr>
      <t>L</t>
    </r>
    <r>
      <rPr>
        <sz val="7.7"/>
        <color rgb="FF374151"/>
        <rFont val="Times New Roman"/>
        <family val="1"/>
      </rPr>
      <t>loveseat</t>
    </r>
    <r>
      <rPr>
        <sz val="1"/>
        <color rgb="FF374151"/>
        <rFont val="Times New Roman"/>
        <family val="1"/>
      </rPr>
      <t>​</t>
    </r>
    <r>
      <rPr>
        <sz val="10"/>
        <color rgb="FF374151"/>
        <rFont val="Times New Roman"/>
        <family val="1"/>
      </rPr>
      <t>×</t>
    </r>
    <r>
      <rPr>
        <i/>
        <sz val="10"/>
        <color rgb="FF374151"/>
        <rFont val="KaTeX_Math"/>
      </rPr>
      <t>D</t>
    </r>
    <r>
      <rPr>
        <sz val="7.7"/>
        <color rgb="FF374151"/>
        <rFont val="Times New Roman"/>
        <family val="1"/>
      </rPr>
      <t>loveseat</t>
    </r>
    <r>
      <rPr>
        <sz val="1"/>
        <color rgb="FF374151"/>
        <rFont val="Times New Roman"/>
        <family val="1"/>
      </rPr>
      <t>​</t>
    </r>
    <r>
      <rPr>
        <sz val="10"/>
        <color rgb="FF374151"/>
        <rFont val="Times New Roman"/>
        <family val="1"/>
      </rPr>
      <t>+</t>
    </r>
    <r>
      <rPr>
        <i/>
        <sz val="10"/>
        <color rgb="FF374151"/>
        <rFont val="KaTeX_Math"/>
      </rPr>
      <t>L</t>
    </r>
    <r>
      <rPr>
        <sz val="7.7"/>
        <color rgb="FF374151"/>
        <rFont val="Times New Roman"/>
        <family val="1"/>
      </rPr>
      <t>loveseat</t>
    </r>
    <r>
      <rPr>
        <sz val="1"/>
        <color rgb="FF374151"/>
        <rFont val="Times New Roman"/>
        <family val="1"/>
      </rPr>
      <t>​</t>
    </r>
    <r>
      <rPr>
        <sz val="10"/>
        <color rgb="FF374151"/>
        <rFont val="Times New Roman"/>
        <family val="1"/>
      </rPr>
      <t>×</t>
    </r>
    <r>
      <rPr>
        <i/>
        <sz val="10"/>
        <color rgb="FF374151"/>
        <rFont val="KaTeX_Math"/>
      </rPr>
      <t>H</t>
    </r>
    <r>
      <rPr>
        <sz val="7.7"/>
        <color rgb="FF374151"/>
        <rFont val="Times New Roman"/>
        <family val="1"/>
      </rPr>
      <t>loveseat</t>
    </r>
    <r>
      <rPr>
        <sz val="1"/>
        <color rgb="FF374151"/>
        <rFont val="Times New Roman"/>
        <family val="1"/>
      </rPr>
      <t>​</t>
    </r>
    <r>
      <rPr>
        <sz val="10"/>
        <color rgb="FF374151"/>
        <rFont val="Times New Roman"/>
        <family val="1"/>
      </rPr>
      <t>+</t>
    </r>
    <r>
      <rPr>
        <i/>
        <sz val="10"/>
        <color rgb="FF374151"/>
        <rFont val="KaTeX_Math"/>
      </rPr>
      <t>D</t>
    </r>
    <r>
      <rPr>
        <sz val="7.7"/>
        <color rgb="FF374151"/>
        <rFont val="Times New Roman"/>
        <family val="1"/>
      </rPr>
      <t>loveseat</t>
    </r>
    <r>
      <rPr>
        <sz val="1"/>
        <color rgb="FF374151"/>
        <rFont val="Times New Roman"/>
        <family val="1"/>
      </rPr>
      <t>​</t>
    </r>
    <r>
      <rPr>
        <sz val="10"/>
        <color rgb="FF374151"/>
        <rFont val="Times New Roman"/>
        <family val="1"/>
      </rPr>
      <t>×</t>
    </r>
    <r>
      <rPr>
        <i/>
        <sz val="10"/>
        <color rgb="FF374151"/>
        <rFont val="KaTeX_Math"/>
      </rPr>
      <t>H</t>
    </r>
    <r>
      <rPr>
        <sz val="7.7"/>
        <color rgb="FF374151"/>
        <rFont val="Times New Roman"/>
        <family val="1"/>
      </rPr>
      <t>loveseat</t>
    </r>
    <r>
      <rPr>
        <sz val="1"/>
        <color rgb="FF374151"/>
        <rFont val="Times New Roman"/>
        <family val="1"/>
      </rPr>
      <t>​</t>
    </r>
    <r>
      <rPr>
        <sz val="10"/>
        <color rgb="FF374151"/>
        <rFont val="Times New Roman"/>
        <family val="1"/>
      </rPr>
      <t>)</t>
    </r>
  </si>
  <si>
    <t>Item</t>
  </si>
  <si>
    <t>Lenth (in)</t>
  </si>
  <si>
    <t>Depth (in)</t>
  </si>
  <si>
    <t>Height (in)</t>
  </si>
  <si>
    <t>Surface Area (in2)</t>
  </si>
  <si>
    <t>Total Surface Area (m2)</t>
  </si>
  <si>
    <r>
      <t xml:space="preserve">High
</t>
    </r>
    <r>
      <rPr>
        <sz val="11"/>
        <color theme="1"/>
        <rFont val="Calibri"/>
        <family val="2"/>
        <scheme val="minor"/>
      </rPr>
      <t>A large couch measuring 100”x 42”x 35” and a large loveseat measuring 72"x 42" x 35"</t>
    </r>
  </si>
  <si>
    <t>Couch</t>
  </si>
  <si>
    <t>Loveseat</t>
  </si>
  <si>
    <r>
      <t xml:space="preserve">Medium
</t>
    </r>
    <r>
      <rPr>
        <sz val="11"/>
        <color theme="1"/>
        <rFont val="Calibri"/>
        <family val="2"/>
        <scheme val="minor"/>
      </rPr>
      <t>A medium couch measuring 80”x 36”x 30” and a medium loveseat measuring 60"x 36" x 30"</t>
    </r>
  </si>
  <si>
    <r>
      <t xml:space="preserve">Low
</t>
    </r>
    <r>
      <rPr>
        <sz val="11"/>
        <color theme="1"/>
        <rFont val="Calibri"/>
        <family val="2"/>
        <scheme val="minor"/>
      </rPr>
      <t>A small couch measuring 60”x 30”x 25” and a small loveseat measuring 48"x 30" x 25"</t>
    </r>
  </si>
  <si>
    <t>Estimating Surface Area of Wire Insulation</t>
  </si>
  <si>
    <t># of residents</t>
  </si>
  <si>
    <t xml:space="preserve">Home Appliance Cords </t>
  </si>
  <si>
    <t>Television, Lamps, and  Other Electrical Devices per home</t>
  </si>
  <si>
    <t>Internet Cords per home</t>
  </si>
  <si>
    <t>Charging Cables/person</t>
  </si>
  <si>
    <t>Misc. Cords/person</t>
  </si>
  <si>
    <t>Total Cord Number in Home</t>
  </si>
  <si>
    <t>Cord Length (m)</t>
  </si>
  <si>
    <t>Cord Diameter (mm)</t>
  </si>
  <si>
    <t>Cord Circumference (m)</t>
  </si>
  <si>
    <t>Length of Cord in Home (m)</t>
  </si>
  <si>
    <t>Surface area of Cord in Home (m)</t>
  </si>
  <si>
    <t>Number of cords based on professional judgement for number of appliance, television, internet, and charging cords.</t>
  </si>
  <si>
    <t>A Survey on Ownership of Home Appliances and Electric Energy Consumption Status According to the Number of Household Member | Scientific.Net</t>
  </si>
  <si>
    <t>Dermal Calculations for Consumer Scenarios</t>
  </si>
  <si>
    <t>Product/Article Name</t>
  </si>
  <si>
    <t>Figure Label</t>
  </si>
  <si>
    <t>User(s)
[A  zero indicates that the population was not assessed for dermal exposure]</t>
  </si>
  <si>
    <t xml:space="preserve">Input Parameters </t>
  </si>
  <si>
    <t xml:space="preserve"> Dose per event mg/kg bw</t>
  </si>
  <si>
    <t>Chronic  Dose  mg/kg bw year</t>
  </si>
  <si>
    <t xml:space="preserve"> Acute Dose mg/kg bw day</t>
  </si>
  <si>
    <t>Chronic  Dose  ug/kg bw day - By Individual Age Group</t>
  </si>
  <si>
    <t xml:space="preserve"> Acute Dose ug/kg bw day - By Individual Age Group</t>
  </si>
  <si>
    <t>Chronic  Dose  ug/kg bw day - By Grouping</t>
  </si>
  <si>
    <t xml:space="preserve"> Acute Dose ug/kg bw day - By Grouping</t>
  </si>
  <si>
    <t>Adult</t>
  </si>
  <si>
    <t>Youth</t>
  </si>
  <si>
    <t>Child</t>
  </si>
  <si>
    <t>Event time (Min)</t>
  </si>
  <si>
    <t>Frequency (chronic)</t>
  </si>
  <si>
    <t>Frequency (acute)</t>
  </si>
  <si>
    <r>
      <t>Flux (mg/cm</t>
    </r>
    <r>
      <rPr>
        <b/>
        <vertAlign val="superscript"/>
        <sz val="11"/>
        <color theme="1"/>
        <rFont val="Calibri"/>
        <family val="2"/>
        <scheme val="minor"/>
      </rPr>
      <t>2</t>
    </r>
    <r>
      <rPr>
        <b/>
        <sz val="11"/>
        <color theme="1"/>
        <rFont val="Calibri"/>
        <family val="2"/>
        <scheme val="minor"/>
      </rPr>
      <t>/hour)</t>
    </r>
  </si>
  <si>
    <r>
      <t>DA (mg/cm</t>
    </r>
    <r>
      <rPr>
        <b/>
        <vertAlign val="superscript"/>
        <sz val="11"/>
        <color theme="1"/>
        <rFont val="Calibri"/>
        <family val="2"/>
        <scheme val="minor"/>
      </rPr>
      <t>2</t>
    </r>
    <r>
      <rPr>
        <b/>
        <sz val="11"/>
        <color theme="1"/>
        <rFont val="Calibri"/>
        <family val="2"/>
        <scheme val="minor"/>
      </rPr>
      <t>)</t>
    </r>
  </si>
  <si>
    <t>Contact Area</t>
  </si>
  <si>
    <t xml:space="preserve">ADULTS &gt;21
</t>
  </si>
  <si>
    <t xml:space="preserve">YOUTHS (16-20)
</t>
  </si>
  <si>
    <t xml:space="preserve">YOUTHS (11 to &lt;15)
</t>
  </si>
  <si>
    <t xml:space="preserve">CHILDREN (6-&lt;10)
</t>
  </si>
  <si>
    <t xml:space="preserve">SMALL CHILDREN (3-&lt;6)
</t>
  </si>
  <si>
    <t xml:space="preserve">INFANTS (1-&lt;3)
</t>
  </si>
  <si>
    <t xml:space="preserve">INFANTS (&lt; 1)
</t>
  </si>
  <si>
    <t>ADULTS &gt;21</t>
  </si>
  <si>
    <t>YOUTHS (11-20)</t>
  </si>
  <si>
    <t>CHILDREN (1-10)</t>
  </si>
  <si>
    <t>50% of Entire Body Surface Area</t>
  </si>
  <si>
    <t>10% of Hands (some fingers)</t>
  </si>
  <si>
    <t>Inside of two hands (palms, fingers)</t>
  </si>
  <si>
    <t>25% of Face, Hands, and Arms</t>
  </si>
  <si>
    <t>Inside of one hand (palms, fingers)</t>
  </si>
  <si>
    <t>Both Hands (entire surface area)</t>
  </si>
  <si>
    <t>LOOKUP TABLES AND SUPPLEMENTARY CALCULATIONS</t>
  </si>
  <si>
    <t>Surface Area/BW ratios</t>
  </si>
  <si>
    <t>Population</t>
  </si>
  <si>
    <t>Entire Body</t>
  </si>
  <si>
    <t>Flux from liquid products</t>
  </si>
  <si>
    <t>Event Dose from solid articles products</t>
  </si>
  <si>
    <t>Flux Equation</t>
  </si>
  <si>
    <t>Flux Value</t>
  </si>
  <si>
    <r>
      <rPr>
        <b/>
        <sz val="11"/>
        <color rgb="FF000000"/>
        <rFont val="Calibri"/>
        <family val="2"/>
      </rPr>
      <t>Flux</t>
    </r>
    <r>
      <rPr>
        <sz val="11"/>
        <color rgb="FF000000"/>
        <rFont val="Calibri"/>
        <family val="2"/>
      </rPr>
      <t xml:space="preserve"> = (51%) x (8mg/cm2) / (7days x 24hrs/day) = 2.43E-02 mg/cm2/hr </t>
    </r>
  </si>
  <si>
    <t>Kp (cm/hr)</t>
  </si>
  <si>
    <r>
      <t>T</t>
    </r>
    <r>
      <rPr>
        <b/>
        <vertAlign val="subscript"/>
        <sz val="11"/>
        <color theme="1"/>
        <rFont val="Calibri"/>
        <family val="2"/>
        <scheme val="minor"/>
      </rPr>
      <t xml:space="preserve">event </t>
    </r>
    <r>
      <rPr>
        <b/>
        <sz val="11"/>
        <color theme="1"/>
        <rFont val="Calibri"/>
        <family val="2"/>
        <scheme val="minor"/>
      </rPr>
      <t>(hr)</t>
    </r>
  </si>
  <si>
    <t>FA</t>
  </si>
  <si>
    <r>
      <t>Solibility in water (mg/cm</t>
    </r>
    <r>
      <rPr>
        <b/>
        <vertAlign val="superscript"/>
        <sz val="11"/>
        <color theme="1"/>
        <rFont val="Calibri"/>
        <family val="2"/>
        <scheme val="minor"/>
      </rPr>
      <t>3</t>
    </r>
    <r>
      <rPr>
        <b/>
        <sz val="11"/>
        <color theme="1"/>
        <rFont val="Calibri"/>
        <family val="2"/>
        <scheme val="minor"/>
      </rPr>
      <t>)</t>
    </r>
  </si>
  <si>
    <t>2*FA*Kp*Cw</t>
  </si>
  <si>
    <t>Key Parameters Used in Dermal Models</t>
  </si>
  <si>
    <t>Duration of Contact (min)</t>
  </si>
  <si>
    <t>Frequency of Contact (year-1)</t>
  </si>
  <si>
    <t>Frequency of Contact (day-1)</t>
  </si>
  <si>
    <t>Dermal Absorption or Flux (mg/cm2/hour)</t>
  </si>
  <si>
    <t>Gas phase diffusion</t>
  </si>
  <si>
    <t>cm2/second</t>
  </si>
  <si>
    <t>mg/cm2-hour</t>
  </si>
  <si>
    <r>
      <t>ug/m</t>
    </r>
    <r>
      <rPr>
        <vertAlign val="superscript"/>
        <sz val="11"/>
        <color theme="1"/>
        <rFont val="Calibri"/>
        <family val="2"/>
        <scheme val="minor"/>
      </rPr>
      <t>2</t>
    </r>
    <r>
      <rPr>
        <sz val="11"/>
        <color theme="1"/>
        <rFont val="Calibri"/>
        <family val="2"/>
        <scheme val="minor"/>
      </rPr>
      <t>-day</t>
    </r>
  </si>
  <si>
    <t>Flux Rate Air Beds</t>
  </si>
  <si>
    <t>DIBP Concentrations in Air and Tire Crumb</t>
  </si>
  <si>
    <t xml:space="preserve">BBP concentration in air. Table 4-33, EPA Tire Crumb Exposure Characterization Report. </t>
  </si>
  <si>
    <t xml:space="preserve">DIBP Concentration in tire particles (mg/kg). Table 2-5 EPA Tire Crumb Characterization Report. </t>
  </si>
  <si>
    <t>Semivolatile Organic Compound (SVOC)</t>
  </si>
  <si>
    <t>&gt; Minimum Quantifiable Limit (%)</t>
  </si>
  <si>
    <t>Background Air Sample Median (ng/m3 )</t>
  </si>
  <si>
    <t>Field Air Sample Location 1 Median (ng/m3 )</t>
  </si>
  <si>
    <t>Field Air Sample Location 2 Median (ng/m3 )</t>
  </si>
  <si>
    <t>Field Air Sample Max (ng/m3 )</t>
  </si>
  <si>
    <t>min</t>
  </si>
  <si>
    <t>mid</t>
  </si>
  <si>
    <t>max</t>
  </si>
  <si>
    <t>Benzylbutyl Phthalate</t>
  </si>
  <si>
    <t>Inhalation Rates</t>
  </si>
  <si>
    <t>High Intensity Ventilation Rates from Exposure Factors Handbook</t>
  </si>
  <si>
    <t>CEM Age groups Relevant to sporting event</t>
  </si>
  <si>
    <t>Small child (3-5)</t>
  </si>
  <si>
    <t>Child (6-10)</t>
  </si>
  <si>
    <t>Youth (11-15)</t>
  </si>
  <si>
    <t>Youth (16-20)</t>
  </si>
  <si>
    <t xml:space="preserve">Adult </t>
  </si>
  <si>
    <r>
      <t>mean rate (m</t>
    </r>
    <r>
      <rPr>
        <vertAlign val="superscript"/>
        <sz val="11"/>
        <color theme="1"/>
        <rFont val="Calibri"/>
        <family val="2"/>
        <scheme val="minor"/>
      </rPr>
      <t>3</t>
    </r>
    <r>
      <rPr>
        <sz val="11"/>
        <color theme="1"/>
        <rFont val="Calibri"/>
        <family val="2"/>
        <scheme val="minor"/>
      </rPr>
      <t>/min)</t>
    </r>
  </si>
  <si>
    <r>
      <t>mean rate (m</t>
    </r>
    <r>
      <rPr>
        <vertAlign val="superscript"/>
        <sz val="11"/>
        <color theme="1"/>
        <rFont val="Calibri"/>
        <family val="2"/>
        <scheme val="minor"/>
      </rPr>
      <t>3</t>
    </r>
    <r>
      <rPr>
        <sz val="11"/>
        <color theme="1"/>
        <rFont val="Calibri"/>
        <family val="2"/>
        <scheme val="minor"/>
      </rPr>
      <t>/hour)</t>
    </r>
  </si>
  <si>
    <t>Inputs for Duration and Frequency of Exposure</t>
  </si>
  <si>
    <t>EPA Tire Crumb Exposure Characterization Table 5-7. Exposure Parameters for Extant Data</t>
  </si>
  <si>
    <t>Exposure Time(hrs/event)</t>
  </si>
  <si>
    <r>
      <t>Exposure Frequency (year</t>
    </r>
    <r>
      <rPr>
        <vertAlign val="superscript"/>
        <sz val="11"/>
        <color theme="1"/>
        <rFont val="Calibri"/>
        <family val="2"/>
        <scheme val="minor"/>
      </rPr>
      <t>-1</t>
    </r>
    <r>
      <rPr>
        <sz val="11"/>
        <color theme="1"/>
        <rFont val="Calibri"/>
        <family val="2"/>
        <scheme val="minor"/>
      </rPr>
      <t>)</t>
    </r>
  </si>
  <si>
    <r>
      <t>Exposure Frequency (day</t>
    </r>
    <r>
      <rPr>
        <vertAlign val="superscript"/>
        <sz val="11"/>
        <color theme="1"/>
        <rFont val="Calibri"/>
        <family val="2"/>
        <scheme val="minor"/>
      </rPr>
      <t>-1</t>
    </r>
    <r>
      <rPr>
        <sz val="11"/>
        <color theme="1"/>
        <rFont val="Calibri"/>
        <family val="2"/>
        <scheme val="minor"/>
      </rPr>
      <t>)</t>
    </r>
  </si>
  <si>
    <t>Absorption Fraction</t>
  </si>
  <si>
    <t>Route</t>
  </si>
  <si>
    <t>Body Weight Lookup Table (From EFH Table 8-1)</t>
  </si>
  <si>
    <t>Mean Body Weight (Kg)</t>
  </si>
  <si>
    <t>Infant1</t>
  </si>
  <si>
    <t>Infant2</t>
  </si>
  <si>
    <t>Child1</t>
  </si>
  <si>
    <t>Child2</t>
  </si>
  <si>
    <t>Youth1</t>
  </si>
  <si>
    <t>Youth2</t>
  </si>
  <si>
    <t>Soil and Dust Ingestion Rates (From EFH Table 5-1)</t>
  </si>
  <si>
    <t>mg/day</t>
  </si>
  <si>
    <t>g/day</t>
  </si>
  <si>
    <t>Solids Adherance on Skin</t>
  </si>
  <si>
    <t>Field Measurement of Dermal Soil Loading Attributable to Various Activities: Implications for Exposure Assessment</t>
  </si>
  <si>
    <t>Adult female soccer players were monitored on two occasions involving 90-min games. All players wore shorts, shin guards, high socks, and short-sleeves. Three of 16 knees were covered by braces or guards. The games were conducted on all-weather fields composed in part of sand and ground tires.</t>
  </si>
  <si>
    <t>Kissel et al 1996</t>
  </si>
  <si>
    <t>Values Reported for soccer games played on tire fields</t>
  </si>
  <si>
    <t xml:space="preserve"> Dermal Solids Loading (mg/cm2)</t>
  </si>
  <si>
    <t>Hands</t>
  </si>
  <si>
    <t>Arms</t>
  </si>
  <si>
    <t>Legs</t>
  </si>
  <si>
    <t>Faces</t>
  </si>
  <si>
    <t>95% CI upper</t>
  </si>
  <si>
    <t>Soccer 2</t>
  </si>
  <si>
    <t>Geo Mean</t>
  </si>
  <si>
    <t>95% CI lower</t>
  </si>
  <si>
    <t>Soccer 3</t>
  </si>
  <si>
    <t>Surface Area Normalized Adherence Factors</t>
  </si>
  <si>
    <t>Selected Values</t>
  </si>
  <si>
    <t>avg</t>
  </si>
  <si>
    <t>SurfaceArea of Exposure</t>
  </si>
  <si>
    <t>Body part percentages were assumed to be 100% of the face, 72.5% of the arms, 40% of the legs (to account for socks and short pants), and 100% of the hands.</t>
  </si>
  <si>
    <r>
      <t>Surface area of body parts by age (m</t>
    </r>
    <r>
      <rPr>
        <vertAlign val="superscript"/>
        <sz val="11"/>
        <color theme="1"/>
        <rFont val="Calibri"/>
        <family val="2"/>
        <scheme val="minor"/>
      </rPr>
      <t>2</t>
    </r>
    <r>
      <rPr>
        <sz val="11"/>
        <color theme="1"/>
        <rFont val="Calibri"/>
        <family val="2"/>
        <scheme val="minor"/>
      </rPr>
      <t>)</t>
    </r>
  </si>
  <si>
    <t>face</t>
  </si>
  <si>
    <t>Exposed area of body parts (m2)</t>
  </si>
  <si>
    <t xml:space="preserve">Total </t>
  </si>
  <si>
    <r>
      <t>Total (cm</t>
    </r>
    <r>
      <rPr>
        <vertAlign val="superscript"/>
        <sz val="11"/>
        <color theme="1"/>
        <rFont val="Calibri"/>
        <family val="2"/>
        <scheme val="minor"/>
      </rPr>
      <t>2</t>
    </r>
    <r>
      <rPr>
        <sz val="11"/>
        <color theme="1"/>
        <rFont val="Calibri"/>
        <family val="2"/>
        <scheme val="minor"/>
      </rPr>
      <t>)</t>
    </r>
  </si>
  <si>
    <t>Dose Calculations</t>
  </si>
  <si>
    <t>Dose per Exposure Event mg/kg bw-event</t>
  </si>
  <si>
    <t>ADR (mg/kg bw-day)</t>
  </si>
  <si>
    <t>CADD (mg/kg bw-day)</t>
  </si>
  <si>
    <t>Manufacturer</t>
  </si>
  <si>
    <t>Include?</t>
  </si>
  <si>
    <t>Use Environment</t>
  </si>
  <si>
    <t xml:space="preserve">Vendor </t>
  </si>
  <si>
    <t>Detailed Use Description</t>
  </si>
  <si>
    <t>Additional Notes</t>
  </si>
  <si>
    <t>Adhesives and Sealants</t>
  </si>
  <si>
    <t>Accelerator</t>
  </si>
  <si>
    <t>Unknown</t>
  </si>
  <si>
    <t>Lord Accelerator 17</t>
  </si>
  <si>
    <t>Lord Corporation</t>
  </si>
  <si>
    <t>&lt;25%, by weight</t>
  </si>
  <si>
    <t>No</t>
  </si>
  <si>
    <t>Plastic Pail</t>
  </si>
  <si>
    <t>Indoor/Outdoor</t>
  </si>
  <si>
    <t>For industrial/commercial use only. Must be applied by 
trained personnel only. Not to be used in household 
applications. Not for consumer use. LORD® Accelerator 17 is a mix-in curative designed for use with LORD acrylic adhesives. LORD Accelerator 17, when mixed with LORD 200, 400, 500 or 600 series acrylic adhesives, creates an adhesive system that will bond a variety of prepared or unprepared metals and plastics.</t>
  </si>
  <si>
    <t xml:space="preserve">Company now called "Parker". </t>
  </si>
  <si>
    <t>could maybe purchase, but structural adhesive. Exclude https://www.ellsworth.com/products/by-manufacturer/parker-lord/surface-preparation-materials/accelerator/parker-lord-accelerator-17-0.5-pt-bottle/</t>
  </si>
  <si>
    <t>Accelerator (chemical grout)</t>
  </si>
  <si>
    <t>Commercial</t>
  </si>
  <si>
    <t>Flexible Accelerator</t>
  </si>
  <si>
    <t>Multiurethanes Ltd.</t>
  </si>
  <si>
    <t>≥50 - ≤75%, by weight</t>
  </si>
  <si>
    <t>Liquid (poured)</t>
  </si>
  <si>
    <t>Plastic Jug</t>
  </si>
  <si>
    <t>Outdoor</t>
  </si>
  <si>
    <t>Industrial use only. MME FLEXIBLE RESIN is a low-viscosity polyurethane resin designed for single-component injection. It penetrates fine cracks and reacts with water to form a flexible hydrophobic foam barrier that stops flowing leaks and seepages. It is suitable for use near potable water. Once cured, the hydrophobic seal repels water, will not shrink or expand, and serves as a long-term solution to water infiltration in concrete structures.</t>
  </si>
  <si>
    <t>not easily accessible</t>
  </si>
  <si>
    <t>Universal Accelerator</t>
  </si>
  <si>
    <t>Industrial use only. MME UNIVERSAL RESIN is a low-viscosity polyurethane resin designed for single-component injection. It penetrates fine cracks in rock and concrete,  and reacts with water to form a semi-rigid hydrophobic foam barrier. Once cured, the hydrophobic seal repels water, will not shrink or expand, and serves as a long-term solution to water infiltration.</t>
  </si>
  <si>
    <t>Adhesive</t>
  </si>
  <si>
    <t>Consumer</t>
  </si>
  <si>
    <t>Blue Label Washable PVA Adhesive</t>
  </si>
  <si>
    <t>Colorlord Ltd.</t>
  </si>
  <si>
    <t>Yes</t>
  </si>
  <si>
    <t>Amazon</t>
  </si>
  <si>
    <t>As a washable adhesive for art &amp; craft.</t>
  </si>
  <si>
    <t>Manufacturer site not available, product SDS still found. Elmers similar product available for purchase (but doesn’t seem to have DIBP)</t>
  </si>
  <si>
    <t>15-40%, by weight</t>
  </si>
  <si>
    <t>7.75-8.75</t>
  </si>
  <si>
    <t>250mL Cartridge</t>
  </si>
  <si>
    <t>Ideal for fabricating countertops, bathroom vanities, wall panels, and other surfaces, C19 produces tough, virtually invisible bonds on a variety of surfacing materials including cast polymers, acrylics, polyester blends, engineered quartz, and natural stone. Available in multitude colors, C19 Seaming Adhesives coordinate with all major domestic and international brands of surfacing; both acrylic and polyester. They can also be custom tinted. Depending on the color, they cure to either an opaque or translucent finish. Supplied in convenient cartridges, C19 is mixed in a 10:1 ratio with static nozzles that eliminate premixing, pot-life concerns, cleanup, and waste. Adhesives are UV-stable, Greenguard certified and all ingredients are European EINECS-compliant. They are 100% reactive and contain no solvents.</t>
  </si>
  <si>
    <t>Mondo PU-105 - Part A</t>
  </si>
  <si>
    <t>MAPEI</t>
  </si>
  <si>
    <t>1-5%, unspecified</t>
  </si>
  <si>
    <t>Paste (putty knife or hand application)</t>
  </si>
  <si>
    <t>Unclear</t>
  </si>
  <si>
    <t>Kiefer U.S.A.</t>
  </si>
  <si>
    <t>Industrial use only. Adhesive.</t>
  </si>
  <si>
    <t>Product not found on manufacturer site. SDS found though company "Kiefer U.S.A.", but product not found on that site either.</t>
  </si>
  <si>
    <t>STA'-PUT 2-Component Solid Surfacing Adhesive (10:1 Ratio) - All Colors</t>
  </si>
  <si>
    <t>ITW TACC</t>
  </si>
  <si>
    <t>25-50%, by weight</t>
  </si>
  <si>
    <t>Manufacturer is "permanently closed". Discontinued due to COVID</t>
  </si>
  <si>
    <t>Wilsonart® 8215 Adhesive and Activator - SK200</t>
  </si>
  <si>
    <t>Wilsonart LLC</t>
  </si>
  <si>
    <t>30-60%, by weight</t>
  </si>
  <si>
    <t>Not easily accessible</t>
  </si>
  <si>
    <t>Product not found on manufacturer site. SDS posted on EPA HERO site (https://hero.epa.gov/hero/index.cfm/reference/details/reference_id/6302669) but the link is broken.</t>
  </si>
  <si>
    <t>exclude</t>
  </si>
  <si>
    <t>Wilsonart® Hard Surface Adhesive</t>
  </si>
  <si>
    <t>0.92-1.05</t>
  </si>
  <si>
    <t>Seam adhesive for solid surfacing, engineered stone, and natural stone. Discontinued; used to be professional/industrial use only</t>
  </si>
  <si>
    <t>Product not found on manufacturer site, but SDS sheet is.</t>
  </si>
  <si>
    <t>exclude, no vendor for consumer purchase</t>
  </si>
  <si>
    <t>Adhesive (activator)</t>
  </si>
  <si>
    <t>Clear Welder Activator</t>
  </si>
  <si>
    <t>ITW</t>
  </si>
  <si>
    <t>30 – 40%, by weight</t>
  </si>
  <si>
    <t>Industrial use only. Two-part methacrylate adhesive designed for solid surface seaming and assembly. Plexus MA685 is highly translucent and clear, UV stable and non-yellowing.</t>
  </si>
  <si>
    <t>Manufacturer is "permanently closed".</t>
  </si>
  <si>
    <t>CornerSealant Adhesive (TI-550 activator)</t>
  </si>
  <si>
    <t>Tower Industries</t>
  </si>
  <si>
    <t>10 – 30%, by weight</t>
  </si>
  <si>
    <t>Product not found for purchase on manufaturer site or elsewhere.</t>
  </si>
  <si>
    <t>Velstone Activator</t>
  </si>
  <si>
    <t>Velstone International Ltd.</t>
  </si>
  <si>
    <t xml:space="preserve">Industrial use only. Activator for Velstone Adhesives. </t>
  </si>
  <si>
    <t>Adhesive (structural; component)</t>
  </si>
  <si>
    <t>Commercial, Industrial</t>
  </si>
  <si>
    <t>SikaFast®-5211</t>
  </si>
  <si>
    <t>Sika Limited</t>
  </si>
  <si>
    <t>&lt;25%, unspecified</t>
  </si>
  <si>
    <t>Industrial use only. Chemical product for construction and industry.</t>
  </si>
  <si>
    <t>No US vendors</t>
  </si>
  <si>
    <t>SikaFast®-5215 Comp.B</t>
  </si>
  <si>
    <t>10 – 15%, unspecified</t>
  </si>
  <si>
    <t xml:space="preserve">Industrial use only. Sealant/adhesive. </t>
  </si>
  <si>
    <t>Ammunition</t>
  </si>
  <si>
    <t>Centerfire Pistol &amp; Revolver and Rifle Cartridges – All Calibers up to .500</t>
  </si>
  <si>
    <t>Companhia Brasileira de Cartuchos (CBC)</t>
  </si>
  <si>
    <t>0.1-0.6%, unspecified</t>
  </si>
  <si>
    <t>Centerfire Pistols, Revolvers and Rifle up to caliber .500</t>
  </si>
  <si>
    <t xml:space="preserve">Product is not sold in retail in U.S. </t>
  </si>
  <si>
    <t>Anchoring adhesive (initiator)</t>
  </si>
  <si>
    <t>AT (AT10, AT13, AT30, AT)</t>
  </si>
  <si>
    <t>20-30%, by weight</t>
  </si>
  <si>
    <t>9.4 oz. , Caulk gun</t>
  </si>
  <si>
    <t>Two Component High Strength Anchoring Adhesive</t>
  </si>
  <si>
    <t>Also available at Amazon, Home Depot, Lowes
 https://www.amazon.com/Simpson-Strong-TV205245-9-4Oz-Adhesive/dp/B00BQLS2IO
 https://www.lowes.com/pd/Simpson-Strong-Tie-AT-XP-174-9-4-oz-High-Strength-Acrylic-Anchoring-Adhesive-Cartridge-with-Nozzle/1002748844?msockid=1e25960b9b0c69bd2792842f9f0c6754</t>
  </si>
  <si>
    <t>include</t>
  </si>
  <si>
    <t>Art Board</t>
  </si>
  <si>
    <t>Ningbo Zhonghua Paper Co. Ltd.</t>
  </si>
  <si>
    <t>&lt;0.1%, unspecified</t>
  </si>
  <si>
    <t>Typical applications: desk calendar, tag and insert, bookcover, and flash cards.</t>
  </si>
  <si>
    <t>Product SDS not found, no US vendor for purchase</t>
  </si>
  <si>
    <t>Caulk</t>
  </si>
  <si>
    <t>CP310</t>
  </si>
  <si>
    <t>5 – 10%, unspecified</t>
  </si>
  <si>
    <t>10.5oz or 20oz cartridge, 2.5 or 5 gal pail</t>
  </si>
  <si>
    <t>Indoor</t>
  </si>
  <si>
    <t>Abesco Fire CP310 FR Acrylic Intumescent Caulk is designed to prevent the spread of fire from one compartment to another wherever services penetrate separating walls and floors, or wherever a gap remains between elements in fire rated walls or floors. Abesco Fire CP310 FR Acrylic Intumescent Caulk is a single part water based acrylic caulk, which provides a firm but flexible seal to joints in a variety of fire rated structures. It will not support combustion, and when exposed to fire it forms a carbonaceous char which expands to effectively seal any gaps, and prevents the spread of smoke and fire. Our Firestop CP310 FR Acrylic Intumescent Caulk is supplied in a range of packaging sizes.</t>
  </si>
  <si>
    <t>Paints and Coatings</t>
  </si>
  <si>
    <t>Coating</t>
  </si>
  <si>
    <t>IKO Polimar UV, Light Grey &amp; Mid Grey</t>
  </si>
  <si>
    <t>IKO PLC</t>
  </si>
  <si>
    <t>1-5%, by weight</t>
  </si>
  <si>
    <t>12.5L pail</t>
  </si>
  <si>
    <t>Industrial and professional use. IKO Polimar UV is an elastomeric, high build, single component, polyurethane UV stable top coat, which comprises a blend of moisture triggered polyurethane resins. Once applied, the cured membrane forms a seamless, durable waterproof barrier which provides excellent thermal and UV stability for all climate conditions. The Polimar UV system can be used in conjunction with Armourplan roofing membranes to simplify complex detailing. This is when and where forming them from detailing membrane may be too time consuming or technically difficult to waterproof.</t>
  </si>
  <si>
    <t>Says can be used by "craftsman".</t>
  </si>
  <si>
    <t>Coating (activator)</t>
  </si>
  <si>
    <t>Formica Solid Surfacing Activator</t>
  </si>
  <si>
    <t>ITW Plexus</t>
  </si>
  <si>
    <t>Coating (wood)</t>
  </si>
  <si>
    <t>BK-NitroEmajl</t>
  </si>
  <si>
    <t>Banja Komerc Bekament d.o.o.</t>
  </si>
  <si>
    <t>2 - &lt;5%, unspecified</t>
  </si>
  <si>
    <t>Professional use only. Universal coating for decoration and protection of metal and wooden surfaces in the interior and surfaces not directly exposed to atmospheric influences in the exterior.</t>
  </si>
  <si>
    <t>Curing agent</t>
  </si>
  <si>
    <t>Butanox LPT</t>
  </si>
  <si>
    <t>Akzo Nobel Polymer Chemicals</t>
  </si>
  <si>
    <t>60%, by weight</t>
  </si>
  <si>
    <t>Industrial use only. Butanox® LPT-IN is a methyl ethyl ketone peroxide (MEKP) for the curing of unsaturated polyester resins in the presence of a cobalt accelerator at room and elevated temperatures. Butanox® LPT-IN gives in comparison with most other ketone peroxides a significantly longer gel time and is therefore particularly suitable for those applications where a long gel time or production time is required, for instance in the production of large parts and in filament winding.Also in areas with high ambient temperatures Butanox® LPT-IN is of particular interest. Butanox® LPT-IN is especially recommended for the cure of vinyl ester resins. This MEKP formulation gives less "foaming" than standard MEKP's. Practical experience throughout many years has proven that by the guaranteed low water content and the absence of polar compounds, Butanox® LPT-IN is very suitable in GRP products for e.g. marine applications. The low hydrogen peroxide content of Butanox® LPT-IN makes this peroxide very suitable for the cure of those gelcoats, which tend to microporosity caused by the decomposition of the hydrogen peroxide.</t>
  </si>
  <si>
    <t>Manufacturer name changed to "Nouryon".</t>
  </si>
  <si>
    <t>Curing catalyst</t>
  </si>
  <si>
    <t>Industrial</t>
  </si>
  <si>
    <t>Akperox BP 15, 17, 20, 25, 50 Pastes</t>
  </si>
  <si>
    <t>Akpa Kimya Ambalaj Sanayi Ve Ticaret Anonim Şirketi</t>
  </si>
  <si>
    <t>Industrial use only.</t>
  </si>
  <si>
    <t>not easily accessible, no US vendor</t>
  </si>
  <si>
    <t>AKPEROX LPT</t>
  </si>
  <si>
    <t>60-80%, unspecified</t>
  </si>
  <si>
    <t>Industrial use only. AKPEROX LPT is a general purpose MEKP for curing unsaturated polyester resins at room and high temperatures.</t>
  </si>
  <si>
    <t>Curing/hardening agent</t>
  </si>
  <si>
    <t>MC-Ballastbond 80 - Komponente B</t>
  </si>
  <si>
    <t>MC-Bauchemie Müller GmbH &amp; Co. KG</t>
  </si>
  <si>
    <t>25 – 50%, unspecified</t>
  </si>
  <si>
    <t>Industrial use only. Polyurethane resin hardener.</t>
  </si>
  <si>
    <t>Perkadox® 40E</t>
  </si>
  <si>
    <t>Industrial use only. Perkadox® L-40 RPB is a pumpable, sprayable easy dispersing form of dibenzoyl peroxide for the curing of unsaturated polyester, vinylester and acrylic and acrylic modified resins at ambient and elevated temperatures. At cure-temperatures up to 80°C, Perkadox® L-40 RPB should be used in combination with an aromatic tertiary amine accelerator added seperately to the resin, above 80°C the use of an accelerator is not required. Perkadox® L-40 RPB can be pumped through internal and external mix FRP spray equipment and poured or metered by volume, Perkadox® L-40 RPB is easier to use and handle than conventional dibenzoyl peroxide pastes or dispersions.</t>
  </si>
  <si>
    <t>Dispersion glue</t>
  </si>
  <si>
    <t>Jowacoll 110.60</t>
  </si>
  <si>
    <t>2.5 - &lt;5%, unspecified</t>
  </si>
  <si>
    <t>1 Gallon (Case of 4), 5 Gallon Pail, Drum</t>
  </si>
  <si>
    <t>HotMelt</t>
  </si>
  <si>
    <t>Jowat Jowacoll 110.60 is a PVAc water based adhesive that is perfect for bonding wood when a fast set speed is needed. It offers a medium viscosity and forms a hard, tough glue line with exceptional durability and bond strength. </t>
  </si>
  <si>
    <t>Product not found on manufacturer site, but like products are. SDS says "Restricted to professional users", but it seems anyone can purchase on HotMelt.</t>
  </si>
  <si>
    <t>Electrical conductivity modifier</t>
  </si>
  <si>
    <t>TUBALL COMP_E polyester</t>
  </si>
  <si>
    <t>PHT</t>
  </si>
  <si>
    <t>≤0.49%, unspecified</t>
  </si>
  <si>
    <t>Commercial use only.</t>
  </si>
  <si>
    <t>Product not found.</t>
  </si>
  <si>
    <t>Filler</t>
  </si>
  <si>
    <t>Polyester Filler Hardener Paste</t>
  </si>
  <si>
    <t>Chemical Specialties Ltd.</t>
  </si>
  <si>
    <t>0-30%, unspecified</t>
  </si>
  <si>
    <t xml:space="preserve">Product not found on manufacturer site or US vendor. Like Product found under "U.S. Chemical &amp; Plastics" (https://www.autobodytoolmart.com/product/usc-cream-hardener/us-chemical?msclkid=e1f48b1271f715f07464ed4b8760683d&amp;utm_source=bing&amp;utm_medium=cpc&amp;utm_campaign=Pmax_All%20Products&amp;utm_term=2332888796473776&amp;utm_content=Main). </t>
  </si>
  <si>
    <t>Tradies Bog</t>
  </si>
  <si>
    <t>Selleys Australia, a division of DuluxGroup (Australia) Pty Ltd</t>
  </si>
  <si>
    <t>30-60%, unspecified</t>
  </si>
  <si>
    <t>&gt;1</t>
  </si>
  <si>
    <t>550g, 900g, or 2kg tin</t>
  </si>
  <si>
    <t>Selleys Tradie's Bog is a building filler that is easy to sand and provides fast repairs to timber and most common building materials.</t>
  </si>
  <si>
    <t xml:space="preserve">Does not appear to ship to US. </t>
  </si>
  <si>
    <t>Glitter board</t>
  </si>
  <si>
    <t>Glitter Boards</t>
  </si>
  <si>
    <t>DJECO</t>
  </si>
  <si>
    <t>Solid</t>
  </si>
  <si>
    <t>6x8in paper board</t>
  </si>
  <si>
    <t>A great gift for clever crafters ages 6+. “Paint” with sand and glitter; peel back the die cut paper on the picture board to expose the adhesive layer and pour on the vibrantly colored sand. With a paint-by-number feel, create the 4 beautiful peacocks with the 9 colors of sand and 2 types of sparkling glitter, each board is 6 x 8 inches. Develops fine motor skills, creativity, imagination, design, color composition, and storytelling; comes in a book-like box to keep everything together</t>
  </si>
  <si>
    <t>Grout</t>
  </si>
  <si>
    <t>Azo-Grout 443</t>
  </si>
  <si>
    <t>Azon USA Inc.</t>
  </si>
  <si>
    <t>&lt;30%, unspecified</t>
  </si>
  <si>
    <t>Commercial use only. Azo-Grout™ 443 hydrophobic polyurethane injection material is used to harden quicksand in building foundations (shoring excavations and perimeters of deep-dug holes) and to stabilize soil in river and lake embankments, helipads and sand traps for golf courses. Material should be a rigid foam once reacted as stated per the processing guidelines outlined by Azon, Kalamazoo, Michigan.</t>
  </si>
  <si>
    <t>Azo-Grout 447</t>
  </si>
  <si>
    <t>&lt;50%, unspecified</t>
  </si>
  <si>
    <t>Product not found on manufacturer site, may go by a different number or be discontinued.</t>
  </si>
  <si>
    <t>Azo-Grout 552</t>
  </si>
  <si>
    <t>Azo-Grout 553</t>
  </si>
  <si>
    <t>Universal Resin</t>
  </si>
  <si>
    <t>≥25 - ≤50%, by weight</t>
  </si>
  <si>
    <t>Commercial use only. MME UNIVERSAL RESIN is a low-viscosity polyurethane resin designed for single-component injection. It penetrates fine cracks in rock and concrete,  and reacts with water to form a semi-rigid hydrophobic foam barrier. Once cured, the hydrophobic seal repels water, will not shrink or expand, and serves as a long-term solution to water infiltration.</t>
  </si>
  <si>
    <t>Grout additive</t>
  </si>
  <si>
    <t>Azo-Cat™ 24</t>
  </si>
  <si>
    <t>&lt;60%, unspecified</t>
  </si>
  <si>
    <t xml:space="preserve">Commercial use only. Use as a catalyst with Azo-Grout 424. </t>
  </si>
  <si>
    <t>Commercial use only. not easily accessible</t>
  </si>
  <si>
    <t>Azo-Cat™ 48</t>
  </si>
  <si>
    <t>Laboratory chemical</t>
  </si>
  <si>
    <t>33227 / EPA Method 8061A Phthalate Esters Mixture</t>
  </si>
  <si>
    <t>Restek Corporation</t>
  </si>
  <si>
    <t>0.1%, unspecified</t>
  </si>
  <si>
    <t xml:space="preserve">Commercial use only. Laboratory standard. </t>
  </si>
  <si>
    <t>Commercial, industrial</t>
  </si>
  <si>
    <t>Custom 8061 Phthalates Mix</t>
  </si>
  <si>
    <t>Phenova</t>
  </si>
  <si>
    <t>Diisobutyl phthalate</t>
  </si>
  <si>
    <t>Sigma-Aldrich Inc.</t>
  </si>
  <si>
    <t>≤ 100 %, unspecified</t>
  </si>
  <si>
    <t xml:space="preserve">exclude, lab chemical </t>
  </si>
  <si>
    <t>Diisobutyl Phthalate</t>
  </si>
  <si>
    <t>SPEX CertiPrep, LLC</t>
  </si>
  <si>
    <t>Diisobutyl phthalate in PE</t>
  </si>
  <si>
    <t>Phthalate Esters Mix</t>
  </si>
  <si>
    <t>0.2%, unspecified</t>
  </si>
  <si>
    <t>Phthalic acid diisobutyl ester</t>
  </si>
  <si>
    <t>Paint</t>
  </si>
  <si>
    <t>Painting - Oh, It's Magic</t>
  </si>
  <si>
    <t>16x11x2in</t>
  </si>
  <si>
    <t>A great first painting set for the developing artist, 4 16 x 12 inch printed art boards, 3 paint bottles and die cut masking tape. Follow the instructions to create unique works of art, complete the fish, owl, Dove and alligator. Helps build fine motor skills, creativity, imagination, design and art appreciation. Made from the highest quality materials; completely non-toxic and meets and exceeded all us and European testing standards. A perfect gift for ages 3+. 
A perfect gift for ages 3+ Amazon reviews: "Great product in fact all Djeco activities are great especially the paint which easily washes out my granddaughter loves it"</t>
  </si>
  <si>
    <t>SDS not found.</t>
  </si>
  <si>
    <t>Simoniz Black Paints</t>
  </si>
  <si>
    <t>Holt Lloyd</t>
  </si>
  <si>
    <t>Paintwork on surfaces that are exposed to heat or abrasion can become chipped or flaky unless you use a paint which is highly durable. Simoniz Tough Paints are specially developed for these areas, as they’re able to withstand heat and provide a tough, chip-resistant finish. The Simoniz One Coat Tough Paints range includes both Tough Satin Black and Tough Gloss Black. Whichever finish you choose, these easy-to-use spray paints provide a smooth and durable coating on a range of surfaces, so are guaranteed to get pretty much any job done – whether you’re painting your car or doing some home DIY.</t>
  </si>
  <si>
    <t xml:space="preserve">Product not sold in U.S. </t>
  </si>
  <si>
    <t>Paste</t>
  </si>
  <si>
    <t>Cold ramming Paste BST 17ECO</t>
  </si>
  <si>
    <t>SGL Carbon Polska S.A.</t>
  </si>
  <si>
    <t>1%, unspecified</t>
  </si>
  <si>
    <t>Polymerization initiator</t>
  </si>
  <si>
    <t>TMCH-HA-M2</t>
  </si>
  <si>
    <t>United Initiators, Inc.</t>
  </si>
  <si>
    <t>≥25 - &lt;30%, by weight</t>
  </si>
  <si>
    <t>Commercial use only. Laboratory standard. Polymerisation initiators, Hardener.</t>
  </si>
  <si>
    <t>Polyurethane foam</t>
  </si>
  <si>
    <t>RESFOAM SS 75</t>
  </si>
  <si>
    <t>25-50%, unspecified</t>
  </si>
  <si>
    <t>Commercial use only. Resfoam SS 75 is a low-viscosity, hydrophobic polyurethane grout used for soil stabilization in a variety of water-bearing soils. The low viscosity of Resfoam SS 75 provides for effective penetration of the earth, adding structure and stabilization by encapsulating the granules and subsequently forming a rock-like mass. By application, Resfoam SS 75 cures rapidly to a rigid closed cell, effectively stopping water seepage and waterproofing the soil. Resfoam SS 75 utilizes Resfoam HBA 75 catalyst, which provides a variable reaction time. used in situations where sand, loam and clay need to be stabilized. These applications may exist on the outside of tunnels, footings for bridges, in the utility shafts of dams and virtually anywhere an
excavation is taking place.</t>
  </si>
  <si>
    <t>applied by drilling and injection pipes - not consumer. Cost $600 on vendor site</t>
  </si>
  <si>
    <t>Sealant (acrylic)</t>
  </si>
  <si>
    <t>IVS 150</t>
  </si>
  <si>
    <t>IDEAL (VS) LTD</t>
  </si>
  <si>
    <t>IVS-150 is a water based acrylic sealant. It is fire resistant and used in all heating, ventilation, and air conditioning ductwork systems.</t>
  </si>
  <si>
    <t>Veritas House</t>
  </si>
  <si>
    <t>99%, unspecified</t>
  </si>
  <si>
    <t>Company name appears to be "Groupe Veritas".</t>
  </si>
  <si>
    <t>Diisobutyl phthalate, 99+% (GC)</t>
  </si>
  <si>
    <t>Acros Organics N.V.</t>
  </si>
  <si>
    <t>&gt;99%, unspecified</t>
  </si>
  <si>
    <t>Company now "Thermo Scientific Chemicals".</t>
  </si>
  <si>
    <t>Varnish</t>
  </si>
  <si>
    <t>Polyurethane Special Matt Varnish Silver I.Part</t>
  </si>
  <si>
    <t>Polisan Kansai Boya San. Ve Tic. A.Ş.</t>
  </si>
  <si>
    <t>&lt;1%, unspecified</t>
  </si>
  <si>
    <t>This is a solvent-based, semi-transparent matt wood protector. Suitable for use for decorative and protective purposes on interior and exterior wooden surfaces. Special additives in its formula penetrate deeply into the wood since it is absorbed easily and protect the wood against mold, fungi and woodworm effectively.</t>
  </si>
  <si>
    <t>Not available in U.S.</t>
  </si>
  <si>
    <t>COU Category (Final Scope and Use Report)</t>
  </si>
  <si>
    <t xml:space="preserve">Use (Source Product Report) </t>
  </si>
  <si>
    <t xml:space="preserve">Expected Users (Source Product Report) </t>
  </si>
  <si>
    <t xml:space="preserve">Product (Source Product Report) </t>
  </si>
  <si>
    <t xml:space="preserve">Manufacturer (Source Product Report) </t>
  </si>
  <si>
    <t xml:space="preserve">Percent in Product (Source Product Report) </t>
  </si>
  <si>
    <t>Form 
Dropdown selection
-Liquid (added to water) for small amount of product diluted with water
-Liquid (poured) for adding product to another vessel</t>
  </si>
  <si>
    <t>Literature Values</t>
  </si>
  <si>
    <t>Summary by model group and publication</t>
  </si>
  <si>
    <t>HERO ID</t>
  </si>
  <si>
    <t>Location</t>
  </si>
  <si>
    <t xml:space="preserve">Product/Article </t>
  </si>
  <si>
    <t>Reported Concentration</t>
  </si>
  <si>
    <t>WF</t>
  </si>
  <si>
    <t>Stat type</t>
  </si>
  <si>
    <t>Model Group</t>
  </si>
  <si>
    <t>Source/HERO</t>
  </si>
  <si>
    <t>Article/Product</t>
  </si>
  <si>
    <t>Min WF</t>
  </si>
  <si>
    <t>Avg WF</t>
  </si>
  <si>
    <t>Max WF</t>
  </si>
  <si>
    <t>n items</t>
  </si>
  <si>
    <t xml:space="preserve">Country </t>
  </si>
  <si>
    <t>Paper/Cardboard Packaging</t>
  </si>
  <si>
    <t>Aurela et al 1999 (HERO 680231)</t>
  </si>
  <si>
    <t>TLS</t>
  </si>
  <si>
    <t>Finland</t>
  </si>
  <si>
    <t>Paper packaging</t>
  </si>
  <si>
    <t>Point</t>
  </si>
  <si>
    <t>Spain</t>
  </si>
  <si>
    <t>Folding boxboard</t>
  </si>
  <si>
    <t>Wormuth et al, 2006 (HERO 680214)</t>
  </si>
  <si>
    <t>Switzerland</t>
  </si>
  <si>
    <t>Pocas et al., 2010 [HERO 788407]</t>
  </si>
  <si>
    <t>Portugal</t>
  </si>
  <si>
    <t>food paper and paperboard packages</t>
  </si>
  <si>
    <t>PVC flooring</t>
  </si>
  <si>
    <t>Europe, Demark</t>
  </si>
  <si>
    <t>US, Denmark</t>
  </si>
  <si>
    <t>model/ rely on EPA assessment?</t>
  </si>
  <si>
    <t>Coated textiles</t>
  </si>
  <si>
    <t>PU leather furniture</t>
  </si>
  <si>
    <t>Denmark</t>
  </si>
  <si>
    <t>SR</t>
  </si>
  <si>
    <t>recycled rubber tire commercial pavers</t>
  </si>
  <si>
    <t>ug/g</t>
  </si>
  <si>
    <t xml:space="preserve">oilcloth </t>
  </si>
  <si>
    <t>Median</t>
  </si>
  <si>
    <t xml:space="preserve">pillow protector </t>
  </si>
  <si>
    <t>US</t>
  </si>
  <si>
    <t>Air care</t>
  </si>
  <si>
    <t>NRDC 2007</t>
  </si>
  <si>
    <t>Air freshener</t>
  </si>
  <si>
    <t>Sports equipment</t>
  </si>
  <si>
    <t>jump rope</t>
  </si>
  <si>
    <t>yoga mat</t>
  </si>
  <si>
    <t>football</t>
  </si>
  <si>
    <t>fitness balls</t>
  </si>
  <si>
    <t>footwear</t>
  </si>
  <si>
    <t>Paints</t>
  </si>
  <si>
    <t xml:space="preserve">Min </t>
  </si>
  <si>
    <t>Clothing</t>
  </si>
  <si>
    <t>outerwear</t>
  </si>
  <si>
    <t>clothing</t>
  </si>
  <si>
    <t>Misc. small items</t>
  </si>
  <si>
    <t>Ecocenter 2015</t>
  </si>
  <si>
    <t>Bath tub applique</t>
  </si>
  <si>
    <t>Danish EPA, 2011 (HERO 7265437)</t>
  </si>
  <si>
    <t>Europe</t>
  </si>
  <si>
    <t>Cushioned PVC flooring</t>
  </si>
  <si>
    <t>%</t>
  </si>
  <si>
    <t>Custom Grip steering wheel cover</t>
  </si>
  <si>
    <t>Heterogeneous PVC flooring</t>
  </si>
  <si>
    <t>Diving goggles</t>
  </si>
  <si>
    <t>PVC with foam Backing flooring</t>
  </si>
  <si>
    <t>Phone charger</t>
  </si>
  <si>
    <t>vinyl covering</t>
  </si>
  <si>
    <t>point</t>
  </si>
  <si>
    <t>Garden hose</t>
  </si>
  <si>
    <t>Chew toys for pets</t>
  </si>
  <si>
    <t>Feeding mat</t>
  </si>
  <si>
    <t>carpet tile with glue</t>
  </si>
  <si>
    <t>Hobby cutting board</t>
  </si>
  <si>
    <t>Ecocenter 2018</t>
  </si>
  <si>
    <t>carpet tile backing</t>
  </si>
  <si>
    <t>ppm</t>
  </si>
  <si>
    <t>Tape</t>
  </si>
  <si>
    <t>paper packaging</t>
  </si>
  <si>
    <t>Airbed</t>
  </si>
  <si>
    <t>Car mat</t>
  </si>
  <si>
    <t>car mat</t>
  </si>
  <si>
    <t>shower curtain</t>
  </si>
  <si>
    <t>air bed</t>
  </si>
  <si>
    <t>Textiles/Furniture</t>
  </si>
  <si>
    <t>pillow protector (Clean Sleep Vinyl Pillow Protectors Extra Heavy 6 Gauge w/ Ultra Fresh Protection)</t>
  </si>
  <si>
    <t>footstool</t>
  </si>
  <si>
    <t>dining table chair</t>
  </si>
  <si>
    <t>easy chair</t>
  </si>
  <si>
    <t>barstool</t>
  </si>
  <si>
    <t>lampshade</t>
  </si>
  <si>
    <t>suspended lamp</t>
  </si>
  <si>
    <t>oilcloth</t>
  </si>
  <si>
    <t>Jump rope</t>
  </si>
  <si>
    <t>Yoga mat</t>
  </si>
  <si>
    <t>Yoga ball</t>
  </si>
  <si>
    <t>balance ball</t>
  </si>
  <si>
    <t xml:space="preserve">mini ball </t>
  </si>
  <si>
    <t>training ball</t>
  </si>
  <si>
    <t xml:space="preserve">redondo ball </t>
  </si>
  <si>
    <t>Clothing/Footwear</t>
  </si>
  <si>
    <t>HPCDS footwear</t>
  </si>
  <si>
    <t>Sandal</t>
  </si>
  <si>
    <t>Flip-flops</t>
  </si>
  <si>
    <t>rubber clogs</t>
  </si>
  <si>
    <t>Rainwear</t>
  </si>
  <si>
    <t xml:space="preserve">jacket </t>
  </si>
  <si>
    <t>Misc</t>
  </si>
  <si>
    <t>Air Care</t>
  </si>
  <si>
    <t>Oust Fan liquid refills</t>
  </si>
  <si>
    <t xml:space="preserve">Febreze Noticables Scented oil </t>
  </si>
  <si>
    <t>Air Wick scented oil</t>
  </si>
  <si>
    <t>Not including because is food packaging</t>
  </si>
  <si>
    <t xml:space="preserve">These values will not be used. Synthetic leather will be used for indoor furniture. Table cloths would be smaller in surface area and the WF is lower. </t>
  </si>
  <si>
    <t>Excluded as pillow case goes over pillow protector, eliminating exposure pathway</t>
  </si>
  <si>
    <t>DUNS Number</t>
  </si>
  <si>
    <t>Company</t>
  </si>
  <si>
    <t>Product Segment</t>
  </si>
  <si>
    <t>Product Family</t>
  </si>
  <si>
    <t>Product Class</t>
  </si>
  <si>
    <t>Product Brick</t>
  </si>
  <si>
    <t>Component</t>
  </si>
  <si>
    <t>Target Age</t>
  </si>
  <si>
    <t>Chemical</t>
  </si>
  <si>
    <t>CASRN</t>
  </si>
  <si>
    <t>Concentration Category</t>
  </si>
  <si>
    <t>Conc ppm</t>
  </si>
  <si>
    <t>Chemical Function</t>
  </si>
  <si>
    <t>States</t>
  </si>
  <si>
    <t>Period</t>
  </si>
  <si>
    <t>Bricks Sold in Oregon</t>
  </si>
  <si>
    <t>Bricks Offered for Sale in Oregon</t>
  </si>
  <si>
    <t>Report Submitted Date</t>
  </si>
  <si>
    <t>Contact Name</t>
  </si>
  <si>
    <t>Job Title</t>
  </si>
  <si>
    <t>Mailing Address</t>
  </si>
  <si>
    <t>Email</t>
  </si>
  <si>
    <t>Phone Number</t>
  </si>
  <si>
    <t># of Attachments</t>
  </si>
  <si>
    <t>averages</t>
  </si>
  <si>
    <t>Michaels Stores Inc.</t>
  </si>
  <si>
    <t>Arts/Crafts/Needlework</t>
  </si>
  <si>
    <t>Arts/Crafts/Needlework Supplies</t>
  </si>
  <si>
    <t>Jewellery Craft Supplies</t>
  </si>
  <si>
    <t>Jewellery Craft Accessories [10001718]</t>
  </si>
  <si>
    <t>Synthetic Polymers (synthetic rubber, plastics, foams etc.)</t>
  </si>
  <si>
    <t>Ages 3-12</t>
  </si>
  <si>
    <t>Diisobutyl phthalate (DIBP) [84-69-5]</t>
  </si>
  <si>
    <t>84-69-5</t>
  </si>
  <si>
    <t>PQL to less than 100 ppm</t>
  </si>
  <si>
    <t>Component of plastic resin or polymer process</t>
  </si>
  <si>
    <t>OR</t>
  </si>
  <si>
    <t>2024</t>
  </si>
  <si>
    <t>Ryan McCain</t>
  </si>
  <si>
    <t>Regulatory Compliance Specialist</t>
  </si>
  <si>
    <t>8000 Bent Branch Drive  Irving, TX 75063 US</t>
  </si>
  <si>
    <t>mccainr1@michaels.com</t>
  </si>
  <si>
    <t xml:space="preserve">[US] 972-409-7445 </t>
  </si>
  <si>
    <t>0</t>
  </si>
  <si>
    <t>WA</t>
  </si>
  <si>
    <t>2021</t>
  </si>
  <si>
    <t>Target Corporation</t>
  </si>
  <si>
    <t>Arts/Crafts Variety Packs</t>
  </si>
  <si>
    <t>Arts/Crafts Variety Packs [10001760]</t>
  </si>
  <si>
    <t>Surface coatings (paints, plating, waterproofing etc.)</t>
  </si>
  <si>
    <t>Coloration/Pigments/Dyes/Inks</t>
  </si>
  <si>
    <t>2020</t>
  </si>
  <si>
    <t>Nathan  White</t>
  </si>
  <si>
    <t>Sr. Environmental Program Owner</t>
  </si>
  <si>
    <t>1000 Nicollet Mall  Minneapolis, MN 55403 US</t>
  </si>
  <si>
    <t>chemicalreporting@target.com</t>
  </si>
  <si>
    <t>[US] 1-800-587-2228</t>
  </si>
  <si>
    <t>2023</t>
  </si>
  <si>
    <t>Personal Accessories</t>
  </si>
  <si>
    <t>2022</t>
  </si>
  <si>
    <t>Stationery/Office Machinery/Occasion Supplies</t>
  </si>
  <si>
    <t>Toys/Games</t>
  </si>
  <si>
    <t>Bendon Inc</t>
  </si>
  <si>
    <t>Artists Painting/Drawing Supplies</t>
  </si>
  <si>
    <t>Artists Painting/Drawing Supplies Other [10001685]</t>
  </si>
  <si>
    <t>Equal to or greater than 100 but less than 500 ppm</t>
  </si>
  <si>
    <t>No function - Contaminant</t>
  </si>
  <si>
    <t>Allison Kesner</t>
  </si>
  <si>
    <t>1840 Baney Road  Ashland,  44805 United States</t>
  </si>
  <si>
    <t>allison.kesner@bendonpub.com</t>
  </si>
  <si>
    <t>[US] 419-207-3600</t>
  </si>
  <si>
    <t>Homogenous Mixtures (gels, creams, powders, liquids, adhesives, synthetic fragrances)</t>
  </si>
  <si>
    <t>Greenbrier International, Inc.</t>
  </si>
  <si>
    <t>Needlework/Toy Making Craft Supplies</t>
  </si>
  <si>
    <t>Foam Craft Materials [10005713]</t>
  </si>
  <si>
    <t>Debbie Smith</t>
  </si>
  <si>
    <t>Supervisor, Regulatory Compliance</t>
  </si>
  <si>
    <t>500 Volvo Parkway  Chesapeake, VA 23320 US</t>
  </si>
  <si>
    <t>dsmith@dollartree.com</t>
  </si>
  <si>
    <t>[US] 757-321-5085</t>
  </si>
  <si>
    <t>Greenbrier International Inc.</t>
  </si>
  <si>
    <t>3-12</t>
  </si>
  <si>
    <t>Diisobutyl phthalate (DIBP)</t>
  </si>
  <si>
    <t>Equal to or greater than 500 but less than 1,000 ppm</t>
  </si>
  <si>
    <t>2019</t>
  </si>
  <si>
    <t>Chris Goller</t>
  </si>
  <si>
    <t>chris.goller@qima.com</t>
  </si>
  <si>
    <t>(716) 635-1180</t>
  </si>
  <si>
    <t>Anko Retail Incorporated</t>
  </si>
  <si>
    <t>Equal to or greater than 1,000 but less than 5,000 ppm</t>
  </si>
  <si>
    <t>2018</t>
  </si>
  <si>
    <t>Emma Toop</t>
  </si>
  <si>
    <t>19500 Alderwood Mall Pkwy  Lynnwood, WA 98036 US</t>
  </si>
  <si>
    <t>emma.toop@anko.com</t>
  </si>
  <si>
    <t>61413465561</t>
  </si>
  <si>
    <t>Under 3</t>
  </si>
  <si>
    <t>LT Apparel Group</t>
  </si>
  <si>
    <t>Full Body Wear</t>
  </si>
  <si>
    <t>Overalls/Bodysuits [10001332]</t>
  </si>
  <si>
    <t>Inks/Dyes/Pigments</t>
  </si>
  <si>
    <t>Plasticizer /Softener</t>
  </si>
  <si>
    <t>Ro Jain</t>
  </si>
  <si>
    <t>321 Herrod Blvd  Dayton, NJ 8810 US</t>
  </si>
  <si>
    <t>ro.jain@ltapparel.com</t>
  </si>
  <si>
    <t>(201) 693-6398</t>
  </si>
  <si>
    <t>Upper Body Wear/Tops</t>
  </si>
  <si>
    <t>Shirts/Blouses/Polo Shirts/T-shirts [10001352]</t>
  </si>
  <si>
    <t>Textiles (synthetic fibers and blends)</t>
  </si>
  <si>
    <t>Underwear</t>
  </si>
  <si>
    <t>Pants/Briefs/Undershorts [10001347]</t>
  </si>
  <si>
    <t>Lower Body Wear/Bottoms</t>
  </si>
  <si>
    <t>Skirts [10001334]</t>
  </si>
  <si>
    <t>Accesorios Globales, S.A. dba TATA</t>
  </si>
  <si>
    <t>Clothing Accessories</t>
  </si>
  <si>
    <t>Belts/Braces/Cummerbunds [10001326]</t>
  </si>
  <si>
    <t>Bio-based Materials (Animal or Plant based) ex. leather, horn, silk, wool</t>
  </si>
  <si>
    <t>Maria Jose Ochoa</t>
  </si>
  <si>
    <t>RSL Coordinator</t>
  </si>
  <si>
    <t>2nda Calle 1-25 Zona 08 San Miguel Petapa  Villa Canales, Guatemala 1066 GT</t>
  </si>
  <si>
    <t>compliancersl@tata.com.gt</t>
  </si>
  <si>
    <t>[non-US] 502-593-6312</t>
  </si>
  <si>
    <t>7</t>
  </si>
  <si>
    <t>005904107</t>
  </si>
  <si>
    <t>Activewear</t>
  </si>
  <si>
    <t>Sportswear - Full Body Wear [10001342]</t>
  </si>
  <si>
    <t>Dinesh Subbiah</t>
  </si>
  <si>
    <t>Product Integrity</t>
  </si>
  <si>
    <t>100 West 33rd Street, Suite 1012  New York, NY  US</t>
  </si>
  <si>
    <t>dinesh.subbiah@ltapparel.com</t>
  </si>
  <si>
    <t>[non-US] +91 9945699186</t>
  </si>
  <si>
    <t>Clothing Variety Packs</t>
  </si>
  <si>
    <t>Clothing Variety Packs [10002102]</t>
  </si>
  <si>
    <t>Headwear [10001329]</t>
  </si>
  <si>
    <t>Birth-12</t>
  </si>
  <si>
    <t>DG Retail, LLC</t>
  </si>
  <si>
    <t>General Purpose Footwear</t>
  </si>
  <si>
    <t>Shoes - General Purpose [10001077]</t>
  </si>
  <si>
    <t>Stabilizers</t>
  </si>
  <si>
    <t>Todd Bracht</t>
  </si>
  <si>
    <t>Global Compliance/ QA Manager</t>
  </si>
  <si>
    <t>100 Mission Ridge  Goodlettsville, TN  US</t>
  </si>
  <si>
    <t>tbracht@dollargeneral.com</t>
  </si>
  <si>
    <t>[US] 6158555173</t>
  </si>
  <si>
    <t>Ashko Group LLC</t>
  </si>
  <si>
    <t>Clara Chan</t>
  </si>
  <si>
    <t>Production Manager</t>
  </si>
  <si>
    <t>10 West 33rd Street Suite 1019 New York, NY 10001 US</t>
  </si>
  <si>
    <t>clara@ashkony.com</t>
  </si>
  <si>
    <t>[US] 212-594-6050</t>
  </si>
  <si>
    <t>Claire's Inc.</t>
  </si>
  <si>
    <t>Jewellery</t>
  </si>
  <si>
    <t>Bracelets [10001084]</t>
  </si>
  <si>
    <t>Rob Yates</t>
  </si>
  <si>
    <t>Global QA Chemical Manager</t>
  </si>
  <si>
    <t>CBI Distributing Corp 2400 W Central Rd, Hoffman Estates. Chicago, IL  US</t>
  </si>
  <si>
    <t>rob.yates@claires.com</t>
  </si>
  <si>
    <t>[non-US] +441212508957</t>
  </si>
  <si>
    <t>Personal Accessories Variety Packs</t>
  </si>
  <si>
    <t>Personal Accessories Variety Packs [10001389]</t>
  </si>
  <si>
    <t>Greeting Cards/Gift Wrap/Occasion Supplies</t>
  </si>
  <si>
    <t>Occasion Supplies</t>
  </si>
  <si>
    <t>Occasion Supplies Other [10001217]</t>
  </si>
  <si>
    <t>Occasion Supplies Variety Packs [10001218]</t>
  </si>
  <si>
    <t>Party Horns/Blowers [10005436]</t>
  </si>
  <si>
    <t>Hallmark Cards</t>
  </si>
  <si>
    <t>Gladys Brown</t>
  </si>
  <si>
    <t>Product Integrity Process Analyst II</t>
  </si>
  <si>
    <t>2501 McGee Mail Drop 710 Kansas City, MO 64141 US</t>
  </si>
  <si>
    <t>gladys.brown@hallmark.com</t>
  </si>
  <si>
    <t>[US] 18167162336</t>
  </si>
  <si>
    <t>Indoor/Outdoor Games/Play Structures</t>
  </si>
  <si>
    <t>Indoor/Outdoor Games [10005181]</t>
  </si>
  <si>
    <t>Excelligence Learning Corp</t>
  </si>
  <si>
    <t>Dolls/Puppets/Action Figures/Soft Toys</t>
  </si>
  <si>
    <t>Puppets [10005145]</t>
  </si>
  <si>
    <t>Suniti Gill</t>
  </si>
  <si>
    <t>VP of Quality Assurance</t>
  </si>
  <si>
    <t>20 Ryan Ranch Road # 200 Monterey, CA 93940 US</t>
  </si>
  <si>
    <t>sgill@excelligence.com</t>
  </si>
  <si>
    <t>[US] (415) 606-0616</t>
  </si>
  <si>
    <t>Developmental/Educational Toys</t>
  </si>
  <si>
    <t>Developmental/Educational Toys Other [10005159]</t>
  </si>
  <si>
    <t>Glass, Ceramic and Siliceous material</t>
  </si>
  <si>
    <t>Toys/Games - Other</t>
  </si>
  <si>
    <t>Toys/Games - Other [10006899]</t>
  </si>
  <si>
    <t>Target</t>
  </si>
  <si>
    <t>Toys - Ride-on</t>
  </si>
  <si>
    <t>Toys - Ride-on (Powered) [10005188]</t>
  </si>
  <si>
    <t>Wayne Kuan</t>
  </si>
  <si>
    <t>w.kuan@rollplay.com</t>
  </si>
  <si>
    <t>(312) 694-1617</t>
  </si>
  <si>
    <t>Peachtree Playthings (HK) Ltd.</t>
  </si>
  <si>
    <t>Jeff Chan</t>
  </si>
  <si>
    <t>2808-15, 28/F, Peninsula Tower, 538 Castle Peak Road, Cheung Sha Wan Kowloon,   HK</t>
  </si>
  <si>
    <t>jeff@ptpasia.com.hk</t>
  </si>
  <si>
    <t>852-22753020</t>
  </si>
  <si>
    <t>200618333</t>
  </si>
  <si>
    <t>LF Centennial Pte. Ltd.</t>
  </si>
  <si>
    <t>Fancy Dress Costumes/Accessories</t>
  </si>
  <si>
    <t>Fancy Dress Costumes [10005172]</t>
  </si>
  <si>
    <t>Kevin Chow</t>
  </si>
  <si>
    <t>Assistant Manager</t>
  </si>
  <si>
    <t>7/F HK Spinners Industrial Building Phase I &amp; II 800 Cheung Sha Wan Road, Kowloon Hong Kong,   China</t>
  </si>
  <si>
    <t>kevinchow@palamon.com.hk</t>
  </si>
  <si>
    <t>[non-US] 852-23004546</t>
  </si>
  <si>
    <t>Board Games/Cards/Puzzles</t>
  </si>
  <si>
    <t>Card Games (Non Powered) [10005138]</t>
  </si>
  <si>
    <t>Dolls/Puppets/Soft Toys Other [10005144]</t>
  </si>
  <si>
    <t>Build-A-Bear Workshop</t>
  </si>
  <si>
    <t>Dolls/Puppets/Action Figures/Soft Toys Accessories</t>
  </si>
  <si>
    <t>Dolls Furniture [10005149]</t>
  </si>
  <si>
    <t>Helen Hagan</t>
  </si>
  <si>
    <t>Sr. Manager Quality Assurance</t>
  </si>
  <si>
    <t>1954 Innerbelt Business Center Drive  St. Louis, MO 63114 US</t>
  </si>
  <si>
    <t>Helenh@buildabear.com</t>
  </si>
  <si>
    <t xml:space="preserve">[US] 314-423-8000 </t>
  </si>
  <si>
    <t>Dolls/Puppets/Soft Toys Accessories Other [10005150]</t>
  </si>
  <si>
    <t>Role Play Toys</t>
  </si>
  <si>
    <t>Role Play - Shopping/Office/Business Toys [10005685]</t>
  </si>
  <si>
    <t>QA Manager</t>
  </si>
  <si>
    <t>[non-US] 852-23754880</t>
  </si>
  <si>
    <t>Dolls/Soft Toys (Non Powered) [10005142]</t>
  </si>
  <si>
    <t>Catalyst</t>
  </si>
  <si>
    <t>Winning Moves Inc</t>
  </si>
  <si>
    <t>Board Games (Non Powered) [10005133]</t>
  </si>
  <si>
    <t>2017</t>
  </si>
  <si>
    <t>David Rice</t>
  </si>
  <si>
    <t>75 Sylvan St., Suite C-104  Danvers, MA 1923 US</t>
  </si>
  <si>
    <t>DavidR@Winning-Moves.com</t>
  </si>
  <si>
    <t>(978) 777-7464</t>
  </si>
  <si>
    <t>Rubies Costume Company</t>
  </si>
  <si>
    <t>Sandy Nascimento</t>
  </si>
  <si>
    <t>120-08 Jamaica Ave  Richmond Hill, NY 11418 US</t>
  </si>
  <si>
    <t>snascimento@rubies.com</t>
  </si>
  <si>
    <t>(718) 441-0834</t>
  </si>
  <si>
    <t>2</t>
  </si>
  <si>
    <t>Spin Master Ltd.</t>
  </si>
  <si>
    <t>Scott Smith</t>
  </si>
  <si>
    <t>450 Front St. West  Toronto, Ontario  CA</t>
  </si>
  <si>
    <t>scotts@spinmaster.com</t>
  </si>
  <si>
    <t>416-364-6002</t>
  </si>
  <si>
    <t>Board Games/Cards/Puzzles Other [10005136]</t>
  </si>
  <si>
    <t>Buffalo Games</t>
  </si>
  <si>
    <t>Michael Indiano</t>
  </si>
  <si>
    <t>220 James E Casey Dr  Buffalo, NY 14206 US</t>
  </si>
  <si>
    <t>mindiano@buffalogames.com</t>
  </si>
  <si>
    <t>(716) 464-5226</t>
  </si>
  <si>
    <t>Jazwares</t>
  </si>
  <si>
    <t>Toys/Games Variety Packs</t>
  </si>
  <si>
    <t>Toys/Games Variety Packs [10005186]</t>
  </si>
  <si>
    <t>Scott Levine</t>
  </si>
  <si>
    <t>1067 Shotgun Road  Sunrise, FL 33326 US</t>
  </si>
  <si>
    <t>scott@jazwares.com</t>
  </si>
  <si>
    <t>(954) 449-7281</t>
  </si>
  <si>
    <t>Fancy Dress Costumes/Accessories Other [10005173]</t>
  </si>
  <si>
    <t>Home Depot USA, Inc.</t>
  </si>
  <si>
    <t>Dolls/Soft Toys (Powered) [10005143]</t>
  </si>
  <si>
    <t>Schalida Turner</t>
  </si>
  <si>
    <t>Manager, Regulatory Law</t>
  </si>
  <si>
    <t>2455 Paces Ferry Rd.  Atlanta, GA 30339 US</t>
  </si>
  <si>
    <t>Schalida_Turner@homedepot.com</t>
  </si>
  <si>
    <t>[US] 770.384.2464</t>
  </si>
  <si>
    <t>Schylling Inc.</t>
  </si>
  <si>
    <t>Deborah DeSantis</t>
  </si>
  <si>
    <t>21 High Street, Suite 400  North Andover,  01845 United States</t>
  </si>
  <si>
    <t>deborah@schylling.com</t>
  </si>
  <si>
    <t>[US] 9789483601</t>
  </si>
  <si>
    <t>Teetot &amp; Company Inc.</t>
  </si>
  <si>
    <t>John Lloyd</t>
  </si>
  <si>
    <t>COO</t>
  </si>
  <si>
    <t>341 S Melrose St Ste A Placentia, CA  US</t>
  </si>
  <si>
    <t>john@teetot.com</t>
  </si>
  <si>
    <t>[US] 1(714) 993-3888</t>
  </si>
  <si>
    <t>Goliath Far East Limited</t>
  </si>
  <si>
    <t>Keem Ip</t>
  </si>
  <si>
    <t>Room 413, New East Ocean Centre, 9 Science Museum Road, Tsimshatsui Hong Kong,   CN</t>
  </si>
  <si>
    <t>k.ip@goliathgroup.com</t>
  </si>
  <si>
    <t>[non-US] 852-2363 4554</t>
  </si>
  <si>
    <t>KELLY TOYS HOLDINGS, LLC</t>
  </si>
  <si>
    <t>Yuki Li</t>
  </si>
  <si>
    <t>4811 SOUTH ALAMEDA STREET   LOS ANGELES, California 90058 US</t>
  </si>
  <si>
    <t>yli@jazwares.com</t>
  </si>
  <si>
    <t>[non-US] +86.769.9380.9838</t>
  </si>
  <si>
    <t>Equal to or greater than 5,000 but less than 10,000 ppm</t>
  </si>
  <si>
    <t>AeroGrow International, Inc.</t>
  </si>
  <si>
    <t>Scientific Toys (Powered) [10005164]</t>
  </si>
  <si>
    <t>Equal to or greater than 10,000 ppm</t>
  </si>
  <si>
    <t>Conductive material   (Electronic products)</t>
  </si>
  <si>
    <t>Mely Wilcox</t>
  </si>
  <si>
    <t>6075 Longbow Dr. Ste #200  Boulder, CO 80301 US</t>
  </si>
  <si>
    <t>mely@aerogrow.com</t>
  </si>
  <si>
    <t>(303) 953-6282</t>
  </si>
  <si>
    <t>1</t>
  </si>
  <si>
    <t>High Priority Chemicals Data System (HPCDS) pivot tables</t>
  </si>
  <si>
    <t>Grand Total</t>
  </si>
  <si>
    <t>Chronic  MOE - By Individual Age Group</t>
  </si>
  <si>
    <t xml:space="preserve"> Acute MOE - By Individual Age Group</t>
  </si>
  <si>
    <t xml:space="preserve">Human in vitro {Scott ,1987,674473} </t>
  </si>
  <si>
    <t>Rat in vivo, {Elsisi, 1989, 675074}</t>
  </si>
  <si>
    <t>July 2025</t>
  </si>
  <si>
    <t xml:space="preserve">These values are currently based on the max, lowest reported mean, and average of the two mean air concentration values. It’s not great and we may want to consider treating differently. Unfortunately we can’t find bulk measurement data </t>
  </si>
  <si>
    <t>These values are currently based on the 10th, 50th, and 95th percentile concentration values</t>
  </si>
  <si>
    <t xml:space="preserve">Face is assumed to be ⅓ the area of the head. This is the same assumption Kissel used to calculate adherence factors. </t>
  </si>
  <si>
    <t xml:space="preserve">No data was available for medium assay condition, so midpoint between mean values for high and low assay conditions will be used. </t>
  </si>
  <si>
    <t>12.4 oz tube
Proxy value from quickcrete concrete adhesive https://www.quikrete.com/pdfs/msds-a1-concretebonding.pdf</t>
  </si>
  <si>
    <r>
      <t xml:space="preserve">Form
</t>
    </r>
    <r>
      <rPr>
        <sz val="10"/>
        <rFont val="Calibri"/>
        <family val="2"/>
        <scheme val="minor"/>
      </rPr>
      <t>-Liquid (added to water) for small amount of product diluted with water
-Liquid (poured) for adding product to another vessel</t>
    </r>
  </si>
  <si>
    <t>Proxy value from quickcrete concrete adhesive https://www.quikrete.com/pdfs/msds-a1-concretebonding.pdf</t>
  </si>
  <si>
    <t>Draft Consumer Exposure Analysis for Diisobutyl Phthalate (DIBP)</t>
  </si>
  <si>
    <t>PUBLIC RELEASE DRAFT</t>
  </si>
  <si>
    <t>Version – July 2025</t>
  </si>
  <si>
    <t>CASRNs: 84-69-5</t>
  </si>
  <si>
    <t>Crosswalk</t>
  </si>
  <si>
    <t>DIBP Use Report</t>
  </si>
  <si>
    <t>Literature Data</t>
  </si>
  <si>
    <t>Data for consumer exposure analysis from literature</t>
  </si>
  <si>
    <t>HPCDS Data</t>
  </si>
  <si>
    <t xml:space="preserve">Data from the High Priority Chemicals Data System </t>
  </si>
  <si>
    <t>HPCDS Summary</t>
  </si>
  <si>
    <t>Data from the High Priority Chemicals Data System used in consumer analysis</t>
  </si>
  <si>
    <t>Freq of use</t>
  </si>
  <si>
    <t>Summary of frequency of use inputs for all scenarios</t>
  </si>
  <si>
    <t>Tire Crumb Calc Inputs</t>
  </si>
  <si>
    <t>Tire Crumb Dose Calcs</t>
  </si>
  <si>
    <t>Inputs and sources of information for tire crumb analysis</t>
  </si>
  <si>
    <t>Tire crumb dose calculations and equations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</si>
</sst>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0.0"/>
    <numFmt numFmtId="166" formatCode="0E+00"/>
    <numFmt numFmtId="167" formatCode="0.0E+00"/>
    <numFmt numFmtId="168" formatCode="0.00000"/>
    <numFmt numFmtId="169" formatCode="0.000000"/>
  </numFmts>
  <fonts count="88">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6"/>
      <color theme="1"/>
      <name val="Calibri"/>
      <family val="2"/>
      <scheme val="minor"/>
    </font>
    <font>
      <sz val="11"/>
      <name val="Calibri"/>
      <family val="2"/>
      <scheme val="minor"/>
    </font>
    <font>
      <sz val="16"/>
      <color theme="1"/>
      <name val="Calibri"/>
      <family val="2"/>
      <scheme val="minor"/>
    </font>
    <font>
      <b/>
      <sz val="11"/>
      <color rgb="FF111111"/>
      <name val="Calibri"/>
      <family val="2"/>
      <scheme val="minor"/>
    </font>
    <font>
      <sz val="11"/>
      <color rgb="FF111111"/>
      <name val="Calibri"/>
      <family val="2"/>
      <scheme val="minor"/>
    </font>
    <font>
      <sz val="11"/>
      <color rgb="FF000000"/>
      <name val="Calibri"/>
      <family val="2"/>
      <scheme val="minor"/>
    </font>
    <font>
      <vertAlign val="subscript"/>
      <sz val="11"/>
      <color rgb="FF111111"/>
      <name val="Calibri"/>
      <family val="2"/>
      <scheme val="minor"/>
    </font>
    <font>
      <u/>
      <sz val="11"/>
      <color theme="10"/>
      <name val="Calibri"/>
      <family val="2"/>
      <scheme val="minor"/>
    </font>
    <font>
      <b/>
      <sz val="16"/>
      <name val="Calibri"/>
      <family val="2"/>
      <scheme val="minor"/>
    </font>
    <font>
      <sz val="12"/>
      <color theme="1"/>
      <name val="Times New Roman"/>
      <family val="1"/>
    </font>
    <font>
      <b/>
      <sz val="14"/>
      <color theme="1"/>
      <name val="Calibri"/>
      <family val="2"/>
      <scheme val="minor"/>
    </font>
    <font>
      <b/>
      <sz val="16"/>
      <color theme="0"/>
      <name val="Calibri"/>
      <family val="2"/>
      <scheme val="minor"/>
    </font>
    <font>
      <b/>
      <sz val="11"/>
      <name val="Calibri"/>
      <family val="2"/>
      <scheme val="minor"/>
    </font>
    <font>
      <sz val="11"/>
      <color theme="1"/>
      <name val="Times New Roman"/>
      <family val="1"/>
    </font>
    <font>
      <b/>
      <sz val="12"/>
      <color theme="1"/>
      <name val="Calibri"/>
      <family val="2"/>
      <scheme val="minor"/>
    </font>
    <font>
      <sz val="12"/>
      <color theme="1"/>
      <name val="Calibri"/>
      <family val="2"/>
      <scheme val="minor"/>
    </font>
    <font>
      <sz val="14"/>
      <color theme="1"/>
      <name val="Calibri"/>
      <family val="2"/>
      <scheme val="minor"/>
    </font>
    <font>
      <b/>
      <sz val="11"/>
      <color theme="1"/>
      <name val="Times New Roman"/>
      <family val="1"/>
    </font>
    <font>
      <b/>
      <sz val="10"/>
      <color theme="1"/>
      <name val="Calibri"/>
      <family val="2"/>
      <scheme val="minor"/>
    </font>
    <font>
      <sz val="10"/>
      <color theme="1"/>
      <name val="Calibri"/>
      <family val="2"/>
      <scheme val="minor"/>
    </font>
    <font>
      <sz val="10"/>
      <name val="Calibri"/>
      <family val="2"/>
      <scheme val="minor"/>
    </font>
    <font>
      <sz val="11"/>
      <color theme="1"/>
      <name val="Calibri"/>
      <family val="2"/>
    </font>
    <font>
      <b/>
      <sz val="10"/>
      <color rgb="FF000000"/>
      <name val="Calibri"/>
      <family val="2"/>
      <scheme val="minor"/>
    </font>
    <font>
      <b/>
      <vertAlign val="superscript"/>
      <sz val="10"/>
      <color theme="1"/>
      <name val="Calibri"/>
      <family val="2"/>
      <scheme val="minor"/>
    </font>
    <font>
      <sz val="10"/>
      <color rgb="FF000000"/>
      <name val="Calibri"/>
      <family val="2"/>
      <scheme val="minor"/>
    </font>
    <font>
      <i/>
      <sz val="12"/>
      <color rgb="FF374151"/>
      <name val="Times New Roman"/>
      <family val="1"/>
    </font>
    <font>
      <i/>
      <sz val="12"/>
      <color theme="1"/>
      <name val="Calibri"/>
      <family val="2"/>
      <scheme val="minor"/>
    </font>
    <font>
      <sz val="12"/>
      <color rgb="FF374151"/>
      <name val="Calibri"/>
      <family val="2"/>
      <scheme val="minor"/>
    </font>
    <font>
      <b/>
      <sz val="12"/>
      <name val="Calibri"/>
      <family val="2"/>
      <scheme val="minor"/>
    </font>
    <font>
      <sz val="12"/>
      <name val="Calibri"/>
      <family val="2"/>
      <scheme val="minor"/>
    </font>
    <font>
      <i/>
      <sz val="10"/>
      <color rgb="FF374151"/>
      <name val="KaTeX_Math"/>
    </font>
    <font>
      <sz val="10"/>
      <color rgb="FF374151"/>
      <name val="Times New Roman"/>
      <family val="1"/>
    </font>
    <font>
      <sz val="7.7"/>
      <color rgb="FF374151"/>
      <name val="Times New Roman"/>
      <family val="1"/>
    </font>
    <font>
      <sz val="1"/>
      <color rgb="FF374151"/>
      <name val="Times New Roman"/>
      <family val="1"/>
    </font>
    <font>
      <b/>
      <vertAlign val="superscript"/>
      <sz val="11"/>
      <color theme="1"/>
      <name val="Calibri"/>
      <family val="2"/>
      <scheme val="minor"/>
    </font>
    <font>
      <sz val="16"/>
      <name val="Calibri"/>
      <family val="2"/>
      <scheme val="minor"/>
    </font>
    <font>
      <u/>
      <sz val="11"/>
      <color theme="1"/>
      <name val="Calibri"/>
      <family val="2"/>
      <scheme val="minor"/>
    </font>
    <font>
      <sz val="11"/>
      <color rgb="FF000000"/>
      <name val="Times New Roman"/>
      <family val="1"/>
    </font>
    <font>
      <b/>
      <sz val="10"/>
      <color rgb="FF000000"/>
      <name val="Times New Roman"/>
      <family val="1"/>
    </font>
    <font>
      <b/>
      <vertAlign val="superscript"/>
      <sz val="10"/>
      <color rgb="FF000000"/>
      <name val="Times New Roman"/>
      <family val="1"/>
    </font>
    <font>
      <sz val="10"/>
      <color theme="1"/>
      <name val="Times New Roman"/>
      <family val="1"/>
    </font>
    <font>
      <sz val="8"/>
      <color theme="1"/>
      <name val="Calibri"/>
      <family val="2"/>
      <scheme val="minor"/>
    </font>
    <font>
      <b/>
      <sz val="8"/>
      <color rgb="FF000000"/>
      <name val="Calibri"/>
      <family val="2"/>
      <scheme val="minor"/>
    </font>
    <font>
      <b/>
      <sz val="11"/>
      <color rgb="FF000000"/>
      <name val="Calibri"/>
      <family val="2"/>
      <scheme val="minor"/>
    </font>
    <font>
      <sz val="12"/>
      <name val="Times New Roman"/>
      <family val="1"/>
    </font>
    <font>
      <sz val="11"/>
      <color rgb="FF000000"/>
      <name val="Calibri"/>
      <family val="2"/>
    </font>
    <font>
      <sz val="12"/>
      <color rgb="FF000000"/>
      <name val="Calibri"/>
      <family val="2"/>
    </font>
    <font>
      <sz val="12"/>
      <color rgb="FF000000"/>
      <name val="Times New Roman"/>
      <family val="1"/>
    </font>
    <font>
      <sz val="11"/>
      <name val="Calibri "/>
    </font>
    <font>
      <sz val="10"/>
      <color rgb="FF000000"/>
      <name val="Times New Roman"/>
      <family val="1"/>
    </font>
    <font>
      <sz val="10"/>
      <color theme="1"/>
      <name val="Arial"/>
      <family val="2"/>
    </font>
    <font>
      <b/>
      <sz val="10"/>
      <color theme="1"/>
      <name val="Arial"/>
      <family val="2"/>
    </font>
    <font>
      <b/>
      <sz val="10"/>
      <color theme="1"/>
      <name val="Calibri"/>
      <family val="2"/>
    </font>
    <font>
      <vertAlign val="superscript"/>
      <sz val="11"/>
      <color theme="1"/>
      <name val="Calibri"/>
      <family val="2"/>
      <scheme val="minor"/>
    </font>
    <font>
      <sz val="10"/>
      <color rgb="FF212121"/>
      <name val="Cambria"/>
      <family val="1"/>
    </font>
    <font>
      <i/>
      <sz val="10"/>
      <color rgb="FF212121"/>
      <name val="Cambria"/>
      <family val="1"/>
    </font>
    <font>
      <sz val="8"/>
      <color rgb="FF212121"/>
      <name val="Cambria"/>
      <family val="1"/>
    </font>
    <font>
      <b/>
      <vertAlign val="subscript"/>
      <sz val="11"/>
      <color theme="1"/>
      <name val="Calibri"/>
      <family val="2"/>
      <scheme val="minor"/>
    </font>
    <font>
      <b/>
      <sz val="16"/>
      <color theme="1"/>
      <name val="Times New Roman"/>
      <family val="1"/>
    </font>
    <font>
      <b/>
      <i/>
      <sz val="14"/>
      <color theme="1"/>
      <name val="Times New Roman"/>
      <family val="1"/>
    </font>
    <font>
      <b/>
      <sz val="10"/>
      <name val="Calibri"/>
      <family val="2"/>
      <scheme val="minor"/>
    </font>
    <font>
      <sz val="11"/>
      <name val="Calibri"/>
      <family val="2"/>
    </font>
    <font>
      <sz val="11"/>
      <color rgb="FF0D0D0D"/>
      <name val="Calibri "/>
    </font>
    <font>
      <b/>
      <sz val="11"/>
      <color rgb="FF000000"/>
      <name val="Times New Roman"/>
      <family val="1"/>
    </font>
    <font>
      <b/>
      <sz val="11"/>
      <name val="Times New Roman"/>
      <family val="1"/>
    </font>
    <font>
      <sz val="11"/>
      <name val="Times New Roman"/>
      <family val="1"/>
    </font>
    <font>
      <vertAlign val="subscript"/>
      <sz val="8.5"/>
      <name val="Times New Roman"/>
      <family val="1"/>
    </font>
    <font>
      <sz val="8.5"/>
      <name val="Times New Roman"/>
      <family val="1"/>
    </font>
    <font>
      <vertAlign val="superscript"/>
      <sz val="8.5"/>
      <name val="Times New Roman"/>
      <family val="1"/>
    </font>
    <font>
      <i/>
      <sz val="12"/>
      <color theme="1"/>
      <name val="Times New Roman"/>
      <family val="1"/>
    </font>
    <font>
      <sz val="10"/>
      <color rgb="FF111111"/>
      <name val="Calibri "/>
    </font>
    <font>
      <sz val="10"/>
      <color theme="1"/>
      <name val="Calibri "/>
    </font>
    <font>
      <sz val="10"/>
      <color rgb="FF484848"/>
      <name val="Calibri "/>
    </font>
    <font>
      <b/>
      <sz val="11"/>
      <color rgb="FF000000"/>
      <name val="Calibri"/>
      <family val="2"/>
    </font>
    <font>
      <sz val="11"/>
      <color rgb="FF000000"/>
      <name val="Calibri"/>
      <family val="2"/>
    </font>
    <font>
      <sz val="10"/>
      <color rgb="FF242424"/>
      <name val="Times New Roman"/>
      <family val="1"/>
    </font>
    <font>
      <sz val="10"/>
      <name val="Times New Roman"/>
      <family val="1"/>
    </font>
    <font>
      <i/>
      <sz val="10"/>
      <color theme="1"/>
      <name val="Times New Roman"/>
      <family val="1"/>
    </font>
    <font>
      <sz val="11"/>
      <color rgb="FF000000"/>
      <name val="Aptos Narrow"/>
      <family val="2"/>
    </font>
    <font>
      <u/>
      <sz val="11"/>
      <name val="Calibri"/>
      <family val="2"/>
      <scheme val="minor"/>
    </font>
    <font>
      <b/>
      <sz val="11"/>
      <name val="Calibri"/>
      <family val="2"/>
    </font>
    <font>
      <sz val="9"/>
      <color theme="1"/>
      <name val="Segoe UI"/>
      <family val="2"/>
    </font>
    <font>
      <sz val="11"/>
      <color rgb="FFFFFFFF"/>
      <name val="Calibri"/>
      <family val="2"/>
      <scheme val="minor"/>
    </font>
    <font>
      <sz val="12"/>
      <color rgb="FFFF0000"/>
      <name val="Times New Roman"/>
      <family val="1"/>
    </font>
  </fonts>
  <fills count="28">
    <fill>
      <patternFill patternType="none"/>
    </fill>
    <fill>
      <patternFill patternType="gray125"/>
    </fill>
    <fill>
      <patternFill patternType="solid">
        <fgColor rgb="FF002060"/>
        <bgColor indexed="64"/>
      </patternFill>
    </fill>
    <fill>
      <patternFill patternType="solid">
        <fgColor theme="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rgb="FFD9D9D9"/>
        <bgColor indexed="64"/>
      </patternFill>
    </fill>
    <fill>
      <patternFill patternType="solid">
        <fgColor theme="7" tint="0.79998168889431442"/>
        <bgColor indexed="64"/>
      </patternFill>
    </fill>
    <fill>
      <patternFill patternType="solid">
        <fgColor theme="0"/>
        <bgColor indexed="64"/>
      </patternFill>
    </fill>
    <fill>
      <patternFill patternType="solid">
        <fgColor rgb="FFFFC000"/>
        <bgColor indexed="64"/>
      </patternFill>
    </fill>
    <fill>
      <patternFill patternType="solid">
        <fgColor theme="0" tint="-0.14999847407452621"/>
        <bgColor indexed="64"/>
      </patternFill>
    </fill>
    <fill>
      <patternFill patternType="solid">
        <fgColor theme="4" tint="0.39997558519241921"/>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8" tint="0.59999389629810485"/>
        <bgColor indexed="64"/>
      </patternFill>
    </fill>
    <fill>
      <patternFill patternType="solid">
        <fgColor rgb="FFFFFF00"/>
        <bgColor indexed="64"/>
      </patternFill>
    </fill>
    <fill>
      <patternFill patternType="solid">
        <fgColor theme="2" tint="-9.9978637043366805E-2"/>
        <bgColor indexed="64"/>
      </patternFill>
    </fill>
    <fill>
      <patternFill patternType="solid">
        <fgColor theme="1"/>
        <bgColor indexed="64"/>
      </patternFill>
    </fill>
    <fill>
      <patternFill patternType="solid">
        <fgColor rgb="FFF2F2F2"/>
        <bgColor indexed="64"/>
      </patternFill>
    </fill>
    <fill>
      <patternFill patternType="solid">
        <fgColor theme="4" tint="0.59999389629810485"/>
        <bgColor indexed="64"/>
      </patternFill>
    </fill>
    <fill>
      <patternFill patternType="solid">
        <fgColor theme="0" tint="-0.499984740745262"/>
        <bgColor indexed="64"/>
      </patternFill>
    </fill>
    <fill>
      <patternFill patternType="solid">
        <fgColor rgb="FFFFFFFF"/>
        <bgColor indexed="64"/>
      </patternFill>
    </fill>
    <fill>
      <patternFill patternType="solid">
        <fgColor theme="3" tint="0.89999084444715716"/>
        <bgColor indexed="64"/>
      </patternFill>
    </fill>
    <fill>
      <patternFill patternType="solid">
        <fgColor theme="0" tint="-0.249977111117893"/>
        <bgColor indexed="64"/>
      </patternFill>
    </fill>
    <fill>
      <patternFill patternType="solid">
        <fgColor rgb="FF7A7A7A"/>
      </patternFill>
    </fill>
    <fill>
      <patternFill patternType="solid">
        <fgColor theme="3"/>
        <bgColor indexed="64"/>
      </patternFill>
    </fill>
    <fill>
      <patternFill patternType="solid">
        <fgColor theme="6"/>
        <bgColor indexed="64"/>
      </patternFill>
    </fill>
    <fill>
      <patternFill patternType="solid">
        <fgColor rgb="FF92D050"/>
        <bgColor indexed="64"/>
      </patternFill>
    </fill>
  </fills>
  <borders count="7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thin">
        <color indexed="64"/>
      </top>
      <bottom/>
      <diagonal/>
    </border>
    <border>
      <left style="medium">
        <color indexed="64"/>
      </left>
      <right/>
      <top style="thin">
        <color indexed="64"/>
      </top>
      <bottom/>
      <diagonal/>
    </border>
    <border>
      <left style="medium">
        <color indexed="64"/>
      </left>
      <right/>
      <top/>
      <bottom style="thin">
        <color indexed="64"/>
      </bottom>
      <diagonal/>
    </border>
    <border>
      <left/>
      <right/>
      <top style="medium">
        <color indexed="64"/>
      </top>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style="medium">
        <color indexed="64"/>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style="double">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double">
        <color indexed="64"/>
      </top>
      <bottom/>
      <diagonal/>
    </border>
    <border>
      <left style="medium">
        <color indexed="64"/>
      </left>
      <right style="medium">
        <color indexed="64"/>
      </right>
      <top/>
      <bottom style="thin">
        <color indexed="64"/>
      </bottom>
      <diagonal/>
    </border>
    <border>
      <left style="thin">
        <color rgb="FF000000"/>
      </left>
      <right style="medium">
        <color rgb="FF000000"/>
      </right>
      <top style="thin">
        <color rgb="FF000000"/>
      </top>
      <bottom style="double">
        <color rgb="FF000000"/>
      </bottom>
      <diagonal/>
    </border>
    <border>
      <left style="medium">
        <color rgb="FF000000"/>
      </left>
      <right style="medium">
        <color rgb="FF000000"/>
      </right>
      <top style="thin">
        <color rgb="FF000000"/>
      </top>
      <bottom style="double">
        <color rgb="FF000000"/>
      </bottom>
      <diagonal/>
    </border>
    <border>
      <left style="medium">
        <color rgb="FF000000"/>
      </left>
      <right style="thin">
        <color rgb="FF000000"/>
      </right>
      <top style="thin">
        <color rgb="FF000000"/>
      </top>
      <bottom style="double">
        <color rgb="FF000000"/>
      </bottom>
      <diagonal/>
    </border>
    <border>
      <left style="thin">
        <color rgb="FF000000"/>
      </left>
      <right style="medium">
        <color rgb="FF000000"/>
      </right>
      <top style="double">
        <color rgb="FF000000"/>
      </top>
      <bottom style="medium">
        <color rgb="FF000000"/>
      </bottom>
      <diagonal/>
    </border>
    <border>
      <left style="medium">
        <color rgb="FF000000"/>
      </left>
      <right style="medium">
        <color rgb="FF000000"/>
      </right>
      <top style="double">
        <color rgb="FF000000"/>
      </top>
      <bottom style="medium">
        <color rgb="FF000000"/>
      </bottom>
      <diagonal/>
    </border>
    <border>
      <left style="medium">
        <color rgb="FF000000"/>
      </left>
      <right style="thin">
        <color rgb="FF000000"/>
      </right>
      <top style="double">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thin">
        <color indexed="64"/>
      </left>
      <right style="thin">
        <color indexed="64"/>
      </right>
      <top style="thin">
        <color indexed="64"/>
      </top>
      <bottom style="medium">
        <color indexed="64"/>
      </bottom>
      <diagonal/>
    </border>
    <border>
      <left/>
      <right/>
      <top/>
      <bottom style="thin">
        <color rgb="FF000000"/>
      </bottom>
      <diagonal/>
    </border>
    <border>
      <left style="medium">
        <color indexed="64"/>
      </left>
      <right/>
      <top/>
      <bottom style="thin">
        <color rgb="FF000000"/>
      </bottom>
      <diagonal/>
    </border>
    <border>
      <left style="thin">
        <color rgb="FF000000"/>
      </left>
      <right/>
      <top/>
      <bottom/>
      <diagonal/>
    </border>
    <border>
      <left style="thin">
        <color rgb="FF000000"/>
      </left>
      <right style="thin">
        <color indexed="64"/>
      </right>
      <top style="thin">
        <color indexed="64"/>
      </top>
      <bottom style="thin">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indexed="64"/>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style="medium">
        <color indexed="64"/>
      </right>
      <top/>
      <bottom style="thin">
        <color rgb="FF000000"/>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s>
  <cellStyleXfs count="3">
    <xf numFmtId="0" fontId="0" fillId="0" borderId="0"/>
    <xf numFmtId="0" fontId="11" fillId="0" borderId="0" applyNumberFormat="0" applyFill="0" applyBorder="0" applyAlignment="0" applyProtection="0"/>
    <xf numFmtId="0" fontId="50" fillId="0" borderId="0"/>
  </cellStyleXfs>
  <cellXfs count="739">
    <xf numFmtId="0" fontId="0" fillId="0" borderId="0" xfId="0"/>
    <xf numFmtId="0" fontId="0" fillId="0" borderId="0" xfId="0" applyAlignment="1">
      <alignment horizontal="center"/>
    </xf>
    <xf numFmtId="0" fontId="0" fillId="0" borderId="0" xfId="0"/>
    <xf numFmtId="0" fontId="86" fillId="24" borderId="0" xfId="0" applyFont="1" applyFill="1"/>
    <xf numFmtId="14" fontId="0" fillId="0" borderId="0" xfId="0" applyNumberFormat="1"/>
    <xf numFmtId="0" fontId="87" fillId="8" borderId="0" xfId="0" applyFont="1" applyFill="1" applyAlignment="1" applyProtection="1">
      <alignment horizontal="center"/>
    </xf>
    <xf numFmtId="0" fontId="17" fillId="8" borderId="0" xfId="0" applyFont="1" applyFill="1" applyProtection="1"/>
    <xf numFmtId="17" fontId="87" fillId="8" borderId="0" xfId="0" quotePrefix="1" applyNumberFormat="1" applyFont="1" applyFill="1" applyAlignment="1" applyProtection="1">
      <alignment horizontal="center"/>
    </xf>
    <xf numFmtId="0" fontId="62" fillId="8" borderId="0" xfId="0" applyFont="1" applyFill="1" applyAlignment="1" applyProtection="1">
      <alignment horizontal="center" vertical="center" wrapText="1"/>
    </xf>
    <xf numFmtId="49" fontId="63" fillId="8" borderId="0" xfId="0" quotePrefix="1" applyNumberFormat="1" applyFont="1" applyFill="1" applyAlignment="1" applyProtection="1">
      <alignment horizontal="center"/>
    </xf>
    <xf numFmtId="0" fontId="4" fillId="0" borderId="0" xfId="0" applyFont="1" applyAlignment="1" applyProtection="1">
      <alignment horizontal="left" vertical="top"/>
    </xf>
    <xf numFmtId="0" fontId="2" fillId="0" borderId="0" xfId="0" applyFont="1" applyAlignment="1" applyProtection="1">
      <alignment horizontal="left"/>
    </xf>
    <xf numFmtId="0" fontId="0" fillId="0" borderId="0" xfId="0" applyAlignment="1" applyProtection="1">
      <alignment horizontal="left"/>
    </xf>
    <xf numFmtId="0" fontId="1" fillId="2" borderId="1" xfId="0" applyFont="1" applyFill="1" applyBorder="1" applyAlignment="1" applyProtection="1">
      <alignment horizontal="left" vertical="top"/>
    </xf>
    <xf numFmtId="0" fontId="0" fillId="3" borderId="1" xfId="0" applyFill="1" applyBorder="1" applyAlignment="1" applyProtection="1">
      <alignment vertical="top"/>
    </xf>
    <xf numFmtId="0" fontId="0" fillId="0" borderId="1" xfId="0" applyBorder="1" applyAlignment="1" applyProtection="1">
      <alignment vertical="top" wrapText="1"/>
    </xf>
    <xf numFmtId="0" fontId="0" fillId="0" borderId="0" xfId="0" applyAlignment="1" applyProtection="1">
      <alignment vertical="top"/>
    </xf>
    <xf numFmtId="0" fontId="0" fillId="3" borderId="4" xfId="0" applyFill="1" applyBorder="1" applyAlignment="1" applyProtection="1">
      <alignment vertical="top"/>
    </xf>
    <xf numFmtId="0" fontId="5" fillId="0" borderId="2" xfId="0" applyFont="1" applyBorder="1" applyAlignment="1" applyProtection="1">
      <alignment vertical="top" wrapText="1"/>
    </xf>
    <xf numFmtId="49" fontId="0" fillId="0" borderId="0" xfId="0" applyNumberFormat="1" applyProtection="1"/>
    <xf numFmtId="0" fontId="5" fillId="3" borderId="4" xfId="0" applyFont="1" applyFill="1" applyBorder="1" applyAlignment="1" applyProtection="1">
      <alignment vertical="top"/>
    </xf>
    <xf numFmtId="0" fontId="5" fillId="3" borderId="10" xfId="0" applyFont="1" applyFill="1" applyBorder="1" applyAlignment="1" applyProtection="1">
      <alignment vertical="top"/>
    </xf>
    <xf numFmtId="0" fontId="0" fillId="3" borderId="1" xfId="0" applyFill="1" applyBorder="1" applyAlignment="1" applyProtection="1">
      <alignment horizontal="left" vertical="top"/>
    </xf>
    <xf numFmtId="0" fontId="0" fillId="0" borderId="1" xfId="0" applyBorder="1" applyAlignment="1" applyProtection="1">
      <alignment horizontal="left"/>
    </xf>
    <xf numFmtId="0" fontId="0" fillId="0" borderId="0" xfId="0" applyAlignment="1" applyProtection="1">
      <alignment horizontal="left" vertical="top"/>
    </xf>
    <xf numFmtId="0" fontId="6" fillId="0" borderId="0" xfId="0" applyFont="1" applyAlignment="1" applyProtection="1">
      <alignment horizontal="left" vertical="top"/>
    </xf>
    <xf numFmtId="0" fontId="18" fillId="0" borderId="1" xfId="0" applyFont="1" applyBorder="1" applyAlignment="1" applyProtection="1">
      <alignment horizontal="center" vertical="center"/>
    </xf>
    <xf numFmtId="0" fontId="18" fillId="0" borderId="12" xfId="0" applyFont="1" applyBorder="1" applyAlignment="1" applyProtection="1">
      <alignment horizontal="center" vertical="top"/>
    </xf>
    <xf numFmtId="0" fontId="3" fillId="0" borderId="12" xfId="0" applyFont="1" applyBorder="1" applyAlignment="1" applyProtection="1">
      <alignment horizontal="left" vertical="top"/>
    </xf>
    <xf numFmtId="0" fontId="3" fillId="0" borderId="0" xfId="0" applyFont="1" applyAlignment="1" applyProtection="1">
      <alignment horizontal="left" vertical="top"/>
    </xf>
    <xf numFmtId="0" fontId="0" fillId="0" borderId="0" xfId="0" applyProtection="1"/>
    <xf numFmtId="0" fontId="0" fillId="0" borderId="5" xfId="0" applyBorder="1" applyAlignment="1" applyProtection="1">
      <alignment horizontal="left" vertical="top"/>
    </xf>
    <xf numFmtId="11" fontId="0" fillId="0" borderId="5" xfId="0" applyNumberFormat="1" applyBorder="1" applyAlignment="1" applyProtection="1">
      <alignment horizontal="center" vertical="top"/>
    </xf>
    <xf numFmtId="11" fontId="0" fillId="0" borderId="0" xfId="0" applyNumberFormat="1" applyAlignment="1" applyProtection="1">
      <alignment horizontal="left" vertical="top"/>
    </xf>
    <xf numFmtId="0" fontId="7" fillId="6" borderId="1" xfId="0" applyFont="1" applyFill="1" applyBorder="1" applyAlignment="1" applyProtection="1">
      <alignment horizontal="left" vertical="top" wrapText="1"/>
    </xf>
    <xf numFmtId="0" fontId="8" fillId="0" borderId="1" xfId="0" applyFont="1" applyBorder="1" applyAlignment="1" applyProtection="1">
      <alignment horizontal="left" vertical="top" wrapText="1"/>
    </xf>
    <xf numFmtId="0" fontId="8" fillId="0" borderId="1" xfId="0" applyFont="1" applyBorder="1" applyAlignment="1" applyProtection="1">
      <alignment horizontal="center" vertical="top" wrapText="1"/>
    </xf>
    <xf numFmtId="0" fontId="8" fillId="7" borderId="1" xfId="0" applyFont="1" applyFill="1" applyBorder="1" applyAlignment="1" applyProtection="1">
      <alignment horizontal="center" vertical="top" wrapText="1"/>
    </xf>
    <xf numFmtId="0" fontId="0" fillId="15" borderId="5" xfId="0" applyFill="1" applyBorder="1" applyAlignment="1" applyProtection="1">
      <alignment horizontal="left" vertical="top"/>
    </xf>
    <xf numFmtId="11" fontId="0" fillId="15" borderId="5" xfId="0" applyNumberFormat="1" applyFill="1" applyBorder="1" applyAlignment="1" applyProtection="1">
      <alignment horizontal="center" vertical="top"/>
    </xf>
    <xf numFmtId="11" fontId="0" fillId="15" borderId="0" xfId="0" applyNumberFormat="1" applyFill="1" applyAlignment="1" applyProtection="1">
      <alignment horizontal="left" vertical="top"/>
    </xf>
    <xf numFmtId="0" fontId="0" fillId="0" borderId="0" xfId="0" applyAlignment="1" applyProtection="1">
      <alignment horizontal="left" vertical="center" wrapText="1"/>
    </xf>
    <xf numFmtId="11" fontId="8" fillId="0" borderId="1" xfId="0" applyNumberFormat="1" applyFont="1" applyBorder="1" applyAlignment="1" applyProtection="1">
      <alignment horizontal="center" vertical="top" wrapText="1"/>
    </xf>
    <xf numFmtId="11" fontId="0" fillId="7" borderId="1" xfId="0" applyNumberFormat="1" applyFill="1" applyBorder="1" applyAlignment="1" applyProtection="1">
      <alignment horizontal="center"/>
    </xf>
    <xf numFmtId="0" fontId="8" fillId="7" borderId="0" xfId="0" applyFont="1" applyFill="1" applyAlignment="1" applyProtection="1">
      <alignment horizontal="center"/>
    </xf>
    <xf numFmtId="11" fontId="9" fillId="7" borderId="1" xfId="0" applyNumberFormat="1" applyFont="1" applyFill="1" applyBorder="1" applyAlignment="1" applyProtection="1">
      <alignment horizontal="center"/>
    </xf>
    <xf numFmtId="0" fontId="0" fillId="0" borderId="0" xfId="0" applyAlignment="1" applyProtection="1">
      <alignment horizontal="center" vertical="top" wrapText="1"/>
    </xf>
    <xf numFmtId="0" fontId="9" fillId="7" borderId="1" xfId="0" applyFont="1" applyFill="1" applyBorder="1" applyAlignment="1" applyProtection="1">
      <alignment horizontal="center"/>
    </xf>
    <xf numFmtId="0" fontId="0" fillId="0" borderId="0" xfId="0" applyAlignment="1" applyProtection="1">
      <alignment horizontal="center" vertical="center" wrapText="1"/>
    </xf>
    <xf numFmtId="0" fontId="8" fillId="0" borderId="5" xfId="0" applyFont="1" applyBorder="1" applyAlignment="1" applyProtection="1">
      <alignment horizontal="left" vertical="top" wrapText="1"/>
    </xf>
    <xf numFmtId="0" fontId="8" fillId="0" borderId="5" xfId="0" applyFont="1" applyBorder="1" applyAlignment="1" applyProtection="1">
      <alignment horizontal="center" vertical="top" wrapText="1"/>
    </xf>
    <xf numFmtId="0" fontId="3" fillId="0" borderId="0" xfId="0" applyFont="1" applyAlignment="1" applyProtection="1">
      <alignment horizontal="right" vertical="top"/>
    </xf>
    <xf numFmtId="0" fontId="8" fillId="0" borderId="0" xfId="0" applyFont="1" applyAlignment="1" applyProtection="1">
      <alignment horizontal="left" vertical="top"/>
    </xf>
    <xf numFmtId="0" fontId="0" fillId="0" borderId="0" xfId="0" applyAlignment="1" applyProtection="1">
      <alignment horizontal="right" vertical="top"/>
    </xf>
    <xf numFmtId="0" fontId="0" fillId="0" borderId="0" xfId="0" applyAlignment="1" applyProtection="1">
      <alignment horizontal="center" vertical="top"/>
    </xf>
    <xf numFmtId="164" fontId="0" fillId="0" borderId="0" xfId="0" applyNumberFormat="1" applyAlignment="1" applyProtection="1">
      <alignment horizontal="center" vertical="top"/>
    </xf>
    <xf numFmtId="0" fontId="8" fillId="0" borderId="0" xfId="0" applyFont="1" applyAlignment="1" applyProtection="1">
      <alignment horizontal="center" vertical="top" wrapText="1"/>
    </xf>
    <xf numFmtId="0" fontId="0" fillId="4" borderId="5" xfId="0" applyFill="1" applyBorder="1" applyAlignment="1" applyProtection="1">
      <alignment horizontal="left" vertical="top"/>
    </xf>
    <xf numFmtId="11" fontId="0" fillId="4" borderId="5" xfId="0" applyNumberFormat="1" applyFill="1" applyBorder="1" applyAlignment="1" applyProtection="1">
      <alignment horizontal="center" vertical="top"/>
    </xf>
    <xf numFmtId="11" fontId="0" fillId="4" borderId="0" xfId="0" applyNumberFormat="1" applyFill="1" applyAlignment="1" applyProtection="1">
      <alignment horizontal="left" vertical="top"/>
    </xf>
    <xf numFmtId="0" fontId="0" fillId="4" borderId="0" xfId="0" applyFill="1" applyAlignment="1" applyProtection="1">
      <alignment horizontal="center" vertical="top"/>
    </xf>
    <xf numFmtId="0" fontId="0" fillId="0" borderId="20" xfId="0" applyBorder="1" applyProtection="1"/>
    <xf numFmtId="0" fontId="0" fillId="0" borderId="25" xfId="0" applyBorder="1" applyProtection="1"/>
    <xf numFmtId="0" fontId="0" fillId="0" borderId="21" xfId="0" applyBorder="1" applyProtection="1"/>
    <xf numFmtId="0" fontId="11" fillId="0" borderId="15" xfId="1" applyBorder="1" applyProtection="1"/>
    <xf numFmtId="0" fontId="0" fillId="0" borderId="16" xfId="0" applyBorder="1" applyProtection="1"/>
    <xf numFmtId="0" fontId="0" fillId="0" borderId="15" xfId="0" applyBorder="1" applyProtection="1"/>
    <xf numFmtId="0" fontId="58" fillId="0" borderId="15" xfId="0" applyFont="1" applyBorder="1" applyAlignment="1" applyProtection="1">
      <alignment wrapText="1"/>
    </xf>
    <xf numFmtId="0" fontId="0" fillId="0" borderId="0" xfId="0" applyAlignment="1" applyProtection="1">
      <alignment wrapText="1"/>
    </xf>
    <xf numFmtId="0" fontId="0" fillId="0" borderId="16" xfId="0" applyBorder="1" applyAlignment="1" applyProtection="1">
      <alignment wrapText="1"/>
    </xf>
    <xf numFmtId="0" fontId="0" fillId="0" borderId="15" xfId="0" applyBorder="1" applyAlignment="1" applyProtection="1">
      <alignment wrapText="1"/>
    </xf>
    <xf numFmtId="0" fontId="0" fillId="0" borderId="15" xfId="0" applyBorder="1" applyAlignment="1" applyProtection="1">
      <alignment horizontal="left" vertical="top" wrapText="1"/>
    </xf>
    <xf numFmtId="0" fontId="0" fillId="0" borderId="0" xfId="0" applyAlignment="1" applyProtection="1">
      <alignment horizontal="right"/>
    </xf>
    <xf numFmtId="0" fontId="0" fillId="0" borderId="15" xfId="0" applyBorder="1" applyAlignment="1" applyProtection="1">
      <alignment horizontal="left" vertical="top"/>
    </xf>
    <xf numFmtId="0" fontId="0" fillId="0" borderId="0" xfId="0" applyAlignment="1" applyProtection="1">
      <alignment wrapText="1"/>
    </xf>
    <xf numFmtId="0" fontId="0" fillId="0" borderId="15" xfId="0" applyBorder="1" applyAlignment="1" applyProtection="1">
      <alignment vertical="top" wrapText="1"/>
    </xf>
    <xf numFmtId="0" fontId="0" fillId="0" borderId="16" xfId="0" applyBorder="1" applyAlignment="1" applyProtection="1">
      <alignment vertical="top"/>
    </xf>
    <xf numFmtId="0" fontId="0" fillId="0" borderId="16" xfId="0" applyBorder="1" applyAlignment="1" applyProtection="1">
      <alignment horizontal="left" vertical="top"/>
    </xf>
    <xf numFmtId="0" fontId="0" fillId="0" borderId="16" xfId="0" applyBorder="1" applyAlignment="1" applyProtection="1">
      <alignment horizontal="center" wrapText="1"/>
    </xf>
    <xf numFmtId="0" fontId="3" fillId="0" borderId="15" xfId="0" applyFont="1" applyBorder="1" applyProtection="1"/>
    <xf numFmtId="0" fontId="0" fillId="0" borderId="0" xfId="0" applyAlignment="1" applyProtection="1">
      <alignment horizontal="center" wrapText="1"/>
    </xf>
    <xf numFmtId="0" fontId="3" fillId="0" borderId="12" xfId="0" applyFont="1" applyBorder="1" applyAlignment="1" applyProtection="1">
      <alignment horizontal="center" wrapText="1"/>
    </xf>
    <xf numFmtId="0" fontId="3" fillId="0" borderId="26" xfId="0" applyFont="1" applyBorder="1" applyAlignment="1" applyProtection="1">
      <alignment horizontal="center" wrapText="1"/>
    </xf>
    <xf numFmtId="0" fontId="55" fillId="0" borderId="38" xfId="0" applyFont="1" applyBorder="1" applyAlignment="1" applyProtection="1">
      <alignment horizontal="center"/>
    </xf>
    <xf numFmtId="164" fontId="55" fillId="0" borderId="3" xfId="0" applyNumberFormat="1" applyFont="1" applyBorder="1" applyAlignment="1" applyProtection="1">
      <alignment horizontal="center"/>
    </xf>
    <xf numFmtId="164" fontId="56" fillId="0" borderId="3" xfId="0" applyNumberFormat="1" applyFont="1" applyBorder="1" applyAlignment="1" applyProtection="1">
      <alignment horizontal="center"/>
    </xf>
    <xf numFmtId="0" fontId="0" fillId="0" borderId="0" xfId="0" applyAlignment="1" applyProtection="1">
      <alignment horizontal="center"/>
    </xf>
    <xf numFmtId="0" fontId="0" fillId="0" borderId="16" xfId="0" applyBorder="1" applyAlignment="1" applyProtection="1">
      <alignment horizontal="center"/>
    </xf>
    <xf numFmtId="49" fontId="19" fillId="0" borderId="0" xfId="0" applyNumberFormat="1" applyFont="1" applyAlignment="1" applyProtection="1">
      <alignment horizontal="right" vertical="top"/>
    </xf>
    <xf numFmtId="0" fontId="3" fillId="0" borderId="0" xfId="0" applyFont="1" applyAlignment="1" applyProtection="1">
      <alignment horizontal="center" vertical="top"/>
    </xf>
    <xf numFmtId="0" fontId="3" fillId="0" borderId="16" xfId="0" applyFont="1" applyBorder="1" applyAlignment="1" applyProtection="1">
      <alignment horizontal="center"/>
    </xf>
    <xf numFmtId="0" fontId="54" fillId="5" borderId="39" xfId="0" applyFont="1" applyFill="1" applyBorder="1" applyProtection="1"/>
    <xf numFmtId="164" fontId="54" fillId="5" borderId="5" xfId="0" applyNumberFormat="1" applyFont="1" applyFill="1" applyBorder="1" applyAlignment="1" applyProtection="1">
      <alignment horizontal="center"/>
    </xf>
    <xf numFmtId="1" fontId="54" fillId="0" borderId="5" xfId="0" applyNumberFormat="1" applyFont="1" applyBorder="1" applyAlignment="1" applyProtection="1">
      <alignment horizontal="center"/>
    </xf>
    <xf numFmtId="11" fontId="0" fillId="0" borderId="0" xfId="0" applyNumberFormat="1" applyAlignment="1" applyProtection="1">
      <alignment horizontal="center"/>
    </xf>
    <xf numFmtId="11" fontId="0" fillId="0" borderId="16" xfId="0" applyNumberFormat="1" applyBorder="1" applyAlignment="1" applyProtection="1">
      <alignment horizontal="center"/>
    </xf>
    <xf numFmtId="11" fontId="0" fillId="5" borderId="0" xfId="0" applyNumberFormat="1" applyFill="1" applyAlignment="1" applyProtection="1">
      <alignment horizontal="center" vertical="top"/>
    </xf>
    <xf numFmtId="2" fontId="0" fillId="0" borderId="0" xfId="0" applyNumberFormat="1" applyAlignment="1" applyProtection="1">
      <alignment horizontal="center" vertical="top"/>
    </xf>
    <xf numFmtId="2" fontId="0" fillId="0" borderId="0" xfId="0" applyNumberFormat="1" applyAlignment="1" applyProtection="1">
      <alignment horizontal="center"/>
    </xf>
    <xf numFmtId="2" fontId="0" fillId="0" borderId="16" xfId="0" applyNumberFormat="1" applyBorder="1" applyAlignment="1" applyProtection="1">
      <alignment horizontal="center"/>
    </xf>
    <xf numFmtId="0" fontId="0" fillId="0" borderId="15" xfId="0" applyBorder="1" applyAlignment="1" applyProtection="1">
      <alignment vertical="top"/>
    </xf>
    <xf numFmtId="0" fontId="49" fillId="7" borderId="0" xfId="0" applyFont="1" applyFill="1" applyProtection="1"/>
    <xf numFmtId="0" fontId="54" fillId="15" borderId="39" xfId="0" applyFont="1" applyFill="1" applyBorder="1" applyProtection="1"/>
    <xf numFmtId="164" fontId="54" fillId="15" borderId="5" xfId="0" applyNumberFormat="1" applyFont="1" applyFill="1" applyBorder="1" applyAlignment="1" applyProtection="1">
      <alignment horizontal="center"/>
    </xf>
    <xf numFmtId="1" fontId="54" fillId="15" borderId="5" xfId="0" applyNumberFormat="1" applyFont="1" applyFill="1" applyBorder="1" applyAlignment="1" applyProtection="1">
      <alignment horizontal="center"/>
    </xf>
    <xf numFmtId="11" fontId="0" fillId="15" borderId="0" xfId="0" applyNumberFormat="1" applyFill="1" applyAlignment="1" applyProtection="1">
      <alignment horizontal="center"/>
    </xf>
    <xf numFmtId="11" fontId="0" fillId="15" borderId="16" xfId="0" applyNumberFormat="1" applyFill="1" applyBorder="1" applyAlignment="1" applyProtection="1">
      <alignment horizontal="center"/>
    </xf>
    <xf numFmtId="11" fontId="0" fillId="15" borderId="0" xfId="0" applyNumberFormat="1" applyFill="1" applyAlignment="1" applyProtection="1">
      <alignment horizontal="center" vertical="top"/>
    </xf>
    <xf numFmtId="2" fontId="0" fillId="15" borderId="0" xfId="0" applyNumberFormat="1" applyFill="1" applyAlignment="1" applyProtection="1">
      <alignment horizontal="center" vertical="top"/>
    </xf>
    <xf numFmtId="2" fontId="0" fillId="15" borderId="0" xfId="0" applyNumberFormat="1" applyFill="1" applyAlignment="1" applyProtection="1">
      <alignment horizontal="center"/>
    </xf>
    <xf numFmtId="0" fontId="3" fillId="0" borderId="0" xfId="0" applyFont="1" applyAlignment="1" applyProtection="1">
      <alignment horizontal="center" wrapText="1"/>
    </xf>
    <xf numFmtId="0" fontId="3" fillId="0" borderId="11" xfId="0" applyFont="1" applyBorder="1" applyAlignment="1" applyProtection="1">
      <alignment horizontal="center" vertical="top"/>
    </xf>
    <xf numFmtId="164" fontId="54" fillId="5" borderId="5" xfId="0" applyNumberFormat="1" applyFont="1" applyFill="1" applyBorder="1" applyProtection="1"/>
    <xf numFmtId="1" fontId="54" fillId="5" borderId="5" xfId="0" applyNumberFormat="1" applyFont="1" applyFill="1" applyBorder="1" applyProtection="1"/>
    <xf numFmtId="0" fontId="54" fillId="5" borderId="40" xfId="0" applyFont="1" applyFill="1" applyBorder="1" applyProtection="1"/>
    <xf numFmtId="164" fontId="54" fillId="5" borderId="41" xfId="0" applyNumberFormat="1" applyFont="1" applyFill="1" applyBorder="1" applyAlignment="1" applyProtection="1">
      <alignment horizontal="center"/>
    </xf>
    <xf numFmtId="1" fontId="54" fillId="0" borderId="41" xfId="0" applyNumberFormat="1" applyFont="1" applyBorder="1" applyAlignment="1" applyProtection="1">
      <alignment horizontal="center"/>
    </xf>
    <xf numFmtId="11" fontId="0" fillId="0" borderId="18" xfId="0" applyNumberFormat="1" applyBorder="1" applyAlignment="1" applyProtection="1">
      <alignment horizontal="center"/>
    </xf>
    <xf numFmtId="11" fontId="0" fillId="0" borderId="19" xfId="0" applyNumberFormat="1" applyBorder="1" applyAlignment="1" applyProtection="1">
      <alignment horizontal="center"/>
    </xf>
    <xf numFmtId="164" fontId="54" fillId="5" borderId="41" xfId="0" applyNumberFormat="1" applyFont="1" applyFill="1" applyBorder="1" applyProtection="1"/>
    <xf numFmtId="11" fontId="0" fillId="0" borderId="18" xfId="0" applyNumberFormat="1" applyBorder="1" applyAlignment="1" applyProtection="1">
      <alignment horizontal="left" vertical="top"/>
    </xf>
    <xf numFmtId="0" fontId="0" fillId="0" borderId="18" xfId="0" applyBorder="1" applyProtection="1"/>
    <xf numFmtId="0" fontId="0" fillId="0" borderId="19" xfId="0" applyBorder="1" applyProtection="1"/>
    <xf numFmtId="0" fontId="67" fillId="18" borderId="44" xfId="0" applyFont="1" applyFill="1" applyBorder="1" applyAlignment="1" applyProtection="1">
      <alignment horizontal="center" vertical="center" wrapText="1"/>
    </xf>
    <xf numFmtId="0" fontId="68" fillId="18" borderId="45" xfId="0" applyFont="1" applyFill="1" applyBorder="1" applyAlignment="1" applyProtection="1">
      <alignment horizontal="center" vertical="center" wrapText="1"/>
    </xf>
    <xf numFmtId="0" fontId="67" fillId="18" borderId="45" xfId="0" applyFont="1" applyFill="1" applyBorder="1" applyAlignment="1" applyProtection="1">
      <alignment horizontal="center" vertical="center" wrapText="1"/>
    </xf>
    <xf numFmtId="0" fontId="67" fillId="18" borderId="46" xfId="0" applyFont="1" applyFill="1" applyBorder="1" applyAlignment="1" applyProtection="1">
      <alignment horizontal="center" vertical="center" wrapText="1"/>
    </xf>
    <xf numFmtId="0" fontId="69" fillId="0" borderId="47" xfId="0" applyFont="1" applyBorder="1" applyAlignment="1" applyProtection="1">
      <alignment horizontal="left" vertical="center" wrapText="1"/>
    </xf>
    <xf numFmtId="0" fontId="69" fillId="0" borderId="48" xfId="0" applyFont="1" applyBorder="1" applyAlignment="1" applyProtection="1">
      <alignment horizontal="center" vertical="center" wrapText="1"/>
    </xf>
    <xf numFmtId="0" fontId="69" fillId="0" borderId="48" xfId="0" applyFont="1" applyBorder="1" applyAlignment="1" applyProtection="1">
      <alignment horizontal="left" vertical="center" wrapText="1"/>
    </xf>
    <xf numFmtId="0" fontId="69" fillId="0" borderId="49" xfId="0" applyFont="1" applyBorder="1" applyAlignment="1" applyProtection="1">
      <alignment horizontal="left" vertical="center" wrapText="1"/>
    </xf>
    <xf numFmtId="0" fontId="69" fillId="0" borderId="50" xfId="0" applyFont="1" applyBorder="1" applyAlignment="1" applyProtection="1">
      <alignment horizontal="left" vertical="center" wrapText="1"/>
    </xf>
    <xf numFmtId="0" fontId="69" fillId="0" borderId="51" xfId="0" applyFont="1" applyBorder="1" applyAlignment="1" applyProtection="1">
      <alignment horizontal="center" vertical="center" wrapText="1"/>
    </xf>
    <xf numFmtId="0" fontId="69" fillId="0" borderId="51" xfId="0" applyFont="1" applyBorder="1" applyAlignment="1" applyProtection="1">
      <alignment horizontal="left" vertical="center" wrapText="1"/>
    </xf>
    <xf numFmtId="0" fontId="69" fillId="0" borderId="52" xfId="0" applyFont="1" applyBorder="1" applyAlignment="1" applyProtection="1">
      <alignment horizontal="left" vertical="center" wrapText="1"/>
    </xf>
    <xf numFmtId="0" fontId="41" fillId="0" borderId="51" xfId="0" applyFont="1" applyBorder="1" applyAlignment="1" applyProtection="1">
      <alignment horizontal="center" vertical="center" wrapText="1"/>
    </xf>
    <xf numFmtId="0" fontId="69" fillId="0" borderId="53" xfId="0" applyFont="1" applyBorder="1" applyAlignment="1" applyProtection="1">
      <alignment horizontal="left" vertical="center" wrapText="1"/>
    </xf>
    <xf numFmtId="0" fontId="69" fillId="0" borderId="54" xfId="0" applyFont="1" applyBorder="1" applyAlignment="1" applyProtection="1">
      <alignment horizontal="center" vertical="center" wrapText="1"/>
    </xf>
    <xf numFmtId="0" fontId="69" fillId="0" borderId="55" xfId="0" applyFont="1" applyBorder="1" applyAlignment="1" applyProtection="1">
      <alignment horizontal="left" vertical="center" wrapText="1"/>
    </xf>
    <xf numFmtId="0" fontId="16" fillId="23" borderId="1" xfId="0" applyFont="1" applyFill="1" applyBorder="1" applyAlignment="1" applyProtection="1">
      <alignment horizontal="left" vertical="center" wrapText="1"/>
    </xf>
    <xf numFmtId="0" fontId="5" fillId="0" borderId="0" xfId="0" applyFont="1" applyAlignment="1" applyProtection="1">
      <alignment horizontal="left" wrapText="1"/>
    </xf>
    <xf numFmtId="0" fontId="5" fillId="0" borderId="0" xfId="0" applyFont="1" applyAlignment="1" applyProtection="1">
      <alignment horizontal="left" vertical="center" wrapText="1"/>
    </xf>
    <xf numFmtId="0" fontId="11" fillId="0" borderId="0" xfId="1" applyBorder="1" applyAlignment="1" applyProtection="1">
      <alignment horizontal="left" vertical="center" wrapText="1"/>
    </xf>
    <xf numFmtId="0" fontId="5" fillId="15" borderId="0" xfId="0" applyFont="1" applyFill="1" applyAlignment="1" applyProtection="1">
      <alignment horizontal="left" vertical="center" wrapText="1"/>
    </xf>
    <xf numFmtId="0" fontId="83" fillId="0" borderId="0" xfId="1" applyFont="1" applyBorder="1" applyAlignment="1" applyProtection="1">
      <alignment horizontal="left" vertical="center" wrapText="1"/>
    </xf>
    <xf numFmtId="0" fontId="11" fillId="0" borderId="0" xfId="1" applyAlignment="1" applyProtection="1">
      <alignment horizontal="center" wrapText="1"/>
    </xf>
    <xf numFmtId="0" fontId="4" fillId="0" borderId="0" xfId="0" applyFont="1" applyAlignment="1" applyProtection="1">
      <alignment horizontal="left"/>
    </xf>
    <xf numFmtId="0" fontId="6" fillId="0" borderId="0" xfId="0" applyFont="1" applyAlignment="1" applyProtection="1">
      <alignment horizontal="center"/>
    </xf>
    <xf numFmtId="0" fontId="6" fillId="0" borderId="0" xfId="0" applyFont="1" applyAlignment="1" applyProtection="1">
      <alignment horizontal="left"/>
    </xf>
    <xf numFmtId="0" fontId="3" fillId="0" borderId="0" xfId="0" applyFont="1" applyAlignment="1" applyProtection="1">
      <alignment horizontal="center" vertical="center" wrapText="1"/>
    </xf>
    <xf numFmtId="0" fontId="3" fillId="0" borderId="0" xfId="0" applyFont="1" applyAlignment="1" applyProtection="1">
      <alignment horizontal="left" vertical="center" wrapText="1"/>
    </xf>
    <xf numFmtId="0" fontId="3" fillId="0" borderId="0" xfId="0" applyFont="1" applyAlignment="1" applyProtection="1">
      <alignment horizontal="center" vertical="center"/>
    </xf>
    <xf numFmtId="0" fontId="0" fillId="0" borderId="0" xfId="0" applyAlignment="1" applyProtection="1">
      <alignment horizontal="center" vertical="center"/>
    </xf>
    <xf numFmtId="0" fontId="84" fillId="0" borderId="0" xfId="0" applyFont="1" applyAlignment="1" applyProtection="1">
      <alignment horizontal="center" vertical="center"/>
    </xf>
    <xf numFmtId="0" fontId="3" fillId="5" borderId="0" xfId="0" applyFont="1" applyFill="1" applyAlignment="1" applyProtection="1">
      <alignment horizontal="center" vertical="center" wrapText="1"/>
    </xf>
    <xf numFmtId="0" fontId="5" fillId="0" borderId="0" xfId="0" applyFont="1" applyAlignment="1" applyProtection="1">
      <alignment horizontal="center" vertical="top"/>
    </xf>
    <xf numFmtId="0" fontId="3" fillId="0" borderId="0" xfId="0" applyFont="1" applyAlignment="1" applyProtection="1">
      <alignment vertical="center" wrapText="1"/>
    </xf>
    <xf numFmtId="0" fontId="0" fillId="0" borderId="1" xfId="0" applyBorder="1" applyAlignment="1" applyProtection="1">
      <alignment horizontal="center" vertical="center"/>
    </xf>
    <xf numFmtId="0" fontId="0" fillId="0" borderId="1" xfId="0" applyBorder="1" applyAlignment="1" applyProtection="1">
      <alignment horizontal="center"/>
    </xf>
    <xf numFmtId="0" fontId="0" fillId="0" borderId="2" xfId="0" applyBorder="1" applyAlignment="1" applyProtection="1">
      <alignment horizontal="center" vertical="center"/>
    </xf>
    <xf numFmtId="0" fontId="5" fillId="0" borderId="1" xfId="0" applyFont="1" applyBorder="1" applyAlignment="1" applyProtection="1">
      <alignment horizontal="center" vertical="top"/>
    </xf>
    <xf numFmtId="0" fontId="0" fillId="0" borderId="1" xfId="0" applyBorder="1" applyAlignment="1" applyProtection="1">
      <alignment horizontal="center" vertical="center" wrapText="1"/>
    </xf>
    <xf numFmtId="0" fontId="0" fillId="0" borderId="3" xfId="0" applyBorder="1" applyAlignment="1" applyProtection="1">
      <alignment horizontal="center" vertical="center"/>
    </xf>
    <xf numFmtId="0" fontId="0" fillId="0" borderId="5" xfId="0" applyBorder="1" applyAlignment="1" applyProtection="1">
      <alignment horizontal="center" vertical="center"/>
    </xf>
    <xf numFmtId="0" fontId="85" fillId="0" borderId="0" xfId="0" applyFont="1" applyProtection="1"/>
    <xf numFmtId="0" fontId="85" fillId="0" borderId="0" xfId="0" applyFont="1" applyAlignment="1" applyProtection="1">
      <alignment vertical="center"/>
    </xf>
    <xf numFmtId="167" fontId="0" fillId="0" borderId="1" xfId="0" applyNumberFormat="1" applyBorder="1" applyAlignment="1" applyProtection="1">
      <alignment horizontal="center"/>
    </xf>
    <xf numFmtId="0" fontId="0" fillId="0" borderId="1" xfId="0" applyBorder="1" applyAlignment="1" applyProtection="1">
      <alignment horizontal="center" vertical="center"/>
    </xf>
    <xf numFmtId="0" fontId="0" fillId="0" borderId="7" xfId="0" applyBorder="1" applyAlignment="1" applyProtection="1">
      <alignment horizontal="center"/>
    </xf>
    <xf numFmtId="0" fontId="0" fillId="0" borderId="1" xfId="0" applyBorder="1" applyAlignment="1" applyProtection="1">
      <alignment horizontal="center"/>
    </xf>
    <xf numFmtId="0" fontId="0" fillId="0" borderId="0" xfId="0" applyAlignment="1" applyProtection="1">
      <alignment horizontal="left" wrapText="1"/>
    </xf>
    <xf numFmtId="3" fontId="0" fillId="0" borderId="0" xfId="0" applyNumberFormat="1" applyAlignment="1" applyProtection="1">
      <alignment horizontal="center"/>
    </xf>
    <xf numFmtId="0" fontId="11" fillId="0" borderId="0" xfId="1" applyAlignment="1" applyProtection="1">
      <alignment horizontal="left"/>
    </xf>
    <xf numFmtId="0" fontId="5" fillId="0" borderId="0" xfId="0" applyFont="1" applyAlignment="1" applyProtection="1">
      <alignment horizontal="left"/>
    </xf>
    <xf numFmtId="0" fontId="86" fillId="24" borderId="0" xfId="0" applyFont="1" applyFill="1" applyProtection="1"/>
    <xf numFmtId="0" fontId="86" fillId="25" borderId="0" xfId="0" applyFont="1" applyFill="1" applyProtection="1"/>
    <xf numFmtId="0" fontId="86" fillId="26" borderId="0" xfId="0" applyFont="1" applyFill="1" applyAlignment="1" applyProtection="1">
      <alignment horizontal="center"/>
    </xf>
    <xf numFmtId="14" fontId="0" fillId="0" borderId="0" xfId="0" applyNumberFormat="1" applyProtection="1"/>
    <xf numFmtId="0" fontId="3" fillId="0" borderId="0" xfId="0" applyFont="1" applyProtection="1"/>
    <xf numFmtId="0" fontId="3" fillId="0" borderId="0" xfId="0" applyFont="1" applyAlignment="1" applyProtection="1">
      <alignment wrapText="1"/>
    </xf>
    <xf numFmtId="0" fontId="0" fillId="27" borderId="0" xfId="0" applyFill="1" applyProtection="1"/>
    <xf numFmtId="0" fontId="46" fillId="7" borderId="2" xfId="0" applyFont="1" applyFill="1" applyBorder="1" applyAlignment="1" applyProtection="1">
      <alignment horizontal="center" vertical="center" wrapText="1"/>
    </xf>
    <xf numFmtId="0" fontId="47" fillId="13" borderId="2" xfId="0" applyFont="1" applyFill="1" applyBorder="1" applyAlignment="1" applyProtection="1">
      <alignment horizontal="center" vertical="center" wrapText="1"/>
    </xf>
    <xf numFmtId="0" fontId="47" fillId="19" borderId="2" xfId="0" applyFont="1" applyFill="1" applyBorder="1" applyAlignment="1" applyProtection="1">
      <alignment horizontal="center" vertical="center" wrapText="1"/>
    </xf>
    <xf numFmtId="0" fontId="64" fillId="0" borderId="0" xfId="0" applyFont="1" applyAlignment="1" applyProtection="1">
      <alignment horizontal="left" vertical="center" wrapText="1"/>
    </xf>
    <xf numFmtId="0" fontId="47" fillId="0" borderId="2"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3" fillId="0" borderId="0" xfId="0" applyFont="1" applyAlignment="1" applyProtection="1">
      <alignment horizontal="center" vertical="center" wrapText="1"/>
    </xf>
    <xf numFmtId="0" fontId="64" fillId="0" borderId="0" xfId="0" applyFont="1" applyAlignment="1" applyProtection="1">
      <alignment horizontal="left" vertical="center" wrapText="1"/>
    </xf>
    <xf numFmtId="0" fontId="14" fillId="0" borderId="36" xfId="0" applyFont="1" applyBorder="1" applyAlignment="1" applyProtection="1">
      <alignment horizontal="center" vertical="center" wrapText="1"/>
    </xf>
    <xf numFmtId="0" fontId="14" fillId="0" borderId="35" xfId="0" applyFont="1" applyBorder="1" applyAlignment="1" applyProtection="1">
      <alignment horizontal="center" vertical="center" wrapText="1"/>
    </xf>
    <xf numFmtId="2" fontId="14" fillId="0" borderId="37" xfId="0" applyNumberFormat="1" applyFont="1" applyBorder="1" applyAlignment="1" applyProtection="1">
      <alignment horizontal="center" vertical="center" wrapText="1"/>
    </xf>
    <xf numFmtId="2" fontId="14" fillId="0" borderId="36" xfId="0" applyNumberFormat="1" applyFont="1" applyBorder="1" applyAlignment="1" applyProtection="1">
      <alignment horizontal="center" vertical="center" wrapText="1"/>
    </xf>
    <xf numFmtId="2" fontId="14" fillId="0" borderId="35" xfId="0" applyNumberFormat="1" applyFont="1" applyBorder="1" applyAlignment="1" applyProtection="1">
      <alignment horizontal="center" vertical="center" wrapText="1"/>
    </xf>
    <xf numFmtId="0" fontId="14" fillId="0" borderId="20" xfId="0" applyFont="1" applyBorder="1" applyAlignment="1" applyProtection="1">
      <alignment horizontal="center" vertical="center" wrapText="1"/>
    </xf>
    <xf numFmtId="0" fontId="0" fillId="0" borderId="25" xfId="0" applyBorder="1" applyAlignment="1" applyProtection="1">
      <alignment horizontal="center" vertical="center" wrapText="1"/>
    </xf>
    <xf numFmtId="0" fontId="0" fillId="0" borderId="21" xfId="0" applyBorder="1" applyAlignment="1" applyProtection="1">
      <alignment horizontal="center" vertical="center" wrapText="1"/>
    </xf>
    <xf numFmtId="0" fontId="46" fillId="7" borderId="5" xfId="0" applyFont="1" applyFill="1" applyBorder="1" applyAlignment="1" applyProtection="1">
      <alignment horizontal="center" vertical="center" wrapText="1"/>
    </xf>
    <xf numFmtId="0" fontId="47" fillId="13" borderId="5" xfId="0" applyFont="1" applyFill="1" applyBorder="1" applyAlignment="1" applyProtection="1">
      <alignment horizontal="center" vertical="center" wrapText="1"/>
    </xf>
    <xf numFmtId="0" fontId="0" fillId="0" borderId="3" xfId="0" applyBorder="1" applyAlignment="1" applyProtection="1">
      <alignment horizontal="center" vertical="center" wrapText="1"/>
    </xf>
    <xf numFmtId="0" fontId="64" fillId="0" borderId="12" xfId="0" applyFont="1" applyBorder="1" applyAlignment="1" applyProtection="1">
      <alignment horizontal="left" vertical="center" wrapText="1"/>
    </xf>
    <xf numFmtId="0" fontId="47" fillId="19" borderId="5" xfId="0" applyFont="1" applyFill="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4" xfId="0" applyFont="1" applyBorder="1" applyAlignment="1" applyProtection="1">
      <alignment horizontal="center" vertical="center" wrapText="1"/>
    </xf>
    <xf numFmtId="0" fontId="0" fillId="0" borderId="20" xfId="0" applyBorder="1" applyAlignment="1" applyProtection="1">
      <alignment horizontal="center" wrapText="1"/>
    </xf>
    <xf numFmtId="0" fontId="0" fillId="0" borderId="25" xfId="0" applyBorder="1" applyAlignment="1" applyProtection="1">
      <alignment horizontal="center" wrapText="1"/>
    </xf>
    <xf numFmtId="0" fontId="0" fillId="0" borderId="25" xfId="0" applyBorder="1" applyAlignment="1" applyProtection="1">
      <alignment wrapText="1"/>
    </xf>
    <xf numFmtId="0" fontId="0" fillId="0" borderId="21" xfId="0" applyBorder="1" applyAlignment="1" applyProtection="1">
      <alignment horizontal="center" wrapText="1"/>
    </xf>
    <xf numFmtId="0" fontId="0" fillId="0" borderId="15" xfId="0" applyBorder="1" applyAlignment="1" applyProtection="1">
      <alignment horizontal="center" vertical="center" wrapText="1"/>
    </xf>
    <xf numFmtId="0" fontId="0" fillId="0" borderId="0" xfId="0" applyAlignment="1" applyProtection="1">
      <alignment horizontal="center" vertical="center" wrapText="1"/>
    </xf>
    <xf numFmtId="0" fontId="0" fillId="0" borderId="16" xfId="0" applyBorder="1" applyAlignment="1" applyProtection="1">
      <alignment horizontal="center" vertical="center" wrapText="1"/>
    </xf>
    <xf numFmtId="0" fontId="24" fillId="0" borderId="2" xfId="0" applyFont="1" applyBorder="1" applyAlignment="1" applyProtection="1">
      <alignment horizontal="left" vertical="center" wrapText="1"/>
    </xf>
    <xf numFmtId="0" fontId="28" fillId="0" borderId="2" xfId="0" applyFont="1" applyBorder="1" applyAlignment="1" applyProtection="1">
      <alignment horizontal="center" vertical="center" wrapText="1"/>
    </xf>
    <xf numFmtId="0" fontId="23" fillId="0" borderId="2" xfId="0" applyFont="1" applyBorder="1" applyAlignment="1" applyProtection="1">
      <alignment horizontal="left" vertical="center" wrapText="1"/>
    </xf>
    <xf numFmtId="0" fontId="24" fillId="0" borderId="1" xfId="0" applyFont="1" applyBorder="1" applyAlignment="1" applyProtection="1">
      <alignment horizontal="left" vertical="center" wrapText="1"/>
    </xf>
    <xf numFmtId="0" fontId="23" fillId="0" borderId="1" xfId="0" applyFont="1" applyBorder="1" applyAlignment="1" applyProtection="1">
      <alignment horizontal="left" vertical="center" wrapText="1"/>
    </xf>
    <xf numFmtId="0" fontId="74" fillId="0" borderId="0" xfId="0" applyFont="1" applyAlignment="1" applyProtection="1">
      <alignment wrapText="1"/>
    </xf>
    <xf numFmtId="0" fontId="0" fillId="15" borderId="0" xfId="0" applyFill="1" applyAlignment="1" applyProtection="1">
      <alignment horizontal="center" vertical="center" wrapText="1"/>
    </xf>
    <xf numFmtId="0" fontId="0" fillId="0" borderId="15" xfId="0" applyBorder="1" applyAlignment="1" applyProtection="1">
      <alignment horizontal="center" wrapText="1"/>
    </xf>
    <xf numFmtId="0" fontId="24" fillId="0" borderId="1" xfId="0" applyFont="1" applyBorder="1" applyAlignment="1" applyProtection="1">
      <alignment horizontal="center" vertical="center" wrapText="1"/>
    </xf>
    <xf numFmtId="0" fontId="23" fillId="0" borderId="3" xfId="0" applyFont="1" applyBorder="1" applyAlignment="1" applyProtection="1">
      <alignment horizontal="left" vertical="center" wrapText="1"/>
    </xf>
    <xf numFmtId="0" fontId="28" fillId="0" borderId="1" xfId="0" applyFont="1" applyBorder="1" applyAlignment="1" applyProtection="1">
      <alignment horizontal="center" vertical="center" wrapText="1"/>
    </xf>
    <xf numFmtId="0" fontId="76" fillId="0" borderId="0" xfId="0" applyFont="1" applyAlignment="1" applyProtection="1">
      <alignment wrapText="1"/>
    </xf>
    <xf numFmtId="164" fontId="0" fillId="0" borderId="0" xfId="0" applyNumberFormat="1" applyAlignment="1" applyProtection="1">
      <alignment horizontal="center" vertical="center" wrapText="1"/>
    </xf>
    <xf numFmtId="0" fontId="75" fillId="0" borderId="1" xfId="0" applyFont="1" applyBorder="1" applyAlignment="1" applyProtection="1">
      <alignment wrapText="1"/>
    </xf>
    <xf numFmtId="0" fontId="0" fillId="0" borderId="17" xfId="0" applyBorder="1" applyAlignment="1" applyProtection="1">
      <alignment horizontal="center" vertical="center" wrapText="1"/>
    </xf>
    <xf numFmtId="0" fontId="0" fillId="0" borderId="18" xfId="0" applyBorder="1" applyAlignment="1" applyProtection="1">
      <alignment horizontal="center" vertical="center" wrapText="1"/>
    </xf>
    <xf numFmtId="0" fontId="0" fillId="0" borderId="19" xfId="0" applyBorder="1" applyAlignment="1" applyProtection="1">
      <alignment horizontal="center" vertical="center" wrapText="1"/>
    </xf>
    <xf numFmtId="0" fontId="0" fillId="0" borderId="17" xfId="0" applyBorder="1" applyAlignment="1" applyProtection="1">
      <alignment horizontal="center" wrapText="1"/>
    </xf>
    <xf numFmtId="0" fontId="0" fillId="0" borderId="18" xfId="0" applyBorder="1" applyAlignment="1" applyProtection="1">
      <alignment horizontal="center" wrapText="1"/>
    </xf>
    <xf numFmtId="0" fontId="0" fillId="0" borderId="19" xfId="0" applyBorder="1" applyAlignment="1" applyProtection="1">
      <alignment horizontal="center" wrapText="1"/>
    </xf>
    <xf numFmtId="0" fontId="75" fillId="0" borderId="0" xfId="0" applyFont="1" applyAlignment="1" applyProtection="1">
      <alignment wrapText="1"/>
    </xf>
    <xf numFmtId="0" fontId="0" fillId="10" borderId="17" xfId="0" applyFill="1" applyBorder="1" applyAlignment="1" applyProtection="1">
      <alignment horizontal="center" wrapText="1"/>
    </xf>
    <xf numFmtId="0" fontId="0" fillId="10" borderId="18" xfId="0" applyFill="1" applyBorder="1" applyAlignment="1" applyProtection="1">
      <alignment horizontal="center" vertical="center" wrapText="1"/>
    </xf>
    <xf numFmtId="0" fontId="24" fillId="10" borderId="56" xfId="0" applyFont="1" applyFill="1" applyBorder="1" applyAlignment="1" applyProtection="1">
      <alignment horizontal="center" vertical="center" wrapText="1"/>
    </xf>
    <xf numFmtId="0" fontId="0" fillId="10" borderId="19" xfId="0" applyFill="1" applyBorder="1" applyAlignment="1" applyProtection="1">
      <alignment horizontal="center" vertical="center" wrapText="1"/>
    </xf>
    <xf numFmtId="0" fontId="48" fillId="0" borderId="1" xfId="0" applyFont="1" applyBorder="1" applyAlignment="1" applyProtection="1">
      <alignment vertical="center" wrapText="1"/>
    </xf>
    <xf numFmtId="0" fontId="13" fillId="0" borderId="1" xfId="0" applyFont="1" applyBorder="1" applyAlignment="1" applyProtection="1">
      <alignment vertical="center" wrapText="1"/>
    </xf>
    <xf numFmtId="0" fontId="0" fillId="0" borderId="1" xfId="0" applyBorder="1" applyAlignment="1" applyProtection="1">
      <alignment wrapText="1"/>
    </xf>
    <xf numFmtId="0" fontId="0" fillId="10" borderId="1" xfId="0" applyFill="1" applyBorder="1" applyAlignment="1" applyProtection="1">
      <alignment wrapText="1"/>
    </xf>
    <xf numFmtId="0" fontId="11" fillId="0" borderId="0" xfId="1" applyProtection="1"/>
    <xf numFmtId="0" fontId="5" fillId="0" borderId="0" xfId="0" applyFont="1" applyAlignment="1" applyProtection="1">
      <alignment horizontal="center" vertical="center" wrapText="1"/>
    </xf>
    <xf numFmtId="0" fontId="0" fillId="0" borderId="2" xfId="0" applyBorder="1" applyAlignment="1" applyProtection="1">
      <alignment horizontal="center" vertical="center" wrapText="1"/>
    </xf>
    <xf numFmtId="0" fontId="0" fillId="0" borderId="2" xfId="0" applyBorder="1" applyAlignment="1" applyProtection="1">
      <alignment wrapText="1"/>
    </xf>
    <xf numFmtId="164" fontId="0" fillId="0" borderId="1" xfId="0" applyNumberFormat="1" applyBorder="1" applyAlignment="1" applyProtection="1">
      <alignment horizontal="center" vertical="center" wrapText="1"/>
    </xf>
    <xf numFmtId="0" fontId="0" fillId="0" borderId="3" xfId="0" applyBorder="1" applyAlignment="1" applyProtection="1">
      <alignment wrapText="1"/>
    </xf>
    <xf numFmtId="0" fontId="5" fillId="0" borderId="1" xfId="0" applyFont="1" applyBorder="1" applyAlignment="1" applyProtection="1">
      <alignment horizontal="center" vertical="center" wrapText="1"/>
    </xf>
    <xf numFmtId="0" fontId="65" fillId="0" borderId="1" xfId="0" applyFont="1" applyBorder="1" applyAlignment="1" applyProtection="1">
      <alignment horizontal="center" vertical="center" wrapText="1"/>
    </xf>
    <xf numFmtId="0" fontId="0" fillId="0" borderId="1" xfId="0" applyBorder="1" applyAlignment="1" applyProtection="1">
      <alignment horizontal="center" wrapText="1"/>
    </xf>
    <xf numFmtId="0" fontId="65" fillId="0" borderId="1" xfId="0" applyFont="1" applyBorder="1" applyAlignment="1" applyProtection="1">
      <alignment horizontal="center" wrapText="1"/>
    </xf>
    <xf numFmtId="0" fontId="48" fillId="0" borderId="2" xfId="0" applyFont="1" applyBorder="1" applyAlignment="1" applyProtection="1">
      <alignment vertical="center" wrapText="1"/>
    </xf>
    <xf numFmtId="0" fontId="13" fillId="0" borderId="2" xfId="0" applyFont="1" applyBorder="1" applyAlignment="1" applyProtection="1">
      <alignment vertical="center" wrapText="1"/>
    </xf>
    <xf numFmtId="0" fontId="0" fillId="0" borderId="5" xfId="0" applyBorder="1" applyAlignment="1" applyProtection="1">
      <alignment vertical="center" wrapText="1"/>
    </xf>
    <xf numFmtId="0" fontId="0" fillId="0" borderId="5" xfId="0" applyBorder="1" applyAlignment="1" applyProtection="1">
      <alignment horizontal="center" vertical="center" wrapText="1"/>
    </xf>
    <xf numFmtId="0" fontId="0" fillId="0" borderId="3" xfId="0" applyBorder="1" applyAlignment="1" applyProtection="1">
      <alignment vertical="center" wrapText="1"/>
    </xf>
    <xf numFmtId="0" fontId="0" fillId="0" borderId="0" xfId="0" applyAlignment="1" applyProtection="1">
      <alignment horizontal="left" vertical="center"/>
    </xf>
    <xf numFmtId="0" fontId="4" fillId="0" borderId="0" xfId="0" applyFont="1" applyProtection="1"/>
    <xf numFmtId="0" fontId="14" fillId="0" borderId="0" xfId="0" applyFont="1" applyProtection="1"/>
    <xf numFmtId="0" fontId="17" fillId="0" borderId="0" xfId="0" applyFont="1" applyProtection="1"/>
    <xf numFmtId="0" fontId="19" fillId="0" borderId="0" xfId="0" applyFont="1" applyProtection="1"/>
    <xf numFmtId="0" fontId="18" fillId="0" borderId="0" xfId="0" applyFont="1" applyProtection="1"/>
    <xf numFmtId="0" fontId="13" fillId="0" borderId="0" xfId="0" applyFont="1" applyProtection="1"/>
    <xf numFmtId="0" fontId="11" fillId="0" borderId="0" xfId="1" applyFill="1" applyProtection="1"/>
    <xf numFmtId="0" fontId="14" fillId="5" borderId="0" xfId="0" applyFont="1" applyFill="1" applyProtection="1"/>
    <xf numFmtId="0" fontId="3" fillId="5" borderId="0" xfId="0" applyFont="1" applyFill="1" applyProtection="1"/>
    <xf numFmtId="0" fontId="21" fillId="5" borderId="0" xfId="0" applyFont="1" applyFill="1" applyProtection="1"/>
    <xf numFmtId="0" fontId="21" fillId="0" borderId="0" xfId="0" applyFont="1" applyProtection="1"/>
    <xf numFmtId="49" fontId="22" fillId="14" borderId="2" xfId="0" applyNumberFormat="1" applyFont="1" applyFill="1" applyBorder="1" applyAlignment="1" applyProtection="1">
      <alignment horizontal="center" vertical="center" wrapText="1"/>
    </xf>
    <xf numFmtId="0" fontId="22" fillId="14" borderId="4" xfId="0" applyFont="1" applyFill="1" applyBorder="1" applyAlignment="1" applyProtection="1">
      <alignment horizontal="center" vertical="center"/>
    </xf>
    <xf numFmtId="0" fontId="22" fillId="14" borderId="6" xfId="0" applyFont="1" applyFill="1" applyBorder="1" applyAlignment="1" applyProtection="1">
      <alignment horizontal="center" vertical="center"/>
    </xf>
    <xf numFmtId="0" fontId="22" fillId="14" borderId="7" xfId="0" applyFont="1" applyFill="1" applyBorder="1" applyAlignment="1" applyProtection="1">
      <alignment horizontal="center" vertical="center"/>
    </xf>
    <xf numFmtId="0" fontId="22" fillId="14" borderId="1" xfId="0" applyFont="1" applyFill="1" applyBorder="1" applyAlignment="1" applyProtection="1">
      <alignment horizontal="center" vertical="center"/>
    </xf>
    <xf numFmtId="49" fontId="22" fillId="14" borderId="3" xfId="0" applyNumberFormat="1" applyFont="1" applyFill="1" applyBorder="1" applyAlignment="1" applyProtection="1">
      <alignment horizontal="center" vertical="center" wrapText="1"/>
    </xf>
    <xf numFmtId="0" fontId="22" fillId="14" borderId="1" xfId="0" applyFont="1" applyFill="1" applyBorder="1" applyAlignment="1" applyProtection="1">
      <alignment horizontal="center" vertical="center" wrapText="1"/>
    </xf>
    <xf numFmtId="16" fontId="0" fillId="0" borderId="0" xfId="0" applyNumberFormat="1" applyAlignment="1" applyProtection="1">
      <alignment horizontal="center"/>
    </xf>
    <xf numFmtId="0" fontId="17" fillId="0" borderId="0" xfId="0" applyFont="1" applyAlignment="1" applyProtection="1">
      <alignment horizontal="center"/>
    </xf>
    <xf numFmtId="49" fontId="23" fillId="20" borderId="2" xfId="0" applyNumberFormat="1" applyFont="1" applyFill="1" applyBorder="1" applyAlignment="1" applyProtection="1">
      <alignment horizontal="center" vertical="center" wrapText="1"/>
    </xf>
    <xf numFmtId="49" fontId="23" fillId="0" borderId="1" xfId="0" applyNumberFormat="1" applyFont="1" applyBorder="1" applyAlignment="1" applyProtection="1">
      <alignment horizontal="center" vertical="center"/>
    </xf>
    <xf numFmtId="0" fontId="23" fillId="3" borderId="1" xfId="0" quotePrefix="1" applyFont="1" applyFill="1" applyBorder="1" applyAlignment="1" applyProtection="1">
      <alignment horizontal="center" vertical="center"/>
    </xf>
    <xf numFmtId="0" fontId="23" fillId="0" borderId="1" xfId="0" applyFont="1" applyBorder="1" applyAlignment="1" applyProtection="1">
      <alignment horizontal="center" vertical="center"/>
    </xf>
    <xf numFmtId="0" fontId="23" fillId="0" borderId="2" xfId="0" applyFont="1" applyBorder="1" applyAlignment="1" applyProtection="1">
      <alignment horizontal="center" vertical="center" wrapText="1"/>
    </xf>
    <xf numFmtId="49" fontId="23" fillId="20" borderId="5" xfId="0" applyNumberFormat="1" applyFont="1" applyFill="1" applyBorder="1" applyAlignment="1" applyProtection="1">
      <alignment horizontal="center" vertical="center" wrapText="1"/>
    </xf>
    <xf numFmtId="2" fontId="23" fillId="0" borderId="1" xfId="0" applyNumberFormat="1" applyFont="1" applyBorder="1" applyAlignment="1" applyProtection="1">
      <alignment horizontal="center" vertical="center"/>
    </xf>
    <xf numFmtId="0" fontId="23" fillId="0" borderId="5" xfId="0" applyFont="1" applyBorder="1" applyAlignment="1" applyProtection="1">
      <alignment horizontal="center" vertical="center" wrapText="1"/>
    </xf>
    <xf numFmtId="49" fontId="23" fillId="20" borderId="3" xfId="0" applyNumberFormat="1" applyFont="1" applyFill="1" applyBorder="1" applyAlignment="1" applyProtection="1">
      <alignment horizontal="center" vertical="center" wrapText="1"/>
    </xf>
    <xf numFmtId="0" fontId="23" fillId="0" borderId="3" xfId="0" applyFont="1" applyBorder="1" applyAlignment="1" applyProtection="1">
      <alignment horizontal="center" vertical="center" wrapText="1"/>
    </xf>
    <xf numFmtId="49" fontId="24" fillId="0" borderId="2" xfId="0" applyNumberFormat="1" applyFont="1" applyBorder="1" applyAlignment="1" applyProtection="1">
      <alignment horizontal="center" vertical="center" wrapText="1"/>
    </xf>
    <xf numFmtId="165" fontId="23" fillId="0" borderId="1" xfId="0" applyNumberFormat="1" applyFont="1" applyBorder="1" applyAlignment="1" applyProtection="1">
      <alignment horizontal="center" vertical="center"/>
    </xf>
    <xf numFmtId="0" fontId="23" fillId="0" borderId="1" xfId="0" applyFont="1" applyBorder="1" applyAlignment="1" applyProtection="1">
      <alignment horizontal="center" vertical="center" wrapText="1"/>
    </xf>
    <xf numFmtId="49" fontId="24" fillId="0" borderId="5" xfId="0" applyNumberFormat="1" applyFont="1" applyBorder="1" applyAlignment="1" applyProtection="1">
      <alignment horizontal="center" vertical="center" wrapText="1"/>
    </xf>
    <xf numFmtId="0" fontId="26" fillId="0" borderId="0" xfId="0" applyFont="1" applyAlignment="1" applyProtection="1">
      <alignment vertical="center"/>
    </xf>
    <xf numFmtId="0" fontId="26" fillId="0" borderId="0" xfId="0" applyFont="1" applyAlignment="1" applyProtection="1">
      <alignment vertical="center" wrapText="1"/>
    </xf>
    <xf numFmtId="0" fontId="26" fillId="0" borderId="0" xfId="0" applyFont="1" applyAlignment="1" applyProtection="1">
      <alignment horizontal="center" vertical="center"/>
    </xf>
    <xf numFmtId="49" fontId="23" fillId="0" borderId="2" xfId="0" applyNumberFormat="1" applyFont="1" applyBorder="1" applyAlignment="1" applyProtection="1">
      <alignment horizontal="center" vertical="center"/>
    </xf>
    <xf numFmtId="165" fontId="23" fillId="0" borderId="2" xfId="0" applyNumberFormat="1" applyFont="1" applyBorder="1" applyAlignment="1" applyProtection="1">
      <alignment horizontal="center" vertical="center"/>
    </xf>
    <xf numFmtId="0" fontId="23" fillId="3" borderId="2" xfId="0" quotePrefix="1" applyFont="1" applyFill="1" applyBorder="1" applyAlignment="1" applyProtection="1">
      <alignment horizontal="center" vertical="center"/>
    </xf>
    <xf numFmtId="2" fontId="23" fillId="0" borderId="2" xfId="0" applyNumberFormat="1" applyFont="1" applyBorder="1" applyAlignment="1" applyProtection="1">
      <alignment horizontal="center" vertical="center"/>
    </xf>
    <xf numFmtId="0" fontId="23" fillId="3" borderId="33" xfId="0" quotePrefix="1" applyFont="1" applyFill="1" applyBorder="1" applyAlignment="1" applyProtection="1">
      <alignment horizontal="center" vertical="center"/>
    </xf>
    <xf numFmtId="49" fontId="22" fillId="0" borderId="0" xfId="0" applyNumberFormat="1" applyFont="1" applyAlignment="1" applyProtection="1">
      <alignment vertical="center" wrapText="1"/>
    </xf>
    <xf numFmtId="49" fontId="24" fillId="0" borderId="1" xfId="0" applyNumberFormat="1" applyFont="1" applyBorder="1" applyAlignment="1" applyProtection="1">
      <alignment horizontal="center" vertical="center" wrapText="1"/>
    </xf>
    <xf numFmtId="0" fontId="23" fillId="3" borderId="3" xfId="0" quotePrefix="1" applyFont="1" applyFill="1" applyBorder="1" applyAlignment="1" applyProtection="1">
      <alignment horizontal="center" vertical="center"/>
    </xf>
    <xf numFmtId="2" fontId="23" fillId="0" borderId="0" xfId="0" applyNumberFormat="1" applyFont="1" applyAlignment="1" applyProtection="1">
      <alignment vertical="center"/>
    </xf>
    <xf numFmtId="165" fontId="23" fillId="0" borderId="0" xfId="0" applyNumberFormat="1" applyFont="1" applyAlignment="1" applyProtection="1">
      <alignment horizontal="center" vertical="center"/>
    </xf>
    <xf numFmtId="2" fontId="23" fillId="0" borderId="0" xfId="0" applyNumberFormat="1" applyFont="1" applyAlignment="1" applyProtection="1">
      <alignment horizontal="center" vertical="center"/>
    </xf>
    <xf numFmtId="49" fontId="24" fillId="0" borderId="33" xfId="0" applyNumberFormat="1" applyFont="1" applyBorder="1" applyAlignment="1" applyProtection="1">
      <alignment horizontal="center" vertical="center" wrapText="1"/>
    </xf>
    <xf numFmtId="49" fontId="23" fillId="0" borderId="33" xfId="0" applyNumberFormat="1" applyFont="1" applyBorder="1" applyAlignment="1" applyProtection="1">
      <alignment horizontal="center" vertical="center"/>
    </xf>
    <xf numFmtId="165" fontId="23" fillId="0" borderId="33" xfId="0" applyNumberFormat="1" applyFont="1" applyBorder="1" applyAlignment="1" applyProtection="1">
      <alignment horizontal="center" vertical="center"/>
    </xf>
    <xf numFmtId="2" fontId="23" fillId="0" borderId="33" xfId="0" applyNumberFormat="1" applyFont="1" applyBorder="1" applyAlignment="1" applyProtection="1">
      <alignment horizontal="center" vertical="center"/>
    </xf>
    <xf numFmtId="49" fontId="23" fillId="0" borderId="3" xfId="0" applyNumberFormat="1" applyFont="1" applyBorder="1" applyAlignment="1" applyProtection="1">
      <alignment horizontal="center" vertical="center"/>
    </xf>
    <xf numFmtId="165" fontId="23" fillId="0" borderId="3" xfId="0" applyNumberFormat="1" applyFont="1" applyBorder="1" applyAlignment="1" applyProtection="1">
      <alignment horizontal="center" vertical="center"/>
    </xf>
    <xf numFmtId="2" fontId="23" fillId="0" borderId="3" xfId="0" applyNumberFormat="1" applyFont="1" applyBorder="1" applyAlignment="1" applyProtection="1">
      <alignment horizontal="center" vertical="center"/>
    </xf>
    <xf numFmtId="49" fontId="23" fillId="20" borderId="1" xfId="0" applyNumberFormat="1" applyFont="1" applyFill="1" applyBorder="1" applyAlignment="1" applyProtection="1">
      <alignment horizontal="center" vertical="center" wrapText="1"/>
    </xf>
    <xf numFmtId="0" fontId="3" fillId="14" borderId="1" xfId="0" applyFont="1" applyFill="1" applyBorder="1" applyAlignment="1" applyProtection="1">
      <alignment horizontal="center" vertical="center" wrapText="1"/>
    </xf>
    <xf numFmtId="0" fontId="25" fillId="0" borderId="0" xfId="0" applyFont="1" applyProtection="1"/>
    <xf numFmtId="0" fontId="25" fillId="0" borderId="0" xfId="0" applyFont="1" applyAlignment="1" applyProtection="1">
      <alignment horizontal="left"/>
    </xf>
    <xf numFmtId="0" fontId="26" fillId="14" borderId="2" xfId="0" applyFont="1" applyFill="1" applyBorder="1" applyAlignment="1" applyProtection="1">
      <alignment vertical="center"/>
    </xf>
    <xf numFmtId="0" fontId="26" fillId="14" borderId="2" xfId="0" applyFont="1" applyFill="1" applyBorder="1" applyAlignment="1" applyProtection="1">
      <alignment vertical="center" wrapText="1"/>
    </xf>
    <xf numFmtId="0" fontId="26" fillId="14" borderId="4" xfId="0" applyFont="1" applyFill="1" applyBorder="1" applyAlignment="1" applyProtection="1">
      <alignment horizontal="center" vertical="center"/>
    </xf>
    <xf numFmtId="0" fontId="26" fillId="14" borderId="6" xfId="0" applyFont="1" applyFill="1" applyBorder="1" applyAlignment="1" applyProtection="1">
      <alignment horizontal="center" vertical="center"/>
    </xf>
    <xf numFmtId="0" fontId="26" fillId="14" borderId="7" xfId="0" applyFont="1" applyFill="1" applyBorder="1" applyAlignment="1" applyProtection="1">
      <alignment horizontal="center" vertical="center"/>
    </xf>
    <xf numFmtId="0" fontId="26" fillId="14" borderId="3" xfId="0" applyFont="1" applyFill="1" applyBorder="1" applyAlignment="1" applyProtection="1">
      <alignment vertical="center"/>
    </xf>
    <xf numFmtId="0" fontId="26" fillId="14" borderId="3" xfId="0" applyFont="1" applyFill="1" applyBorder="1" applyAlignment="1" applyProtection="1">
      <alignment vertical="center" wrapText="1"/>
    </xf>
    <xf numFmtId="49" fontId="22" fillId="14" borderId="1" xfId="0" applyNumberFormat="1" applyFont="1" applyFill="1" applyBorder="1" applyAlignment="1" applyProtection="1">
      <alignment vertical="center"/>
    </xf>
    <xf numFmtId="49" fontId="22" fillId="14" borderId="1" xfId="0" applyNumberFormat="1" applyFont="1" applyFill="1" applyBorder="1" applyAlignment="1" applyProtection="1">
      <alignment vertical="center" wrapText="1"/>
    </xf>
    <xf numFmtId="2" fontId="23" fillId="0" borderId="1" xfId="0" applyNumberFormat="1" applyFont="1" applyBorder="1" applyAlignment="1" applyProtection="1">
      <alignment vertical="center"/>
    </xf>
    <xf numFmtId="0" fontId="22" fillId="14" borderId="1" xfId="0" applyFont="1" applyFill="1" applyBorder="1" applyAlignment="1" applyProtection="1">
      <alignment vertical="center"/>
    </xf>
    <xf numFmtId="0" fontId="0" fillId="5" borderId="0" xfId="0" applyFill="1" applyAlignment="1" applyProtection="1">
      <alignment horizontal="left"/>
    </xf>
    <xf numFmtId="0" fontId="17" fillId="5" borderId="0" xfId="0" applyFont="1" applyFill="1" applyAlignment="1" applyProtection="1">
      <alignment horizontal="left"/>
    </xf>
    <xf numFmtId="0" fontId="17" fillId="0" borderId="0" xfId="0" applyFont="1" applyAlignment="1" applyProtection="1">
      <alignment horizontal="left"/>
    </xf>
    <xf numFmtId="0" fontId="22" fillId="14" borderId="1" xfId="0" applyFont="1" applyFill="1" applyBorder="1" applyAlignment="1" applyProtection="1">
      <alignment horizontal="center" vertical="center" wrapText="1"/>
    </xf>
    <xf numFmtId="0" fontId="23" fillId="0" borderId="1" xfId="0" applyFont="1" applyBorder="1" applyAlignment="1" applyProtection="1">
      <alignment horizontal="center" vertical="center"/>
    </xf>
    <xf numFmtId="49" fontId="24" fillId="0" borderId="3" xfId="0" applyNumberFormat="1" applyFont="1" applyBorder="1" applyAlignment="1" applyProtection="1">
      <alignment horizontal="center" vertical="center" wrapText="1"/>
    </xf>
    <xf numFmtId="0" fontId="0" fillId="5" borderId="0" xfId="0" applyFill="1" applyProtection="1"/>
    <xf numFmtId="0" fontId="17" fillId="5" borderId="0" xfId="0" applyFont="1" applyFill="1" applyProtection="1"/>
    <xf numFmtId="0" fontId="22" fillId="14" borderId="4" xfId="0" applyFont="1" applyFill="1" applyBorder="1" applyAlignment="1" applyProtection="1">
      <alignment horizontal="center" vertical="center" wrapText="1"/>
    </xf>
    <xf numFmtId="0" fontId="22" fillId="14" borderId="6" xfId="0" applyFont="1" applyFill="1" applyBorder="1" applyAlignment="1" applyProtection="1">
      <alignment horizontal="center" vertical="center" wrapText="1"/>
    </xf>
    <xf numFmtId="0" fontId="22" fillId="14" borderId="7" xfId="0" applyFont="1" applyFill="1" applyBorder="1" applyAlignment="1" applyProtection="1">
      <alignment horizontal="center" vertical="center" wrapText="1"/>
    </xf>
    <xf numFmtId="0" fontId="23" fillId="0" borderId="0" xfId="0" applyFont="1" applyProtection="1"/>
    <xf numFmtId="0" fontId="22" fillId="0" borderId="0" xfId="0" applyFont="1" applyAlignment="1" applyProtection="1">
      <alignment horizontal="center" vertical="center"/>
    </xf>
    <xf numFmtId="0" fontId="26" fillId="14" borderId="1" xfId="0" applyFont="1" applyFill="1" applyBorder="1" applyAlignment="1" applyProtection="1">
      <alignment horizontal="center" vertical="center" wrapText="1"/>
    </xf>
    <xf numFmtId="0" fontId="26" fillId="14" borderId="1" xfId="0" applyFont="1" applyFill="1" applyBorder="1" applyAlignment="1" applyProtection="1">
      <alignment horizontal="center" vertical="center"/>
    </xf>
    <xf numFmtId="0" fontId="26" fillId="14" borderId="1" xfId="0" applyFont="1" applyFill="1" applyBorder="1" applyAlignment="1" applyProtection="1">
      <alignment horizontal="center" vertical="center" wrapText="1"/>
    </xf>
    <xf numFmtId="0" fontId="28" fillId="0" borderId="1" xfId="0" applyFont="1" applyBorder="1" applyAlignment="1" applyProtection="1">
      <alignment vertical="center"/>
    </xf>
    <xf numFmtId="0" fontId="28" fillId="0" borderId="1" xfId="0" applyFont="1" applyBorder="1" applyAlignment="1" applyProtection="1">
      <alignment horizontal="center" vertical="center"/>
    </xf>
    <xf numFmtId="0" fontId="28" fillId="7" borderId="1" xfId="0" applyFont="1" applyFill="1" applyBorder="1" applyAlignment="1" applyProtection="1">
      <alignment horizontal="center" vertical="center"/>
    </xf>
    <xf numFmtId="0" fontId="23" fillId="0" borderId="1" xfId="0" applyFont="1" applyBorder="1" applyAlignment="1" applyProtection="1">
      <alignment horizontal="center"/>
    </xf>
    <xf numFmtId="165" fontId="28" fillId="7" borderId="1" xfId="0" applyNumberFormat="1" applyFont="1" applyFill="1" applyBorder="1" applyAlignment="1" applyProtection="1">
      <alignment horizontal="center" vertical="center"/>
    </xf>
    <xf numFmtId="11" fontId="17" fillId="0" borderId="0" xfId="0" applyNumberFormat="1" applyFont="1" applyProtection="1"/>
    <xf numFmtId="0" fontId="3" fillId="0" borderId="0" xfId="0" applyFont="1" applyAlignment="1" applyProtection="1">
      <alignment vertical="center"/>
    </xf>
    <xf numFmtId="0" fontId="0" fillId="5" borderId="0" xfId="0" applyFill="1" applyAlignment="1" applyProtection="1">
      <alignment vertical="top"/>
    </xf>
    <xf numFmtId="0" fontId="3" fillId="14" borderId="1" xfId="0" applyFont="1" applyFill="1" applyBorder="1" applyAlignment="1" applyProtection="1">
      <alignment horizontal="left" vertical="top" wrapText="1"/>
    </xf>
    <xf numFmtId="0" fontId="3" fillId="14" borderId="1" xfId="0" applyFont="1" applyFill="1" applyBorder="1" applyAlignment="1" applyProtection="1">
      <alignment horizontal="left" vertical="top"/>
    </xf>
    <xf numFmtId="0" fontId="3" fillId="14" borderId="1" xfId="0" applyFont="1" applyFill="1" applyBorder="1" applyAlignment="1" applyProtection="1">
      <alignment horizontal="center" vertical="top" wrapText="1"/>
    </xf>
    <xf numFmtId="0" fontId="0" fillId="0" borderId="1" xfId="0" applyBorder="1" applyAlignment="1" applyProtection="1">
      <alignment horizontal="left" vertical="top" wrapText="1"/>
    </xf>
    <xf numFmtId="0" fontId="11" fillId="0" borderId="1" xfId="1" applyFill="1" applyBorder="1" applyAlignment="1" applyProtection="1">
      <alignment horizontal="left" vertical="top" wrapText="1"/>
    </xf>
    <xf numFmtId="0" fontId="0" fillId="0" borderId="1" xfId="0" applyBorder="1" applyAlignment="1" applyProtection="1">
      <alignment horizontal="left" vertical="top" wrapText="1"/>
    </xf>
    <xf numFmtId="0" fontId="5" fillId="0" borderId="1" xfId="0" applyFont="1" applyBorder="1" applyAlignment="1" applyProtection="1">
      <alignment horizontal="left" vertical="top" wrapText="1"/>
    </xf>
    <xf numFmtId="0" fontId="0" fillId="0" borderId="1" xfId="0" quotePrefix="1" applyBorder="1" applyAlignment="1" applyProtection="1">
      <alignment horizontal="left" vertical="top" wrapText="1"/>
    </xf>
    <xf numFmtId="0" fontId="11" fillId="0" borderId="1" xfId="1" applyBorder="1" applyAlignment="1" applyProtection="1">
      <alignment horizontal="left" vertical="top"/>
    </xf>
    <xf numFmtId="0" fontId="0" fillId="0" borderId="1" xfId="0" applyBorder="1" applyAlignment="1" applyProtection="1">
      <alignment horizontal="left" vertical="top"/>
    </xf>
    <xf numFmtId="2" fontId="0" fillId="0" borderId="1" xfId="0" applyNumberFormat="1" applyBorder="1" applyAlignment="1" applyProtection="1">
      <alignment horizontal="left" vertical="top" wrapText="1"/>
    </xf>
    <xf numFmtId="0" fontId="0" fillId="0" borderId="1" xfId="0" applyBorder="1" applyAlignment="1" applyProtection="1">
      <alignment horizontal="left" vertical="top"/>
    </xf>
    <xf numFmtId="0" fontId="11" fillId="0" borderId="1" xfId="1" applyBorder="1" applyAlignment="1" applyProtection="1">
      <alignment horizontal="left" vertical="top" wrapText="1"/>
    </xf>
    <xf numFmtId="0" fontId="0" fillId="0" borderId="4" xfId="0" applyBorder="1" applyAlignment="1" applyProtection="1">
      <alignment horizontal="center" vertical="top"/>
    </xf>
    <xf numFmtId="0" fontId="0" fillId="0" borderId="6" xfId="0" applyBorder="1" applyAlignment="1" applyProtection="1">
      <alignment horizontal="center" vertical="top"/>
    </xf>
    <xf numFmtId="0" fontId="0" fillId="0" borderId="7" xfId="0" applyBorder="1" applyAlignment="1" applyProtection="1">
      <alignment horizontal="center" vertical="top"/>
    </xf>
    <xf numFmtId="165" fontId="0" fillId="0" borderId="1" xfId="0" applyNumberFormat="1" applyBorder="1" applyAlignment="1" applyProtection="1">
      <alignment horizontal="left" vertical="top"/>
    </xf>
    <xf numFmtId="165" fontId="0" fillId="0" borderId="0" xfId="0" applyNumberFormat="1" applyAlignment="1" applyProtection="1">
      <alignment horizontal="left" vertical="top"/>
    </xf>
    <xf numFmtId="0" fontId="19" fillId="0" borderId="0" xfId="0" applyFont="1" applyAlignment="1" applyProtection="1">
      <alignment horizontal="left"/>
    </xf>
    <xf numFmtId="0" fontId="29" fillId="0" borderId="0" xfId="0" applyFont="1" applyProtection="1"/>
    <xf numFmtId="0" fontId="19" fillId="0" borderId="0" xfId="0" applyFont="1" applyAlignment="1" applyProtection="1">
      <alignment horizontal="center"/>
    </xf>
    <xf numFmtId="0" fontId="3" fillId="14" borderId="1" xfId="0" applyFont="1" applyFill="1" applyBorder="1" applyAlignment="1" applyProtection="1">
      <alignment horizontal="center" vertical="center" wrapText="1"/>
    </xf>
    <xf numFmtId="0" fontId="0" fillId="0" borderId="1" xfId="0" applyBorder="1" applyAlignment="1" applyProtection="1">
      <alignment horizontal="left" vertical="center" wrapText="1"/>
    </xf>
    <xf numFmtId="2" fontId="0" fillId="0" borderId="1" xfId="0" applyNumberFormat="1" applyBorder="1" applyAlignment="1" applyProtection="1">
      <alignment horizontal="center" vertical="center"/>
    </xf>
    <xf numFmtId="0" fontId="11" fillId="0" borderId="1" xfId="1" applyBorder="1" applyAlignment="1" applyProtection="1">
      <alignment horizontal="left" vertical="center" wrapText="1"/>
    </xf>
    <xf numFmtId="2" fontId="0" fillId="0" borderId="1" xfId="0" applyNumberFormat="1" applyBorder="1" applyAlignment="1" applyProtection="1">
      <alignment horizontal="left" vertical="center"/>
    </xf>
    <xf numFmtId="1" fontId="0" fillId="0" borderId="1" xfId="0" applyNumberFormat="1" applyBorder="1" applyAlignment="1" applyProtection="1">
      <alignment horizontal="left" vertical="center" indent="2"/>
    </xf>
    <xf numFmtId="0" fontId="34" fillId="0" borderId="0" xfId="0" applyFont="1" applyProtection="1"/>
    <xf numFmtId="0" fontId="40" fillId="0" borderId="1" xfId="0" applyFont="1" applyBorder="1" applyAlignment="1" applyProtection="1">
      <alignment horizontal="center" vertical="center" wrapText="1"/>
    </xf>
    <xf numFmtId="0" fontId="0" fillId="0" borderId="1" xfId="0" applyBorder="1" applyAlignment="1" applyProtection="1">
      <alignment vertical="center"/>
    </xf>
    <xf numFmtId="2" fontId="0" fillId="0" borderId="1" xfId="0" applyNumberFormat="1" applyBorder="1" applyAlignment="1" applyProtection="1">
      <alignment horizontal="center" vertical="center"/>
    </xf>
    <xf numFmtId="0" fontId="0" fillId="0" borderId="0" xfId="0" applyAlignment="1" applyProtection="1">
      <alignment vertical="center" wrapText="1"/>
    </xf>
    <xf numFmtId="0" fontId="18" fillId="20" borderId="0" xfId="0" applyFont="1" applyFill="1" applyProtection="1"/>
    <xf numFmtId="2" fontId="0" fillId="0" borderId="0" xfId="0" applyNumberFormat="1" applyAlignment="1" applyProtection="1">
      <alignment horizontal="center" vertical="center"/>
    </xf>
    <xf numFmtId="1" fontId="0" fillId="0" borderId="0" xfId="0" applyNumberFormat="1" applyAlignment="1" applyProtection="1">
      <alignment horizontal="left" vertical="center" indent="2"/>
    </xf>
    <xf numFmtId="165" fontId="0" fillId="0" borderId="0" xfId="0" applyNumberFormat="1" applyAlignment="1" applyProtection="1">
      <alignment horizontal="center" vertical="center"/>
    </xf>
    <xf numFmtId="168" fontId="0" fillId="0" borderId="1" xfId="0" applyNumberFormat="1" applyBorder="1" applyAlignment="1" applyProtection="1">
      <alignment horizontal="center"/>
    </xf>
    <xf numFmtId="2" fontId="0" fillId="0" borderId="1" xfId="0" applyNumberFormat="1" applyBorder="1" applyAlignment="1" applyProtection="1">
      <alignment horizontal="center"/>
    </xf>
    <xf numFmtId="0" fontId="53" fillId="21" borderId="0" xfId="0" applyFont="1" applyFill="1" applyAlignment="1" applyProtection="1">
      <alignment vertical="center" wrapText="1"/>
    </xf>
    <xf numFmtId="0" fontId="23" fillId="0" borderId="0" xfId="0" applyFont="1" applyAlignment="1" applyProtection="1">
      <alignment horizontal="center" vertical="center"/>
    </xf>
    <xf numFmtId="0" fontId="80" fillId="0" borderId="0" xfId="0" applyFont="1" applyAlignment="1" applyProtection="1">
      <alignment vertical="center" wrapText="1"/>
    </xf>
    <xf numFmtId="0" fontId="44" fillId="0" borderId="0" xfId="0" applyFont="1" applyAlignment="1" applyProtection="1">
      <alignment vertical="center" wrapText="1"/>
    </xf>
    <xf numFmtId="0" fontId="79" fillId="21" borderId="30" xfId="0" applyFont="1" applyFill="1" applyBorder="1" applyAlignment="1" applyProtection="1">
      <alignment vertical="center" wrapText="1"/>
    </xf>
    <xf numFmtId="0" fontId="79" fillId="21" borderId="19" xfId="0" applyFont="1" applyFill="1" applyBorder="1" applyAlignment="1" applyProtection="1">
      <alignment vertical="center" wrapText="1"/>
    </xf>
    <xf numFmtId="0" fontId="12" fillId="0" borderId="0" xfId="0" applyFont="1" applyAlignment="1" applyProtection="1">
      <alignment vertical="center"/>
    </xf>
    <xf numFmtId="0" fontId="12" fillId="0" borderId="0" xfId="0" applyFont="1" applyAlignment="1" applyProtection="1">
      <alignment horizontal="center" vertical="center" wrapText="1"/>
    </xf>
    <xf numFmtId="0" fontId="12" fillId="0" borderId="0" xfId="0" applyFont="1" applyAlignment="1" applyProtection="1">
      <alignment vertical="center" wrapText="1"/>
    </xf>
    <xf numFmtId="0" fontId="5" fillId="0" borderId="0" xfId="0" applyFont="1" applyAlignment="1" applyProtection="1">
      <alignment wrapText="1"/>
    </xf>
    <xf numFmtId="0" fontId="32" fillId="10" borderId="20" xfId="0" applyFont="1" applyFill="1" applyBorder="1" applyAlignment="1" applyProtection="1">
      <alignment horizontal="left" vertical="center"/>
    </xf>
    <xf numFmtId="0" fontId="39" fillId="10" borderId="25" xfId="0" applyFont="1" applyFill="1" applyBorder="1" applyAlignment="1" applyProtection="1">
      <alignment horizontal="left" vertical="center" wrapText="1"/>
    </xf>
    <xf numFmtId="0" fontId="5" fillId="0" borderId="0" xfId="0" applyFont="1" applyProtection="1"/>
    <xf numFmtId="0" fontId="5" fillId="10" borderId="21" xfId="0" applyFont="1" applyFill="1" applyBorder="1" applyProtection="1"/>
    <xf numFmtId="0" fontId="5" fillId="0" borderId="0" xfId="0" applyFont="1" applyAlignment="1" applyProtection="1">
      <alignment horizontal="center" vertical="center"/>
    </xf>
    <xf numFmtId="0" fontId="33" fillId="0" borderId="0" xfId="0" applyFont="1" applyAlignment="1" applyProtection="1">
      <alignment horizontal="left" vertical="center"/>
    </xf>
    <xf numFmtId="0" fontId="39" fillId="0" borderId="0" xfId="0" applyFont="1" applyAlignment="1" applyProtection="1">
      <alignment horizontal="center" vertical="center" wrapText="1"/>
    </xf>
    <xf numFmtId="0" fontId="39" fillId="0" borderId="0" xfId="0" applyFont="1" applyAlignment="1" applyProtection="1">
      <alignment horizontal="left" vertical="center" wrapText="1"/>
    </xf>
    <xf numFmtId="0" fontId="33" fillId="10" borderId="15" xfId="0" applyFont="1" applyFill="1" applyBorder="1" applyAlignment="1" applyProtection="1">
      <alignment horizontal="left" vertical="center"/>
    </xf>
    <xf numFmtId="0" fontId="33" fillId="10" borderId="0" xfId="0" applyFont="1" applyFill="1" applyAlignment="1" applyProtection="1">
      <alignment horizontal="left" vertical="center" wrapText="1"/>
    </xf>
    <xf numFmtId="0" fontId="5" fillId="10" borderId="0" xfId="0" applyFont="1" applyFill="1" applyProtection="1"/>
    <xf numFmtId="0" fontId="33" fillId="10" borderId="16" xfId="0" applyFont="1" applyFill="1" applyBorder="1" applyAlignment="1" applyProtection="1">
      <alignment horizontal="left" vertical="center" wrapText="1"/>
    </xf>
    <xf numFmtId="0" fontId="5" fillId="0" borderId="0" xfId="0" applyFont="1" applyAlignment="1" applyProtection="1">
      <alignment horizontal="center"/>
    </xf>
    <xf numFmtId="0" fontId="33" fillId="10" borderId="17" xfId="0" applyFont="1" applyFill="1" applyBorder="1" applyAlignment="1" applyProtection="1">
      <alignment horizontal="left" vertical="center"/>
    </xf>
    <xf numFmtId="0" fontId="39" fillId="10" borderId="18" xfId="0" applyFont="1" applyFill="1" applyBorder="1" applyAlignment="1" applyProtection="1">
      <alignment vertical="center" wrapText="1"/>
    </xf>
    <xf numFmtId="0" fontId="39" fillId="10" borderId="19" xfId="0" applyFont="1" applyFill="1" applyBorder="1" applyAlignment="1" applyProtection="1">
      <alignment horizontal="left" vertical="center" wrapText="1"/>
    </xf>
    <xf numFmtId="0" fontId="16" fillId="9" borderId="10" xfId="0" applyFont="1" applyFill="1" applyBorder="1" applyAlignment="1" applyProtection="1">
      <alignment horizontal="center" vertical="center" wrapText="1"/>
    </xf>
    <xf numFmtId="0" fontId="16" fillId="9" borderId="8" xfId="0" applyFont="1" applyFill="1" applyBorder="1" applyAlignment="1" applyProtection="1">
      <alignment horizontal="center" vertical="center" wrapText="1"/>
    </xf>
    <xf numFmtId="0" fontId="16" fillId="9" borderId="8" xfId="0" applyFont="1" applyFill="1" applyBorder="1" applyAlignment="1" applyProtection="1">
      <alignment horizontal="center" vertical="center" wrapText="1"/>
    </xf>
    <xf numFmtId="0" fontId="16" fillId="9" borderId="1" xfId="0" applyFont="1" applyFill="1" applyBorder="1" applyAlignment="1" applyProtection="1">
      <alignment horizontal="center" vertical="center" wrapText="1"/>
    </xf>
    <xf numFmtId="0" fontId="16" fillId="0" borderId="0" xfId="0" applyFont="1" applyAlignment="1" applyProtection="1">
      <alignment horizontal="center" vertical="center" wrapText="1"/>
    </xf>
    <xf numFmtId="0" fontId="1" fillId="17" borderId="0" xfId="0" applyFont="1" applyFill="1" applyAlignment="1" applyProtection="1">
      <alignment horizontal="left" vertical="center"/>
    </xf>
    <xf numFmtId="0" fontId="1" fillId="17" borderId="1" xfId="0" applyFont="1" applyFill="1" applyBorder="1" applyAlignment="1" applyProtection="1">
      <alignment horizontal="center" vertical="center" wrapText="1"/>
    </xf>
    <xf numFmtId="0" fontId="0" fillId="17" borderId="0" xfId="0" applyFill="1" applyProtection="1"/>
    <xf numFmtId="0" fontId="5" fillId="0" borderId="11" xfId="0" applyFont="1" applyBorder="1" applyAlignment="1" applyProtection="1">
      <alignment horizontal="right" vertical="center" wrapText="1"/>
    </xf>
    <xf numFmtId="0" fontId="5" fillId="0" borderId="13" xfId="0" applyFont="1" applyBorder="1" applyAlignment="1" applyProtection="1">
      <alignment horizontal="right" vertical="center" wrapText="1"/>
    </xf>
    <xf numFmtId="0" fontId="5" fillId="12" borderId="13" xfId="0" applyFont="1" applyFill="1" applyBorder="1" applyAlignment="1" applyProtection="1">
      <alignment horizontal="right" vertical="center" wrapText="1"/>
    </xf>
    <xf numFmtId="0" fontId="5" fillId="0" borderId="11" xfId="0" applyFont="1" applyBorder="1" applyAlignment="1" applyProtection="1">
      <alignment horizontal="right" vertical="center" wrapText="1"/>
    </xf>
    <xf numFmtId="0" fontId="5" fillId="0" borderId="13" xfId="0" applyFont="1" applyBorder="1" applyAlignment="1" applyProtection="1">
      <alignment horizontal="center" vertical="center" wrapText="1"/>
    </xf>
    <xf numFmtId="0" fontId="5" fillId="7" borderId="10" xfId="0" applyFont="1" applyFill="1" applyBorder="1" applyAlignment="1" applyProtection="1">
      <alignment horizontal="right" vertical="center" wrapText="1"/>
    </xf>
    <xf numFmtId="0" fontId="5" fillId="7" borderId="8" xfId="0" applyFont="1" applyFill="1" applyBorder="1" applyAlignment="1" applyProtection="1">
      <alignment horizontal="center" vertical="center" wrapText="1"/>
    </xf>
    <xf numFmtId="0" fontId="5" fillId="7" borderId="9" xfId="0" applyFont="1" applyFill="1" applyBorder="1" applyAlignment="1" applyProtection="1">
      <alignment horizontal="center" vertical="center" wrapText="1"/>
    </xf>
    <xf numFmtId="0" fontId="66" fillId="7" borderId="0" xfId="0" applyFont="1" applyFill="1" applyAlignment="1" applyProtection="1">
      <alignment horizontal="center"/>
    </xf>
    <xf numFmtId="0" fontId="5" fillId="7" borderId="2" xfId="0" applyFont="1" applyFill="1" applyBorder="1" applyAlignment="1" applyProtection="1">
      <alignment horizontal="center" vertical="center" wrapText="1"/>
    </xf>
    <xf numFmtId="0" fontId="5" fillId="7" borderId="1" xfId="0" applyFont="1" applyFill="1" applyBorder="1" applyAlignment="1" applyProtection="1">
      <alignment horizontal="center" vertical="center" wrapText="1"/>
    </xf>
    <xf numFmtId="0" fontId="5" fillId="7" borderId="14" xfId="0" applyFont="1" applyFill="1" applyBorder="1" applyAlignment="1" applyProtection="1">
      <alignment horizontal="right" vertical="center" wrapText="1"/>
    </xf>
    <xf numFmtId="0" fontId="5" fillId="7" borderId="9" xfId="0" applyFont="1" applyFill="1" applyBorder="1" applyAlignment="1" applyProtection="1">
      <alignment horizontal="center" vertical="center" wrapText="1"/>
    </xf>
    <xf numFmtId="0" fontId="52" fillId="7" borderId="1" xfId="0" applyFont="1" applyFill="1" applyBorder="1" applyAlignment="1" applyProtection="1">
      <alignment horizontal="center" vertical="center" wrapText="1"/>
    </xf>
    <xf numFmtId="0" fontId="1" fillId="17" borderId="14" xfId="0" applyFont="1" applyFill="1" applyBorder="1" applyAlignment="1" applyProtection="1">
      <alignment horizontal="left" vertical="center" wrapText="1"/>
    </xf>
    <xf numFmtId="0" fontId="16" fillId="17" borderId="9" xfId="0" applyFont="1" applyFill="1" applyBorder="1" applyAlignment="1" applyProtection="1">
      <alignment horizontal="center" vertical="center" wrapText="1"/>
    </xf>
    <xf numFmtId="0" fontId="16" fillId="17" borderId="9" xfId="0" applyFont="1" applyFill="1" applyBorder="1" applyAlignment="1" applyProtection="1">
      <alignment horizontal="right" vertical="center" wrapText="1"/>
    </xf>
    <xf numFmtId="0" fontId="5" fillId="17" borderId="1" xfId="0" applyFont="1" applyFill="1" applyBorder="1" applyAlignment="1" applyProtection="1">
      <alignment horizontal="center" vertical="center" wrapText="1"/>
    </xf>
    <xf numFmtId="0" fontId="5" fillId="17" borderId="2" xfId="0" applyFont="1" applyFill="1" applyBorder="1" applyAlignment="1" applyProtection="1">
      <alignment horizontal="center" vertical="center" wrapText="1"/>
    </xf>
    <xf numFmtId="0" fontId="0" fillId="17" borderId="0" xfId="0" applyFill="1" applyAlignment="1" applyProtection="1">
      <alignment wrapText="1"/>
    </xf>
    <xf numFmtId="0" fontId="16" fillId="9" borderId="14" xfId="0" applyFont="1" applyFill="1" applyBorder="1" applyAlignment="1" applyProtection="1">
      <alignment horizontal="right" vertical="center"/>
    </xf>
    <xf numFmtId="0" fontId="16" fillId="9" borderId="0" xfId="0" applyFont="1" applyFill="1" applyAlignment="1" applyProtection="1">
      <alignment horizontal="right" vertical="center"/>
    </xf>
    <xf numFmtId="0" fontId="16" fillId="9" borderId="9" xfId="0" applyFont="1" applyFill="1" applyBorder="1" applyAlignment="1" applyProtection="1">
      <alignment horizontal="right" vertical="center"/>
    </xf>
    <xf numFmtId="0" fontId="0" fillId="3" borderId="1" xfId="0" applyFill="1" applyBorder="1" applyAlignment="1" applyProtection="1">
      <alignment horizontal="center" vertical="center" wrapText="1"/>
    </xf>
    <xf numFmtId="0" fontId="5" fillId="3" borderId="2" xfId="0" applyFont="1" applyFill="1" applyBorder="1" applyAlignment="1" applyProtection="1">
      <alignment horizontal="center" vertical="center" wrapText="1"/>
    </xf>
    <xf numFmtId="0" fontId="16" fillId="9" borderId="11" xfId="0" applyFont="1" applyFill="1" applyBorder="1" applyAlignment="1" applyProtection="1">
      <alignment horizontal="right" vertical="center" wrapText="1"/>
    </xf>
    <xf numFmtId="0" fontId="16" fillId="9" borderId="12" xfId="0" applyFont="1" applyFill="1" applyBorder="1" applyAlignment="1" applyProtection="1">
      <alignment horizontal="right" vertical="center" wrapText="1"/>
    </xf>
    <xf numFmtId="0" fontId="16" fillId="9" borderId="13" xfId="0" applyFont="1" applyFill="1" applyBorder="1" applyAlignment="1" applyProtection="1">
      <alignment horizontal="right" vertical="center" wrapText="1"/>
    </xf>
    <xf numFmtId="0" fontId="5" fillId="3" borderId="3" xfId="0" applyFont="1" applyFill="1" applyBorder="1" applyAlignment="1" applyProtection="1">
      <alignment horizontal="center" vertical="center" wrapText="1"/>
    </xf>
    <xf numFmtId="0" fontId="1" fillId="11" borderId="1" xfId="0" applyFont="1" applyFill="1" applyBorder="1" applyAlignment="1" applyProtection="1">
      <alignment horizontal="left" vertical="center"/>
    </xf>
    <xf numFmtId="0" fontId="0" fillId="11" borderId="1" xfId="0" applyFill="1" applyBorder="1" applyAlignment="1" applyProtection="1">
      <alignment horizontal="center" vertical="center"/>
    </xf>
    <xf numFmtId="0" fontId="0" fillId="11" borderId="1" xfId="0" applyFill="1" applyBorder="1" applyAlignment="1" applyProtection="1">
      <alignment horizontal="left" vertical="center"/>
    </xf>
    <xf numFmtId="0" fontId="0" fillId="11" borderId="1" xfId="0" applyFill="1" applyBorder="1" applyAlignment="1" applyProtection="1">
      <alignment horizontal="center" vertical="center" wrapText="1"/>
    </xf>
    <xf numFmtId="169" fontId="0" fillId="0" borderId="0" xfId="0" applyNumberFormat="1" applyProtection="1"/>
    <xf numFmtId="0" fontId="5" fillId="7" borderId="1" xfId="0" applyFont="1" applyFill="1" applyBorder="1" applyAlignment="1" applyProtection="1">
      <alignment horizontal="left" vertical="center"/>
    </xf>
    <xf numFmtId="0" fontId="0" fillId="7" borderId="1" xfId="0" applyFill="1" applyBorder="1" applyAlignment="1" applyProtection="1">
      <alignment horizontal="center" vertical="center"/>
    </xf>
    <xf numFmtId="0" fontId="0" fillId="7" borderId="1" xfId="0" applyFill="1" applyBorder="1" applyAlignment="1" applyProtection="1">
      <alignment horizontal="center" vertical="center"/>
    </xf>
    <xf numFmtId="169" fontId="0" fillId="7" borderId="1" xfId="0" applyNumberFormat="1" applyFill="1" applyBorder="1" applyAlignment="1" applyProtection="1">
      <alignment horizontal="center" vertical="center"/>
    </xf>
    <xf numFmtId="169" fontId="0" fillId="16" borderId="1" xfId="0" applyNumberFormat="1" applyFill="1" applyBorder="1" applyAlignment="1" applyProtection="1">
      <alignment horizontal="center" vertical="center"/>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42" fillId="0" borderId="21" xfId="0" applyFont="1" applyBorder="1" applyAlignment="1" applyProtection="1">
      <alignment horizontal="center" vertical="center" wrapText="1"/>
    </xf>
    <xf numFmtId="0" fontId="5" fillId="0" borderId="2" xfId="0" applyFont="1" applyBorder="1" applyAlignment="1" applyProtection="1">
      <alignment horizontal="left" vertical="center"/>
    </xf>
    <xf numFmtId="0" fontId="0" fillId="0" borderId="2" xfId="0" applyBorder="1" applyAlignment="1" applyProtection="1">
      <alignment horizontal="center" vertical="center"/>
    </xf>
    <xf numFmtId="2" fontId="0" fillId="7" borderId="1" xfId="0" applyNumberFormat="1" applyFill="1" applyBorder="1" applyAlignment="1" applyProtection="1">
      <alignment horizontal="center" vertical="center" wrapText="1"/>
    </xf>
    <xf numFmtId="0" fontId="0" fillId="16" borderId="1" xfId="0" applyFill="1" applyBorder="1" applyAlignment="1" applyProtection="1">
      <alignment horizontal="center" vertical="center"/>
    </xf>
    <xf numFmtId="0" fontId="44" fillId="0" borderId="32" xfId="0" applyFont="1" applyBorder="1" applyAlignment="1" applyProtection="1">
      <alignment horizontal="center" vertical="center" wrapText="1"/>
    </xf>
    <xf numFmtId="0" fontId="44" fillId="0" borderId="19" xfId="0" applyFont="1" applyBorder="1" applyAlignment="1" applyProtection="1">
      <alignment horizontal="center" vertical="center" wrapText="1"/>
    </xf>
    <xf numFmtId="0" fontId="44" fillId="0" borderId="32" xfId="0" applyFont="1" applyBorder="1" applyAlignment="1" applyProtection="1">
      <alignment horizontal="center" vertical="center" wrapText="1"/>
    </xf>
    <xf numFmtId="0" fontId="44" fillId="0" borderId="42" xfId="0" applyFont="1" applyBorder="1" applyAlignment="1" applyProtection="1">
      <alignment horizontal="center" vertical="center" wrapText="1"/>
    </xf>
    <xf numFmtId="2" fontId="44" fillId="0" borderId="32" xfId="0" applyNumberFormat="1" applyFont="1" applyBorder="1" applyAlignment="1" applyProtection="1">
      <alignment horizontal="center" vertical="center" wrapText="1"/>
    </xf>
    <xf numFmtId="0" fontId="44" fillId="0" borderId="20" xfId="0" applyFont="1" applyBorder="1" applyAlignment="1" applyProtection="1">
      <alignment horizontal="center" vertical="center" wrapText="1"/>
    </xf>
    <xf numFmtId="0" fontId="44" fillId="0" borderId="1" xfId="0" applyFont="1" applyBorder="1" applyAlignment="1" applyProtection="1">
      <alignment horizontal="center" vertical="center" wrapText="1"/>
    </xf>
    <xf numFmtId="0" fontId="44" fillId="0" borderId="21" xfId="0" applyFont="1" applyBorder="1" applyAlignment="1" applyProtection="1">
      <alignment horizontal="center" vertical="center" wrapText="1"/>
    </xf>
    <xf numFmtId="49" fontId="44" fillId="0" borderId="32" xfId="0" applyNumberFormat="1" applyFont="1" applyBorder="1" applyAlignment="1" applyProtection="1">
      <alignment horizontal="center" vertical="center" wrapText="1"/>
    </xf>
    <xf numFmtId="0" fontId="5" fillId="0" borderId="1" xfId="0" applyFont="1" applyBorder="1" applyAlignment="1" applyProtection="1">
      <alignment horizontal="left" vertical="center"/>
    </xf>
    <xf numFmtId="0" fontId="0" fillId="0" borderId="1" xfId="0" applyBorder="1" applyAlignment="1" applyProtection="1">
      <alignment horizontal="left" vertical="center"/>
    </xf>
    <xf numFmtId="0" fontId="0" fillId="16" borderId="1" xfId="0" applyFill="1" applyBorder="1" applyAlignment="1" applyProtection="1">
      <alignment horizontal="center" vertical="center" wrapText="1"/>
    </xf>
    <xf numFmtId="0" fontId="44" fillId="0" borderId="31" xfId="0" applyFont="1" applyBorder="1" applyAlignment="1" applyProtection="1">
      <alignment horizontal="center" vertical="center" wrapText="1"/>
    </xf>
    <xf numFmtId="0" fontId="44" fillId="0" borderId="31" xfId="0" applyFont="1" applyBorder="1" applyAlignment="1" applyProtection="1">
      <alignment horizontal="center" vertical="center" wrapText="1"/>
    </xf>
    <xf numFmtId="165" fontId="44" fillId="0" borderId="19" xfId="0" applyNumberFormat="1" applyFont="1" applyBorder="1" applyAlignment="1" applyProtection="1">
      <alignment horizontal="center" vertical="center" wrapText="1"/>
    </xf>
    <xf numFmtId="0" fontId="44" fillId="0" borderId="15" xfId="0" applyFont="1" applyBorder="1" applyAlignment="1" applyProtection="1">
      <alignment horizontal="center" vertical="center" wrapText="1"/>
    </xf>
    <xf numFmtId="0" fontId="44" fillId="0" borderId="16" xfId="0" applyFont="1" applyBorder="1" applyAlignment="1" applyProtection="1">
      <alignment horizontal="center" vertical="center" wrapText="1"/>
    </xf>
    <xf numFmtId="49" fontId="44" fillId="0" borderId="31" xfId="0" applyNumberFormat="1" applyFont="1" applyBorder="1" applyAlignment="1" applyProtection="1">
      <alignment horizontal="center" vertical="center" wrapText="1"/>
    </xf>
    <xf numFmtId="0" fontId="44" fillId="0" borderId="30" xfId="0" applyFont="1" applyBorder="1" applyAlignment="1" applyProtection="1">
      <alignment horizontal="center" vertical="center" wrapText="1"/>
    </xf>
    <xf numFmtId="0" fontId="44" fillId="0" borderId="30" xfId="0" applyFont="1" applyBorder="1" applyAlignment="1" applyProtection="1">
      <alignment horizontal="center" vertical="center" wrapText="1"/>
    </xf>
    <xf numFmtId="0" fontId="44" fillId="0" borderId="17" xfId="0" applyFont="1" applyBorder="1" applyAlignment="1" applyProtection="1">
      <alignment horizontal="center" vertical="center" wrapText="1"/>
    </xf>
    <xf numFmtId="0" fontId="44" fillId="0" borderId="19" xfId="0" applyFont="1" applyBorder="1" applyAlignment="1" applyProtection="1">
      <alignment horizontal="center" vertical="center" wrapText="1"/>
    </xf>
    <xf numFmtId="49" fontId="44" fillId="0" borderId="30" xfId="0" applyNumberFormat="1" applyFont="1" applyBorder="1" applyAlignment="1" applyProtection="1">
      <alignment horizontal="center" vertical="center" wrapText="1"/>
    </xf>
    <xf numFmtId="2" fontId="44" fillId="0" borderId="19" xfId="0" applyNumberFormat="1" applyFont="1" applyBorder="1" applyAlignment="1" applyProtection="1">
      <alignment horizontal="center" vertical="center" wrapText="1"/>
    </xf>
    <xf numFmtId="11" fontId="44" fillId="0" borderId="32" xfId="0" applyNumberFormat="1" applyFont="1" applyBorder="1" applyAlignment="1" applyProtection="1">
      <alignment horizontal="center" vertical="center" wrapText="1"/>
    </xf>
    <xf numFmtId="0" fontId="44" fillId="0" borderId="2" xfId="0" applyFont="1" applyBorder="1" applyAlignment="1" applyProtection="1">
      <alignment horizontal="center" vertical="center" wrapText="1"/>
    </xf>
    <xf numFmtId="165" fontId="44" fillId="0" borderId="32" xfId="0" applyNumberFormat="1" applyFont="1" applyBorder="1" applyAlignment="1" applyProtection="1">
      <alignment horizontal="center" vertical="center" wrapText="1"/>
    </xf>
    <xf numFmtId="11" fontId="44" fillId="0" borderId="31" xfId="0" applyNumberFormat="1" applyFont="1" applyBorder="1" applyAlignment="1" applyProtection="1">
      <alignment horizontal="center" vertical="center" wrapText="1"/>
    </xf>
    <xf numFmtId="0" fontId="44" fillId="0" borderId="5" xfId="0" applyFont="1" applyBorder="1" applyAlignment="1" applyProtection="1">
      <alignment horizontal="center" vertical="center" wrapText="1"/>
    </xf>
    <xf numFmtId="165" fontId="44" fillId="0" borderId="31" xfId="0" applyNumberFormat="1" applyFont="1" applyBorder="1" applyAlignment="1" applyProtection="1">
      <alignment horizontal="center" vertical="center" wrapText="1"/>
    </xf>
    <xf numFmtId="0" fontId="5" fillId="0" borderId="1" xfId="0" applyFont="1" applyBorder="1" applyAlignment="1" applyProtection="1">
      <alignment horizontal="left" vertical="center" wrapText="1"/>
    </xf>
    <xf numFmtId="11" fontId="44" fillId="0" borderId="30" xfId="0" applyNumberFormat="1" applyFont="1" applyBorder="1" applyAlignment="1" applyProtection="1">
      <alignment horizontal="center" vertical="center" wrapText="1"/>
    </xf>
    <xf numFmtId="164" fontId="44" fillId="0" borderId="32" xfId="0" applyNumberFormat="1" applyFont="1" applyBorder="1" applyAlignment="1" applyProtection="1">
      <alignment horizontal="center" vertical="center" wrapText="1"/>
    </xf>
    <xf numFmtId="0" fontId="44" fillId="0" borderId="3" xfId="0" applyFont="1" applyBorder="1" applyAlignment="1" applyProtection="1">
      <alignment horizontal="center" vertical="center" wrapText="1"/>
    </xf>
    <xf numFmtId="165" fontId="44" fillId="0" borderId="30" xfId="0" applyNumberFormat="1" applyFont="1" applyBorder="1" applyAlignment="1" applyProtection="1">
      <alignment horizontal="center" vertical="center" wrapText="1"/>
    </xf>
    <xf numFmtId="1" fontId="44" fillId="0" borderId="32" xfId="0" applyNumberFormat="1" applyFont="1" applyBorder="1" applyAlignment="1" applyProtection="1">
      <alignment horizontal="center" vertical="center" wrapText="1"/>
    </xf>
    <xf numFmtId="165" fontId="44" fillId="0" borderId="32" xfId="0" applyNumberFormat="1" applyFont="1" applyBorder="1" applyAlignment="1" applyProtection="1">
      <alignment horizontal="center" vertical="center" wrapText="1"/>
    </xf>
    <xf numFmtId="1" fontId="44" fillId="0" borderId="31" xfId="0" applyNumberFormat="1" applyFont="1" applyBorder="1" applyAlignment="1" applyProtection="1">
      <alignment horizontal="center" vertical="center" wrapText="1"/>
    </xf>
    <xf numFmtId="0" fontId="5" fillId="16" borderId="1" xfId="0" applyFont="1" applyFill="1" applyBorder="1" applyAlignment="1" applyProtection="1">
      <alignment horizontal="left" vertical="center"/>
    </xf>
    <xf numFmtId="0" fontId="0" fillId="16" borderId="1" xfId="0" applyFill="1" applyBorder="1" applyAlignment="1" applyProtection="1">
      <alignment horizontal="left" vertical="center"/>
    </xf>
    <xf numFmtId="0" fontId="0" fillId="16" borderId="0" xfId="0" applyFill="1" applyProtection="1"/>
    <xf numFmtId="1" fontId="44" fillId="0" borderId="30" xfId="0" applyNumberFormat="1" applyFont="1" applyBorder="1" applyAlignment="1" applyProtection="1">
      <alignment horizontal="center" vertical="center" wrapText="1"/>
    </xf>
    <xf numFmtId="0" fontId="44" fillId="0" borderId="16" xfId="0" applyFont="1" applyBorder="1" applyAlignment="1" applyProtection="1">
      <alignment horizontal="center" vertical="center" wrapText="1"/>
    </xf>
    <xf numFmtId="0" fontId="44" fillId="0" borderId="43" xfId="0" applyFont="1" applyBorder="1" applyAlignment="1" applyProtection="1">
      <alignment horizontal="center" vertical="center" wrapText="1"/>
    </xf>
    <xf numFmtId="0" fontId="44" fillId="0" borderId="2" xfId="0" applyFont="1" applyBorder="1" applyAlignment="1" applyProtection="1">
      <alignment horizontal="center" vertical="center" wrapText="1"/>
    </xf>
    <xf numFmtId="0" fontId="16" fillId="13" borderId="1" xfId="0" applyFont="1" applyFill="1" applyBorder="1" applyAlignment="1" applyProtection="1">
      <alignment horizontal="left" vertical="center"/>
    </xf>
    <xf numFmtId="0" fontId="0" fillId="13" borderId="1" xfId="0" applyFill="1" applyBorder="1" applyAlignment="1" applyProtection="1">
      <alignment horizontal="center" vertical="center"/>
    </xf>
    <xf numFmtId="0" fontId="0" fillId="13" borderId="1" xfId="0" applyFill="1" applyBorder="1" applyAlignment="1" applyProtection="1">
      <alignment horizontal="left" vertical="center"/>
    </xf>
    <xf numFmtId="0" fontId="44" fillId="0" borderId="1" xfId="0" applyFont="1" applyBorder="1" applyAlignment="1" applyProtection="1">
      <alignment horizontal="center" vertical="center" wrapText="1"/>
    </xf>
    <xf numFmtId="2" fontId="44" fillId="0" borderId="1" xfId="0" applyNumberFormat="1" applyFont="1" applyBorder="1" applyAlignment="1" applyProtection="1">
      <alignment horizontal="center" vertical="center" wrapText="1"/>
    </xf>
    <xf numFmtId="0" fontId="44" fillId="0" borderId="1" xfId="0" applyFont="1" applyBorder="1" applyAlignment="1" applyProtection="1">
      <alignment horizontal="center" vertical="center"/>
    </xf>
    <xf numFmtId="1" fontId="44" fillId="0" borderId="1" xfId="0" applyNumberFormat="1" applyFont="1" applyBorder="1" applyAlignment="1" applyProtection="1">
      <alignment horizontal="center" vertical="center" wrapText="1"/>
    </xf>
    <xf numFmtId="165" fontId="44" fillId="0" borderId="1" xfId="0" applyNumberFormat="1" applyFont="1" applyBorder="1" applyAlignment="1" applyProtection="1">
      <alignment horizontal="center" vertical="center" wrapText="1"/>
    </xf>
    <xf numFmtId="0" fontId="5" fillId="7" borderId="2" xfId="0" applyFont="1" applyFill="1" applyBorder="1" applyAlignment="1" applyProtection="1">
      <alignment horizontal="left" vertical="center"/>
    </xf>
    <xf numFmtId="0" fontId="0" fillId="7" borderId="2" xfId="0" applyFill="1" applyBorder="1" applyAlignment="1" applyProtection="1">
      <alignment horizontal="center" vertical="center"/>
    </xf>
    <xf numFmtId="0" fontId="0" fillId="7" borderId="1" xfId="0" applyFill="1" applyBorder="1" applyAlignment="1" applyProtection="1">
      <alignment horizontal="center" vertical="center" wrapText="1"/>
    </xf>
    <xf numFmtId="0" fontId="44" fillId="7" borderId="34" xfId="0" applyFont="1" applyFill="1" applyBorder="1" applyAlignment="1" applyProtection="1">
      <alignment horizontal="center" vertical="center" wrapText="1"/>
    </xf>
    <xf numFmtId="2" fontId="44" fillId="0" borderId="2" xfId="0" applyNumberFormat="1" applyFont="1" applyBorder="1" applyAlignment="1" applyProtection="1">
      <alignment horizontal="center" vertical="center" wrapText="1"/>
    </xf>
    <xf numFmtId="165" fontId="44" fillId="0" borderId="2" xfId="0" applyNumberFormat="1" applyFont="1" applyBorder="1" applyAlignment="1" applyProtection="1">
      <alignment horizontal="center" vertical="center" wrapText="1"/>
    </xf>
    <xf numFmtId="0" fontId="5" fillId="7" borderId="5" xfId="0" applyFont="1" applyFill="1" applyBorder="1" applyAlignment="1" applyProtection="1">
      <alignment horizontal="left" vertical="center"/>
    </xf>
    <xf numFmtId="0" fontId="0" fillId="7" borderId="5" xfId="0" applyFill="1" applyBorder="1" applyAlignment="1" applyProtection="1">
      <alignment horizontal="center" vertical="center"/>
    </xf>
    <xf numFmtId="0" fontId="44" fillId="7" borderId="30" xfId="0" applyFont="1" applyFill="1" applyBorder="1" applyAlignment="1" applyProtection="1">
      <alignment horizontal="center" vertical="center" wrapText="1"/>
    </xf>
    <xf numFmtId="2" fontId="44" fillId="0" borderId="5" xfId="0" applyNumberFormat="1" applyFont="1" applyBorder="1" applyAlignment="1" applyProtection="1">
      <alignment horizontal="center" vertical="center" wrapText="1"/>
    </xf>
    <xf numFmtId="165" fontId="44" fillId="0" borderId="5" xfId="0" applyNumberFormat="1" applyFont="1" applyBorder="1" applyAlignment="1" applyProtection="1">
      <alignment horizontal="center" vertical="center" wrapText="1"/>
    </xf>
    <xf numFmtId="0" fontId="5" fillId="7" borderId="3" xfId="0" applyFont="1" applyFill="1" applyBorder="1" applyAlignment="1" applyProtection="1">
      <alignment horizontal="left" vertical="center"/>
    </xf>
    <xf numFmtId="0" fontId="0" fillId="7" borderId="3" xfId="0" applyFill="1" applyBorder="1" applyAlignment="1" applyProtection="1">
      <alignment horizontal="center" vertical="center"/>
    </xf>
    <xf numFmtId="2" fontId="44" fillId="0" borderId="3" xfId="0" applyNumberFormat="1" applyFont="1" applyBorder="1" applyAlignment="1" applyProtection="1">
      <alignment horizontal="center" vertical="center" wrapText="1"/>
    </xf>
    <xf numFmtId="165" fontId="44" fillId="0" borderId="3" xfId="0" applyNumberFormat="1" applyFont="1" applyBorder="1" applyAlignment="1" applyProtection="1">
      <alignment horizontal="center" vertical="center" wrapText="1"/>
    </xf>
    <xf numFmtId="0" fontId="5" fillId="0" borderId="1" xfId="0" applyFont="1" applyBorder="1" applyAlignment="1" applyProtection="1">
      <alignment horizontal="center" vertical="center"/>
    </xf>
    <xf numFmtId="0" fontId="5" fillId="16" borderId="1" xfId="0" applyFont="1" applyFill="1" applyBorder="1" applyAlignment="1" applyProtection="1">
      <alignment horizontal="center" vertical="center" wrapText="1"/>
    </xf>
    <xf numFmtId="0" fontId="44" fillId="0" borderId="25" xfId="0" applyFont="1" applyBorder="1" applyAlignment="1" applyProtection="1">
      <alignment horizontal="center" vertical="center" wrapText="1"/>
    </xf>
    <xf numFmtId="0" fontId="44" fillId="0" borderId="2" xfId="0" applyFont="1" applyBorder="1" applyAlignment="1" applyProtection="1">
      <alignment horizontal="center" vertical="center"/>
    </xf>
    <xf numFmtId="0" fontId="5" fillId="10" borderId="2" xfId="0" applyFont="1" applyFill="1" applyBorder="1" applyAlignment="1" applyProtection="1">
      <alignment horizontal="left" vertical="center"/>
    </xf>
    <xf numFmtId="0" fontId="0" fillId="10" borderId="2" xfId="0" applyFill="1" applyBorder="1" applyAlignment="1" applyProtection="1">
      <alignment horizontal="center" vertical="center"/>
    </xf>
    <xf numFmtId="0" fontId="0" fillId="10" borderId="1" xfId="0" applyFill="1" applyBorder="1" applyAlignment="1" applyProtection="1">
      <alignment horizontal="center" vertical="center"/>
    </xf>
    <xf numFmtId="0" fontId="5" fillId="10" borderId="1" xfId="0" applyFont="1" applyFill="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5" xfId="0" applyFont="1" applyBorder="1" applyAlignment="1" applyProtection="1">
      <alignment horizontal="center" vertical="center"/>
    </xf>
    <xf numFmtId="0" fontId="44" fillId="0" borderId="3" xfId="0" applyFont="1" applyBorder="1" applyAlignment="1" applyProtection="1">
      <alignment horizontal="center" vertical="center"/>
    </xf>
    <xf numFmtId="2" fontId="44" fillId="0" borderId="0" xfId="0" applyNumberFormat="1" applyFont="1" applyAlignment="1" applyProtection="1">
      <alignment horizontal="center"/>
    </xf>
    <xf numFmtId="0" fontId="44" fillId="0" borderId="0" xfId="0" applyFont="1" applyAlignment="1" applyProtection="1">
      <alignment horizontal="center"/>
    </xf>
    <xf numFmtId="164" fontId="44" fillId="0" borderId="1" xfId="0" applyNumberFormat="1" applyFont="1" applyBorder="1" applyAlignment="1" applyProtection="1">
      <alignment horizontal="center" vertical="center" wrapText="1"/>
    </xf>
    <xf numFmtId="49" fontId="44" fillId="0" borderId="1" xfId="0" applyNumberFormat="1" applyFont="1" applyBorder="1" applyAlignment="1" applyProtection="1">
      <alignment horizontal="center" vertical="center" wrapText="1"/>
    </xf>
    <xf numFmtId="0" fontId="5" fillId="10" borderId="1" xfId="0" applyFont="1" applyFill="1" applyBorder="1" applyAlignment="1" applyProtection="1">
      <alignment horizontal="left" vertical="center"/>
    </xf>
    <xf numFmtId="0" fontId="0" fillId="10" borderId="1" xfId="0" applyFill="1" applyBorder="1" applyAlignment="1" applyProtection="1">
      <alignment horizontal="left" vertical="center"/>
    </xf>
    <xf numFmtId="0" fontId="0" fillId="10" borderId="1" xfId="0" applyFill="1" applyBorder="1" applyAlignment="1" applyProtection="1">
      <alignment horizontal="center" vertical="center" wrapText="1"/>
    </xf>
    <xf numFmtId="0" fontId="0" fillId="10" borderId="0" xfId="0" applyFill="1" applyProtection="1"/>
    <xf numFmtId="168" fontId="44" fillId="0" borderId="0" xfId="0" applyNumberFormat="1" applyFont="1" applyAlignment="1" applyProtection="1">
      <alignment horizontal="center"/>
    </xf>
    <xf numFmtId="169" fontId="44" fillId="0" borderId="1" xfId="0" applyNumberFormat="1" applyFont="1" applyBorder="1" applyAlignment="1" applyProtection="1">
      <alignment horizontal="center" vertical="center" wrapText="1"/>
    </xf>
    <xf numFmtId="2" fontId="44" fillId="0" borderId="31" xfId="0" applyNumberFormat="1" applyFont="1" applyBorder="1" applyAlignment="1" applyProtection="1">
      <alignment horizontal="center" vertical="center"/>
    </xf>
    <xf numFmtId="11" fontId="0" fillId="7" borderId="1" xfId="0" applyNumberFormat="1" applyFill="1" applyBorder="1" applyAlignment="1" applyProtection="1">
      <alignment horizontal="center" vertical="center" wrapText="1"/>
    </xf>
    <xf numFmtId="0" fontId="0" fillId="7" borderId="5" xfId="0" applyFill="1" applyBorder="1" applyAlignment="1" applyProtection="1">
      <alignment horizontal="left" vertical="center"/>
    </xf>
    <xf numFmtId="0" fontId="0" fillId="7" borderId="3" xfId="0" applyFill="1" applyBorder="1" applyAlignment="1" applyProtection="1">
      <alignment horizontal="left" vertical="center"/>
    </xf>
    <xf numFmtId="0" fontId="44" fillId="0" borderId="0" xfId="0" applyFont="1" applyProtection="1"/>
    <xf numFmtId="164" fontId="44" fillId="0" borderId="0" xfId="0" applyNumberFormat="1" applyFont="1" applyAlignment="1" applyProtection="1">
      <alignment horizontal="center"/>
    </xf>
    <xf numFmtId="0" fontId="44" fillId="0" borderId="0" xfId="0" applyFont="1" applyAlignment="1" applyProtection="1">
      <alignment horizontal="left" vertical="center" wrapText="1"/>
    </xf>
    <xf numFmtId="0" fontId="16" fillId="0" borderId="1" xfId="0" applyFont="1" applyBorder="1" applyAlignment="1" applyProtection="1">
      <alignment horizontal="left" vertical="center"/>
    </xf>
    <xf numFmtId="18" fontId="5" fillId="0" borderId="1" xfId="0" applyNumberFormat="1" applyFont="1" applyBorder="1" applyAlignment="1" applyProtection="1">
      <alignment horizontal="left" vertical="center"/>
    </xf>
    <xf numFmtId="0" fontId="5" fillId="7" borderId="1" xfId="0" applyFont="1" applyFill="1" applyBorder="1" applyAlignment="1" applyProtection="1">
      <alignment horizontal="left" vertical="center"/>
    </xf>
    <xf numFmtId="0" fontId="32" fillId="0" borderId="1" xfId="0" applyFont="1" applyBorder="1" applyAlignment="1" applyProtection="1">
      <alignment horizontal="center" vertical="center"/>
    </xf>
    <xf numFmtId="0" fontId="15" fillId="0" borderId="1" xfId="0" applyFont="1" applyBorder="1" applyAlignment="1" applyProtection="1">
      <alignment horizontal="center" vertical="center" wrapText="1"/>
    </xf>
    <xf numFmtId="0" fontId="3" fillId="0" borderId="1" xfId="0" applyFont="1" applyBorder="1" applyAlignment="1" applyProtection="1">
      <alignment horizontal="center" vertical="center" wrapText="1"/>
    </xf>
    <xf numFmtId="0" fontId="3" fillId="0" borderId="1" xfId="0" applyFont="1" applyBorder="1" applyAlignment="1" applyProtection="1">
      <alignment horizontal="center" vertical="center"/>
    </xf>
    <xf numFmtId="0" fontId="1" fillId="0" borderId="0" xfId="0" applyFont="1" applyAlignment="1" applyProtection="1">
      <alignment horizontal="center" vertical="center" wrapText="1"/>
    </xf>
    <xf numFmtId="0" fontId="5" fillId="0" borderId="13" xfId="0" applyFont="1" applyBorder="1" applyAlignment="1" applyProtection="1">
      <alignment horizontal="right" vertical="center" wrapText="1"/>
    </xf>
    <xf numFmtId="0" fontId="5" fillId="12" borderId="13" xfId="0" applyFont="1" applyFill="1" applyBorder="1" applyAlignment="1" applyProtection="1">
      <alignment horizontal="center" vertical="center" wrapText="1"/>
    </xf>
    <xf numFmtId="0" fontId="16" fillId="9" borderId="14" xfId="0" applyFont="1" applyFill="1" applyBorder="1" applyAlignment="1" applyProtection="1">
      <alignment horizontal="right" vertical="center" wrapText="1"/>
    </xf>
    <xf numFmtId="0" fontId="16" fillId="9" borderId="9" xfId="0" applyFont="1" applyFill="1" applyBorder="1" applyAlignment="1" applyProtection="1">
      <alignment horizontal="right" vertical="center" wrapText="1"/>
    </xf>
    <xf numFmtId="0" fontId="16" fillId="9" borderId="9" xfId="0" applyFont="1" applyFill="1" applyBorder="1" applyAlignment="1" applyProtection="1">
      <alignment horizontal="right" vertical="center" wrapText="1"/>
    </xf>
    <xf numFmtId="0" fontId="1" fillId="17" borderId="1" xfId="0" applyFont="1" applyFill="1" applyBorder="1" applyAlignment="1" applyProtection="1">
      <alignment horizontal="left" vertical="center" wrapText="1"/>
    </xf>
    <xf numFmtId="0" fontId="1" fillId="11" borderId="1" xfId="0" applyFont="1" applyFill="1" applyBorder="1" applyAlignment="1" applyProtection="1">
      <alignment vertical="top"/>
    </xf>
    <xf numFmtId="0" fontId="0" fillId="11" borderId="1" xfId="0" applyFill="1" applyBorder="1" applyProtection="1"/>
    <xf numFmtId="0" fontId="0" fillId="7" borderId="2" xfId="0" applyFill="1" applyBorder="1" applyAlignment="1" applyProtection="1">
      <alignment vertical="top"/>
    </xf>
    <xf numFmtId="0" fontId="0" fillId="7" borderId="5" xfId="0" applyFill="1" applyBorder="1" applyAlignment="1" applyProtection="1">
      <alignment vertical="top"/>
    </xf>
    <xf numFmtId="0" fontId="0" fillId="7" borderId="3" xfId="0" applyFill="1" applyBorder="1" applyAlignment="1" applyProtection="1">
      <alignment vertical="top"/>
    </xf>
    <xf numFmtId="0" fontId="5" fillId="16" borderId="1" xfId="0" applyFont="1" applyFill="1" applyBorder="1" applyAlignment="1" applyProtection="1">
      <alignment vertical="top"/>
    </xf>
    <xf numFmtId="0" fontId="0" fillId="16" borderId="1" xfId="0" applyFill="1" applyBorder="1" applyAlignment="1" applyProtection="1">
      <alignment horizontal="center"/>
    </xf>
    <xf numFmtId="0" fontId="5" fillId="0" borderId="1" xfId="0" applyFont="1" applyBorder="1" applyAlignment="1" applyProtection="1">
      <alignment vertical="top"/>
    </xf>
    <xf numFmtId="0" fontId="16" fillId="13" borderId="1" xfId="0" applyFont="1" applyFill="1" applyBorder="1" applyAlignment="1" applyProtection="1">
      <alignment vertical="top"/>
    </xf>
    <xf numFmtId="0" fontId="0" fillId="13" borderId="1" xfId="0" applyFill="1" applyBorder="1" applyProtection="1"/>
    <xf numFmtId="0" fontId="0" fillId="13" borderId="1" xfId="0" applyFill="1" applyBorder="1" applyAlignment="1" applyProtection="1">
      <alignment horizontal="center" vertical="center" wrapText="1"/>
    </xf>
    <xf numFmtId="0" fontId="0" fillId="0" borderId="1" xfId="0" applyBorder="1" applyProtection="1"/>
    <xf numFmtId="0" fontId="0" fillId="16" borderId="1" xfId="0" applyFill="1" applyBorder="1" applyProtection="1"/>
    <xf numFmtId="0" fontId="0" fillId="16" borderId="1" xfId="0" applyFill="1" applyBorder="1" applyAlignment="1" applyProtection="1">
      <alignment vertical="top"/>
    </xf>
    <xf numFmtId="1" fontId="0" fillId="7" borderId="1" xfId="0" applyNumberFormat="1" applyFill="1" applyBorder="1" applyAlignment="1" applyProtection="1">
      <alignment horizontal="center" vertical="center" wrapText="1"/>
    </xf>
    <xf numFmtId="0" fontId="0" fillId="0" borderId="1" xfId="0" applyBorder="1" applyAlignment="1" applyProtection="1">
      <alignment vertical="top"/>
    </xf>
    <xf numFmtId="0" fontId="16" fillId="16" borderId="1" xfId="0" applyFont="1" applyFill="1" applyBorder="1" applyAlignment="1" applyProtection="1">
      <alignment vertical="top"/>
    </xf>
    <xf numFmtId="0" fontId="5" fillId="16" borderId="1" xfId="0" applyFont="1" applyFill="1" applyBorder="1" applyAlignment="1" applyProtection="1">
      <alignment vertical="top" wrapText="1"/>
    </xf>
    <xf numFmtId="18" fontId="5" fillId="16" borderId="1" xfId="0" applyNumberFormat="1" applyFont="1" applyFill="1" applyBorder="1" applyAlignment="1" applyProtection="1">
      <alignment vertical="top"/>
    </xf>
    <xf numFmtId="0" fontId="14" fillId="0" borderId="0" xfId="0" applyFont="1" applyAlignment="1" applyProtection="1">
      <alignment horizontal="left" vertical="center"/>
    </xf>
    <xf numFmtId="0" fontId="2" fillId="0" borderId="0" xfId="0" applyFont="1" applyAlignment="1" applyProtection="1">
      <alignment horizontal="left" vertical="center"/>
    </xf>
    <xf numFmtId="0" fontId="0" fillId="0" borderId="12" xfId="0" applyBorder="1" applyAlignment="1" applyProtection="1">
      <alignment vertical="center"/>
    </xf>
    <xf numFmtId="0" fontId="2" fillId="0" borderId="12" xfId="0" applyFont="1" applyBorder="1" applyAlignment="1" applyProtection="1">
      <alignment vertical="center"/>
    </xf>
    <xf numFmtId="0" fontId="3" fillId="0" borderId="10" xfId="0" applyFont="1" applyBorder="1" applyAlignment="1" applyProtection="1">
      <alignment horizontal="center" vertical="center" wrapText="1"/>
    </xf>
    <xf numFmtId="0" fontId="16" fillId="0" borderId="22" xfId="0" applyFont="1" applyBorder="1" applyAlignment="1" applyProtection="1">
      <alignment horizontal="center" vertical="center" wrapText="1"/>
    </xf>
    <xf numFmtId="0" fontId="3" fillId="0" borderId="22" xfId="0" applyFont="1" applyBorder="1" applyAlignment="1" applyProtection="1">
      <alignment horizontal="center" vertical="center" wrapText="1"/>
    </xf>
    <xf numFmtId="0" fontId="3" fillId="0" borderId="23" xfId="0" applyFont="1" applyBorder="1" applyAlignment="1" applyProtection="1">
      <alignment horizontal="center" vertical="center" wrapText="1"/>
    </xf>
    <xf numFmtId="0" fontId="3" fillId="0" borderId="22" xfId="0" applyFont="1" applyBorder="1" applyAlignment="1" applyProtection="1">
      <alignment horizontal="center" vertical="center"/>
    </xf>
    <xf numFmtId="0" fontId="3" fillId="0" borderId="27" xfId="0" applyFont="1" applyBorder="1" applyAlignment="1" applyProtection="1">
      <alignment horizontal="center" vertical="center"/>
    </xf>
    <xf numFmtId="0" fontId="3" fillId="0" borderId="23" xfId="0" applyFont="1" applyBorder="1" applyAlignment="1" applyProtection="1">
      <alignment horizontal="center" vertical="center"/>
    </xf>
    <xf numFmtId="0" fontId="3" fillId="0" borderId="27" xfId="0" applyFont="1" applyBorder="1" applyAlignment="1" applyProtection="1">
      <alignment horizontal="center" vertical="center" wrapText="1"/>
    </xf>
    <xf numFmtId="0" fontId="3" fillId="7" borderId="23" xfId="0" applyFont="1" applyFill="1" applyBorder="1" applyAlignment="1" applyProtection="1">
      <alignment horizontal="center" vertical="center" wrapText="1"/>
    </xf>
    <xf numFmtId="0" fontId="3" fillId="7" borderId="22" xfId="0" applyFont="1" applyFill="1" applyBorder="1" applyAlignment="1" applyProtection="1">
      <alignment horizontal="center" vertical="center" wrapText="1"/>
    </xf>
    <xf numFmtId="0" fontId="3" fillId="7" borderId="27" xfId="0" applyFont="1" applyFill="1" applyBorder="1" applyAlignment="1" applyProtection="1">
      <alignment horizontal="center" vertical="center" wrapText="1"/>
    </xf>
    <xf numFmtId="0" fontId="3" fillId="0" borderId="8" xfId="0" applyFont="1" applyBorder="1" applyAlignment="1" applyProtection="1">
      <alignment horizontal="center" vertical="center" wrapText="1"/>
    </xf>
    <xf numFmtId="0" fontId="3" fillId="0" borderId="14" xfId="0" applyFont="1" applyBorder="1" applyAlignment="1" applyProtection="1">
      <alignment horizontal="center" vertical="center" wrapText="1"/>
    </xf>
    <xf numFmtId="0" fontId="16" fillId="0" borderId="0" xfId="0" applyFont="1" applyAlignment="1" applyProtection="1">
      <alignment horizontal="center" vertical="center" wrapText="1"/>
    </xf>
    <xf numFmtId="0" fontId="3" fillId="0" borderId="15" xfId="0" applyFont="1" applyBorder="1" applyAlignment="1" applyProtection="1">
      <alignment horizontal="center" vertical="center" wrapText="1"/>
    </xf>
    <xf numFmtId="0" fontId="3" fillId="0" borderId="16" xfId="0" applyFont="1" applyBorder="1" applyAlignment="1" applyProtection="1">
      <alignment horizontal="center" vertical="center" wrapText="1"/>
    </xf>
    <xf numFmtId="0" fontId="16" fillId="0" borderId="15" xfId="0" applyFont="1" applyBorder="1" applyAlignment="1" applyProtection="1">
      <alignment horizontal="center" vertical="center" wrapText="1"/>
    </xf>
    <xf numFmtId="0" fontId="3" fillId="0" borderId="24" xfId="0" applyFont="1" applyBorder="1" applyAlignment="1" applyProtection="1">
      <alignment horizontal="center" vertical="center" wrapText="1"/>
    </xf>
    <xf numFmtId="0" fontId="3" fillId="0" borderId="12" xfId="0" applyFont="1" applyBorder="1" applyAlignment="1" applyProtection="1">
      <alignment horizontal="center" vertical="center" wrapText="1"/>
    </xf>
    <xf numFmtId="0" fontId="3" fillId="0" borderId="26" xfId="0" applyFont="1" applyBorder="1" applyAlignment="1" applyProtection="1">
      <alignment horizontal="center" vertical="center" wrapText="1"/>
    </xf>
    <xf numFmtId="0" fontId="3" fillId="15" borderId="12" xfId="0" applyFont="1" applyFill="1" applyBorder="1" applyAlignment="1" applyProtection="1">
      <alignment horizontal="center" vertical="center" wrapText="1"/>
    </xf>
    <xf numFmtId="0" fontId="3" fillId="15" borderId="13" xfId="0" applyFont="1" applyFill="1" applyBorder="1" applyAlignment="1" applyProtection="1">
      <alignment horizontal="center" vertical="center" wrapText="1"/>
    </xf>
    <xf numFmtId="0" fontId="9" fillId="7" borderId="22" xfId="0" applyFont="1" applyFill="1" applyBorder="1" applyAlignment="1" applyProtection="1">
      <alignment horizontal="center" vertical="center" wrapText="1"/>
    </xf>
    <xf numFmtId="11" fontId="9" fillId="0" borderId="1" xfId="0" applyNumberFormat="1" applyFont="1" applyBorder="1" applyAlignment="1" applyProtection="1">
      <alignment horizontal="center"/>
    </xf>
    <xf numFmtId="11" fontId="0" fillId="0" borderId="1" xfId="0" applyNumberFormat="1" applyBorder="1" applyAlignment="1" applyProtection="1">
      <alignment horizontal="center"/>
    </xf>
    <xf numFmtId="11" fontId="0" fillId="0" borderId="27" xfId="0" applyNumberFormat="1" applyBorder="1" applyAlignment="1" applyProtection="1">
      <alignment horizontal="center" vertical="center"/>
    </xf>
    <xf numFmtId="11" fontId="0" fillId="0" borderId="23" xfId="0" applyNumberFormat="1" applyBorder="1" applyAlignment="1" applyProtection="1">
      <alignment horizontal="center" vertical="center"/>
    </xf>
    <xf numFmtId="11" fontId="0" fillId="0" borderId="22" xfId="0" applyNumberFormat="1" applyBorder="1" applyAlignment="1" applyProtection="1">
      <alignment horizontal="center" vertical="center"/>
    </xf>
    <xf numFmtId="11" fontId="19" fillId="15" borderId="22" xfId="0" applyNumberFormat="1" applyFont="1" applyFill="1" applyBorder="1" applyAlignment="1" applyProtection="1">
      <alignment horizontal="center" vertical="center"/>
    </xf>
    <xf numFmtId="166" fontId="0" fillId="0" borderId="22" xfId="0" applyNumberFormat="1" applyBorder="1" applyAlignment="1" applyProtection="1">
      <alignment horizontal="left" vertical="center" indent="1"/>
    </xf>
    <xf numFmtId="166" fontId="0" fillId="0" borderId="27" xfId="0" applyNumberFormat="1" applyBorder="1" applyAlignment="1" applyProtection="1">
      <alignment horizontal="left" vertical="center" indent="1"/>
    </xf>
    <xf numFmtId="166" fontId="0" fillId="0" borderId="22" xfId="0" applyNumberFormat="1" applyBorder="1" applyAlignment="1" applyProtection="1">
      <alignment horizontal="center" vertical="center"/>
    </xf>
    <xf numFmtId="167" fontId="0" fillId="0" borderId="15" xfId="0" applyNumberFormat="1" applyBorder="1" applyAlignment="1" applyProtection="1">
      <alignment horizontal="center" vertical="center"/>
    </xf>
    <xf numFmtId="167" fontId="0" fillId="0" borderId="0" xfId="0" applyNumberFormat="1" applyAlignment="1" applyProtection="1">
      <alignment horizontal="center" vertical="center"/>
    </xf>
    <xf numFmtId="167" fontId="0" fillId="0" borderId="16" xfId="0" applyNumberFormat="1" applyBorder="1" applyAlignment="1" applyProtection="1">
      <alignment horizontal="center" vertical="center"/>
    </xf>
    <xf numFmtId="3" fontId="0" fillId="0" borderId="0" xfId="0" applyNumberFormat="1" applyAlignment="1" applyProtection="1">
      <alignment horizontal="center" vertical="center"/>
    </xf>
    <xf numFmtId="0" fontId="9" fillId="7" borderId="0" xfId="0" applyFont="1" applyFill="1" applyAlignment="1" applyProtection="1">
      <alignment horizontal="center" vertical="center" wrapText="1"/>
    </xf>
    <xf numFmtId="11" fontId="0" fillId="0" borderId="16" xfId="0" applyNumberFormat="1" applyBorder="1" applyAlignment="1" applyProtection="1">
      <alignment horizontal="center" vertical="center"/>
    </xf>
    <xf numFmtId="11" fontId="0" fillId="0" borderId="15" xfId="0" applyNumberFormat="1" applyBorder="1" applyAlignment="1" applyProtection="1">
      <alignment horizontal="center" vertical="center"/>
    </xf>
    <xf numFmtId="11" fontId="0" fillId="0" borderId="0" xfId="0" applyNumberFormat="1" applyAlignment="1" applyProtection="1">
      <alignment horizontal="center" vertical="center"/>
    </xf>
    <xf numFmtId="166" fontId="0" fillId="0" borderId="0" xfId="0" applyNumberFormat="1" applyAlignment="1" applyProtection="1">
      <alignment horizontal="center" vertical="center"/>
    </xf>
    <xf numFmtId="0" fontId="9" fillId="7" borderId="12" xfId="0" applyFont="1" applyFill="1" applyBorder="1" applyAlignment="1" applyProtection="1">
      <alignment horizontal="center" vertical="center" wrapText="1"/>
    </xf>
    <xf numFmtId="0" fontId="5" fillId="0" borderId="12" xfId="0" applyFont="1" applyBorder="1" applyAlignment="1" applyProtection="1">
      <alignment horizontal="center" vertical="center"/>
    </xf>
    <xf numFmtId="11" fontId="0" fillId="0" borderId="26" xfId="0" applyNumberFormat="1" applyBorder="1" applyAlignment="1" applyProtection="1">
      <alignment horizontal="center" vertical="center"/>
    </xf>
    <xf numFmtId="11" fontId="0" fillId="0" borderId="24" xfId="0" applyNumberFormat="1" applyBorder="1" applyAlignment="1" applyProtection="1">
      <alignment horizontal="center" vertical="center"/>
    </xf>
    <xf numFmtId="11" fontId="0" fillId="0" borderId="12" xfId="0" applyNumberFormat="1" applyBorder="1" applyAlignment="1" applyProtection="1">
      <alignment horizontal="center" vertical="center"/>
    </xf>
    <xf numFmtId="166" fontId="0" fillId="0" borderId="12" xfId="0" applyNumberFormat="1" applyBorder="1" applyAlignment="1" applyProtection="1">
      <alignment horizontal="center" vertical="center"/>
    </xf>
    <xf numFmtId="0" fontId="0" fillId="0" borderId="12" xfId="0" applyBorder="1" applyAlignment="1" applyProtection="1">
      <alignment horizontal="center" vertical="center"/>
    </xf>
    <xf numFmtId="0" fontId="3" fillId="0" borderId="58" xfId="0" applyFont="1" applyBorder="1" applyAlignment="1" applyProtection="1">
      <alignment horizontal="center" vertical="center" wrapText="1"/>
    </xf>
    <xf numFmtId="0" fontId="3" fillId="0" borderId="57" xfId="0" applyFont="1" applyBorder="1" applyAlignment="1" applyProtection="1">
      <alignment horizontal="center" vertical="center" wrapText="1"/>
    </xf>
    <xf numFmtId="0" fontId="5" fillId="0" borderId="22" xfId="0" applyFont="1" applyBorder="1" applyAlignment="1" applyProtection="1">
      <alignment horizontal="center" vertical="center"/>
    </xf>
    <xf numFmtId="1" fontId="5" fillId="0" borderId="1" xfId="0" applyNumberFormat="1" applyFont="1" applyBorder="1" applyAlignment="1" applyProtection="1">
      <alignment horizontal="center" vertical="center"/>
    </xf>
    <xf numFmtId="167" fontId="0" fillId="0" borderId="20" xfId="0" applyNumberFormat="1" applyBorder="1" applyAlignment="1" applyProtection="1">
      <alignment horizontal="center" vertical="center"/>
    </xf>
    <xf numFmtId="167" fontId="0" fillId="0" borderId="25" xfId="0" applyNumberFormat="1" applyBorder="1" applyAlignment="1" applyProtection="1">
      <alignment horizontal="center" vertical="center"/>
    </xf>
    <xf numFmtId="167" fontId="0" fillId="0" borderId="21" xfId="0" applyNumberFormat="1" applyBorder="1" applyAlignment="1" applyProtection="1">
      <alignment horizontal="center" vertical="center"/>
    </xf>
    <xf numFmtId="1" fontId="5" fillId="0" borderId="60" xfId="0" applyNumberFormat="1" applyFont="1" applyBorder="1" applyAlignment="1" applyProtection="1">
      <alignment horizontal="center" vertical="center"/>
    </xf>
    <xf numFmtId="1" fontId="5" fillId="0" borderId="3" xfId="0" applyNumberFormat="1" applyFont="1" applyBorder="1" applyAlignment="1" applyProtection="1">
      <alignment horizontal="center" vertical="center"/>
    </xf>
    <xf numFmtId="166" fontId="0" fillId="0" borderId="12" xfId="0" applyNumberFormat="1" applyBorder="1" applyAlignment="1" applyProtection="1">
      <alignment horizontal="left" vertical="center" indent="1"/>
    </xf>
    <xf numFmtId="166" fontId="0" fillId="0" borderId="15" xfId="0" applyNumberFormat="1" applyBorder="1" applyAlignment="1" applyProtection="1">
      <alignment horizontal="center" vertical="center"/>
    </xf>
    <xf numFmtId="0" fontId="9" fillId="13" borderId="22" xfId="0" applyFont="1" applyFill="1" applyBorder="1" applyAlignment="1" applyProtection="1">
      <alignment horizontal="center" vertical="center" wrapText="1"/>
    </xf>
    <xf numFmtId="0" fontId="9" fillId="13" borderId="0" xfId="0" applyFont="1" applyFill="1" applyAlignment="1" applyProtection="1">
      <alignment horizontal="center" vertical="center" wrapText="1"/>
    </xf>
    <xf numFmtId="0" fontId="9" fillId="13" borderId="12" xfId="0" applyFont="1" applyFill="1" applyBorder="1" applyAlignment="1" applyProtection="1">
      <alignment horizontal="center" vertical="center" wrapText="1"/>
    </xf>
    <xf numFmtId="11" fontId="0" fillId="0" borderId="4" xfId="0" applyNumberFormat="1" applyBorder="1" applyAlignment="1" applyProtection="1">
      <alignment horizontal="center"/>
    </xf>
    <xf numFmtId="11" fontId="0" fillId="0" borderId="70" xfId="0" applyNumberFormat="1" applyBorder="1" applyAlignment="1" applyProtection="1">
      <alignment horizontal="center" vertical="center"/>
    </xf>
    <xf numFmtId="0" fontId="3" fillId="10" borderId="1" xfId="0" applyFont="1" applyFill="1" applyBorder="1" applyAlignment="1" applyProtection="1">
      <alignment horizontal="left" vertical="center"/>
    </xf>
    <xf numFmtId="0" fontId="3" fillId="0" borderId="1" xfId="0" applyFont="1" applyBorder="1" applyAlignment="1" applyProtection="1">
      <alignment horizontal="center" vertical="center"/>
    </xf>
    <xf numFmtId="11" fontId="0" fillId="0" borderId="0" xfId="0" applyNumberFormat="1" applyProtection="1"/>
    <xf numFmtId="0" fontId="0" fillId="0" borderId="0" xfId="0" applyAlignment="1" applyProtection="1">
      <alignment horizontal="left" vertical="center" wrapText="1"/>
    </xf>
    <xf numFmtId="0" fontId="3" fillId="10" borderId="1" xfId="0" applyFont="1" applyFill="1" applyBorder="1" applyAlignment="1" applyProtection="1">
      <alignment horizontal="center" vertical="center"/>
    </xf>
    <xf numFmtId="0" fontId="3" fillId="10" borderId="61" xfId="0" applyFont="1" applyFill="1" applyBorder="1" applyAlignment="1" applyProtection="1">
      <alignment vertical="center"/>
    </xf>
    <xf numFmtId="0" fontId="3" fillId="10" borderId="62" xfId="0" applyFont="1" applyFill="1" applyBorder="1" applyAlignment="1" applyProtection="1">
      <alignment vertical="center"/>
    </xf>
    <xf numFmtId="0" fontId="0" fillId="10" borderId="63" xfId="0" applyFill="1" applyBorder="1" applyProtection="1"/>
    <xf numFmtId="0" fontId="0" fillId="10" borderId="0" xfId="0" applyFill="1" applyAlignment="1" applyProtection="1">
      <alignment horizontal="center"/>
    </xf>
    <xf numFmtId="0" fontId="3" fillId="0" borderId="1" xfId="0" applyFont="1" applyBorder="1" applyAlignment="1" applyProtection="1">
      <alignment horizontal="left" vertical="center"/>
    </xf>
    <xf numFmtId="0" fontId="78" fillId="0" borderId="1" xfId="0" applyFont="1" applyBorder="1" applyAlignment="1" applyProtection="1">
      <alignment horizontal="left" vertical="center" wrapText="1"/>
    </xf>
    <xf numFmtId="11" fontId="0" fillId="0" borderId="1" xfId="0" applyNumberFormat="1" applyBorder="1" applyAlignment="1" applyProtection="1">
      <alignment horizontal="center" vertical="center"/>
    </xf>
    <xf numFmtId="0" fontId="3" fillId="10" borderId="1" xfId="0" applyFont="1" applyFill="1" applyBorder="1" applyAlignment="1" applyProtection="1">
      <alignment horizontal="center" vertical="center" wrapText="1"/>
    </xf>
    <xf numFmtId="0" fontId="5" fillId="5" borderId="1" xfId="0" applyFont="1" applyFill="1" applyBorder="1" applyAlignment="1" applyProtection="1">
      <alignment horizontal="left" vertical="center" wrapText="1"/>
    </xf>
    <xf numFmtId="11" fontId="0" fillId="5" borderId="1" xfId="0" applyNumberFormat="1" applyFill="1" applyBorder="1" applyAlignment="1" applyProtection="1">
      <alignment horizontal="center" vertical="center"/>
    </xf>
    <xf numFmtId="0" fontId="51" fillId="10" borderId="1" xfId="0" applyFont="1" applyFill="1" applyBorder="1" applyAlignment="1" applyProtection="1">
      <alignment horizontal="center" vertical="center" wrapText="1"/>
    </xf>
    <xf numFmtId="2" fontId="0" fillId="10" borderId="1" xfId="0" applyNumberFormat="1" applyFill="1" applyBorder="1" applyAlignment="1" applyProtection="1">
      <alignment horizontal="center" vertical="center"/>
    </xf>
    <xf numFmtId="11" fontId="0" fillId="10" borderId="1" xfId="0" applyNumberFormat="1" applyFill="1" applyBorder="1" applyAlignment="1" applyProtection="1">
      <alignment horizontal="center" vertical="center"/>
    </xf>
    <xf numFmtId="0" fontId="0" fillId="0" borderId="64" xfId="0" applyBorder="1" applyAlignment="1" applyProtection="1">
      <alignment horizontal="left"/>
    </xf>
    <xf numFmtId="0" fontId="0" fillId="0" borderId="65" xfId="0" applyBorder="1" applyAlignment="1" applyProtection="1">
      <alignment horizontal="center"/>
    </xf>
    <xf numFmtId="0" fontId="0" fillId="0" borderId="66" xfId="0" applyBorder="1" applyAlignment="1" applyProtection="1">
      <alignment horizontal="center"/>
    </xf>
    <xf numFmtId="0" fontId="0" fillId="0" borderId="59" xfId="0" applyBorder="1" applyAlignment="1" applyProtection="1">
      <alignment horizontal="center"/>
    </xf>
    <xf numFmtId="0" fontId="0" fillId="0" borderId="67" xfId="0" applyBorder="1" applyAlignment="1" applyProtection="1">
      <alignment horizontal="center"/>
    </xf>
    <xf numFmtId="11" fontId="82" fillId="0" borderId="0" xfId="0" applyNumberFormat="1" applyFont="1" applyAlignment="1" applyProtection="1">
      <alignment horizontal="center" vertical="center" wrapText="1"/>
    </xf>
    <xf numFmtId="0" fontId="0" fillId="0" borderId="59" xfId="0" applyBorder="1" applyProtection="1"/>
    <xf numFmtId="11" fontId="0" fillId="0" borderId="67" xfId="0" applyNumberFormat="1" applyBorder="1" applyAlignment="1" applyProtection="1">
      <alignment horizontal="left"/>
    </xf>
    <xf numFmtId="0" fontId="0" fillId="0" borderId="68" xfId="0" applyBorder="1" applyProtection="1"/>
    <xf numFmtId="0" fontId="0" fillId="0" borderId="57" xfId="0" applyBorder="1" applyProtection="1"/>
    <xf numFmtId="0" fontId="0" fillId="0" borderId="57" xfId="0" applyBorder="1" applyAlignment="1" applyProtection="1">
      <alignment horizontal="center"/>
    </xf>
    <xf numFmtId="11" fontId="0" fillId="0" borderId="57" xfId="0" applyNumberFormat="1" applyBorder="1" applyAlignment="1" applyProtection="1">
      <alignment horizontal="center"/>
    </xf>
    <xf numFmtId="11" fontId="0" fillId="0" borderId="69" xfId="0" applyNumberFormat="1" applyBorder="1" applyAlignment="1" applyProtection="1">
      <alignment horizontal="left"/>
    </xf>
    <xf numFmtId="0" fontId="14" fillId="22" borderId="0" xfId="0" applyFont="1" applyFill="1" applyProtection="1"/>
    <xf numFmtId="0" fontId="0" fillId="22" borderId="0" xfId="0" applyFill="1" applyProtection="1"/>
    <xf numFmtId="0" fontId="3" fillId="0" borderId="20" xfId="0" applyFont="1" applyBorder="1" applyProtection="1"/>
    <xf numFmtId="0" fontId="3" fillId="0" borderId="25" xfId="0" applyFont="1" applyBorder="1" applyProtection="1"/>
    <xf numFmtId="0" fontId="0" fillId="0" borderId="17" xfId="0" applyBorder="1" applyProtection="1"/>
    <xf numFmtId="0" fontId="0" fillId="0" borderId="18" xfId="0" applyBorder="1" applyAlignment="1" applyProtection="1">
      <alignment horizontal="center"/>
    </xf>
    <xf numFmtId="0" fontId="0" fillId="0" borderId="25" xfId="0" applyBorder="1" applyAlignment="1" applyProtection="1">
      <alignment horizontal="center"/>
    </xf>
    <xf numFmtId="0" fontId="0" fillId="0" borderId="21" xfId="0" applyBorder="1" applyAlignment="1" applyProtection="1">
      <alignment horizontal="center"/>
    </xf>
    <xf numFmtId="0" fontId="0" fillId="0" borderId="19" xfId="0" applyBorder="1" applyAlignment="1" applyProtection="1">
      <alignment horizontal="center"/>
    </xf>
    <xf numFmtId="0" fontId="0" fillId="0" borderId="20" xfId="0" applyBorder="1" applyAlignment="1" applyProtection="1">
      <alignment horizontal="center"/>
    </xf>
    <xf numFmtId="0" fontId="0" fillId="0" borderId="15" xfId="0" applyBorder="1" applyAlignment="1" applyProtection="1">
      <alignment horizontal="center"/>
    </xf>
    <xf numFmtId="0" fontId="0" fillId="0" borderId="17" xfId="0" applyBorder="1" applyAlignment="1" applyProtection="1">
      <alignment horizontal="center"/>
    </xf>
    <xf numFmtId="0" fontId="14" fillId="22" borderId="0" xfId="0" applyFont="1" applyFill="1" applyAlignment="1" applyProtection="1">
      <alignment horizontal="center" vertical="center"/>
    </xf>
    <xf numFmtId="0" fontId="20" fillId="22" borderId="0" xfId="0" applyFont="1" applyFill="1" applyAlignment="1" applyProtection="1">
      <alignment horizontal="center"/>
    </xf>
    <xf numFmtId="0" fontId="3" fillId="0" borderId="0" xfId="0" applyFont="1" applyAlignment="1" applyProtection="1">
      <alignment horizontal="center"/>
    </xf>
    <xf numFmtId="0" fontId="20" fillId="0" borderId="0" xfId="0" applyFont="1" applyAlignment="1" applyProtection="1">
      <alignment horizontal="center"/>
    </xf>
    <xf numFmtId="0" fontId="0" fillId="0" borderId="0" xfId="0" applyProtection="1"/>
    <xf numFmtId="2" fontId="3" fillId="0" borderId="0" xfId="0" applyNumberFormat="1" applyFont="1" applyAlignment="1" applyProtection="1">
      <alignment horizontal="center"/>
    </xf>
    <xf numFmtId="0" fontId="3" fillId="0" borderId="18" xfId="0" applyFont="1" applyBorder="1" applyAlignment="1" applyProtection="1">
      <alignment horizontal="center" wrapText="1"/>
    </xf>
    <xf numFmtId="0" fontId="14" fillId="22" borderId="0" xfId="0" applyFont="1" applyFill="1" applyAlignment="1" applyProtection="1">
      <alignment horizontal="left" vertical="center"/>
    </xf>
    <xf numFmtId="0" fontId="20" fillId="22" borderId="0" xfId="0" applyFont="1" applyFill="1" applyAlignment="1" applyProtection="1">
      <alignment horizontal="left"/>
    </xf>
    <xf numFmtId="0" fontId="0" fillId="0" borderId="18" xfId="0" applyBorder="1" applyAlignment="1" applyProtection="1">
      <alignment horizontal="center" wrapText="1"/>
    </xf>
    <xf numFmtId="0" fontId="3" fillId="0" borderId="71" xfId="0" applyFont="1" applyBorder="1" applyAlignment="1" applyProtection="1">
      <alignment horizontal="center" wrapText="1"/>
    </xf>
    <xf numFmtId="0" fontId="0" fillId="0" borderId="25" xfId="0" applyBorder="1" applyAlignment="1" applyProtection="1">
      <alignment horizontal="center" wrapText="1"/>
    </xf>
    <xf numFmtId="0" fontId="0" fillId="0" borderId="72" xfId="0" applyBorder="1" applyAlignment="1" applyProtection="1">
      <alignment horizontal="center" wrapText="1"/>
    </xf>
    <xf numFmtId="0" fontId="0" fillId="0" borderId="21" xfId="0" applyBorder="1" applyAlignment="1" applyProtection="1">
      <alignment horizontal="center" wrapText="1"/>
    </xf>
    <xf numFmtId="0" fontId="0" fillId="0" borderId="14" xfId="0" applyBorder="1" applyAlignment="1" applyProtection="1">
      <alignment horizontal="center"/>
    </xf>
    <xf numFmtId="0" fontId="0" fillId="0" borderId="9" xfId="0" applyBorder="1" applyAlignment="1" applyProtection="1">
      <alignment horizontal="center"/>
    </xf>
    <xf numFmtId="11" fontId="0" fillId="0" borderId="14" xfId="0" applyNumberFormat="1" applyBorder="1" applyProtection="1"/>
    <xf numFmtId="11" fontId="0" fillId="0" borderId="10" xfId="0" applyNumberFormat="1" applyBorder="1" applyProtection="1"/>
    <xf numFmtId="11" fontId="0" fillId="0" borderId="22" xfId="0" applyNumberFormat="1" applyBorder="1" applyProtection="1"/>
    <xf numFmtId="11" fontId="0" fillId="0" borderId="8" xfId="0" applyNumberFormat="1" applyBorder="1" applyProtection="1"/>
    <xf numFmtId="11" fontId="0" fillId="0" borderId="0" xfId="0" applyNumberFormat="1" applyBorder="1" applyProtection="1"/>
    <xf numFmtId="11" fontId="0" fillId="0" borderId="9" xfId="0" applyNumberFormat="1" applyBorder="1" applyProtection="1"/>
    <xf numFmtId="11" fontId="0" fillId="0" borderId="73" xfId="0" applyNumberFormat="1" applyBorder="1" applyProtection="1"/>
    <xf numFmtId="11" fontId="0" fillId="0" borderId="11" xfId="0" applyNumberFormat="1" applyBorder="1" applyProtection="1"/>
    <xf numFmtId="11" fontId="0" fillId="0" borderId="12" xfId="0" applyNumberFormat="1" applyBorder="1" applyProtection="1"/>
    <xf numFmtId="11" fontId="0" fillId="0" borderId="13" xfId="0" applyNumberFormat="1" applyBorder="1" applyProtection="1"/>
    <xf numFmtId="0" fontId="3" fillId="0" borderId="14" xfId="0" applyFont="1" applyBorder="1" applyAlignment="1" applyProtection="1">
      <alignment horizontal="center" wrapText="1"/>
    </xf>
    <xf numFmtId="0" fontId="0" fillId="0" borderId="0" xfId="0" applyAlignment="1" applyProtection="1">
      <alignment horizontal="center" wrapText="1"/>
    </xf>
    <xf numFmtId="0" fontId="0" fillId="0" borderId="9" xfId="0" applyBorder="1" applyAlignment="1" applyProtection="1">
      <alignment horizontal="center" wrapText="1"/>
    </xf>
    <xf numFmtId="0" fontId="0" fillId="0" borderId="16" xfId="0" applyBorder="1" applyAlignment="1" applyProtection="1">
      <alignment horizontal="center" wrapText="1"/>
    </xf>
    <xf numFmtId="11" fontId="0" fillId="0" borderId="14" xfId="0" applyNumberFormat="1" applyBorder="1" applyAlignment="1" applyProtection="1">
      <alignment horizontal="center"/>
    </xf>
  </cellXfs>
  <cellStyles count="3">
    <cellStyle name="Hyperlink" xfId="1" builtinId="8"/>
    <cellStyle name="Normal" xfId="0" builtinId="0"/>
    <cellStyle name="Normal 3" xfId="2" xr:uid="{D535AC2A-3A1E-42BC-A38C-69D1CA1EE69E}"/>
  </cellStyles>
  <dxfs count="2">
    <dxf>
      <font>
        <color rgb="FF9C0006"/>
      </font>
      <fill>
        <patternFill>
          <bgColor rgb="FFFFC7CE"/>
        </patternFill>
      </fill>
    </dxf>
    <dxf>
      <fill>
        <patternFill>
          <bgColor theme="0" tint="-0.1499679555650502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s>
</file>

<file path=xl/drawings/_rels/drawing4.xml.rels><?xml version="1.0" encoding="UTF-8" standalone="yes"?>
<Relationships xmlns="http://schemas.openxmlformats.org/package/2006/relationships"><Relationship Id="rId1" Type="http://schemas.openxmlformats.org/officeDocument/2006/relationships/image" Target="../media/image17.png"/></Relationships>
</file>

<file path=xl/drawings/_rels/drawing5.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drawing6.xml.rels><?xml version="1.0" encoding="UTF-8" standalone="yes"?>
<Relationships xmlns="http://schemas.openxmlformats.org/package/2006/relationships"><Relationship Id="rId8" Type="http://schemas.openxmlformats.org/officeDocument/2006/relationships/image" Target="../media/image27.png"/><Relationship Id="rId3" Type="http://schemas.openxmlformats.org/officeDocument/2006/relationships/image" Target="../media/image22.png"/><Relationship Id="rId7" Type="http://schemas.openxmlformats.org/officeDocument/2006/relationships/image" Target="../media/image26.png"/><Relationship Id="rId2" Type="http://schemas.openxmlformats.org/officeDocument/2006/relationships/image" Target="../media/image21.png"/><Relationship Id="rId1" Type="http://schemas.openxmlformats.org/officeDocument/2006/relationships/image" Target="../media/image20.png"/><Relationship Id="rId6" Type="http://schemas.openxmlformats.org/officeDocument/2006/relationships/image" Target="../media/image25.png"/><Relationship Id="rId5" Type="http://schemas.openxmlformats.org/officeDocument/2006/relationships/image" Target="../media/image24.png"/><Relationship Id="rId10" Type="http://schemas.openxmlformats.org/officeDocument/2006/relationships/image" Target="../media/image29.png"/><Relationship Id="rId4" Type="http://schemas.openxmlformats.org/officeDocument/2006/relationships/image" Target="../media/image23.png"/><Relationship Id="rId9" Type="http://schemas.openxmlformats.org/officeDocument/2006/relationships/image" Target="../media/image28.png"/></Relationships>
</file>

<file path=xl/drawings/_rels/drawing7.xml.rels><?xml version="1.0" encoding="UTF-8" standalone="yes"?>
<Relationships xmlns="http://schemas.openxmlformats.org/package/2006/relationships"><Relationship Id="rId2" Type="http://schemas.openxmlformats.org/officeDocument/2006/relationships/image" Target="../media/image31.png"/><Relationship Id="rId1" Type="http://schemas.openxmlformats.org/officeDocument/2006/relationships/image" Target="../media/image30.png"/></Relationships>
</file>

<file path=xl/drawings/drawing1.xml><?xml version="1.0" encoding="utf-8"?>
<xdr:wsDr xmlns:xdr="http://schemas.openxmlformats.org/drawingml/2006/spreadsheetDrawing" xmlns:a="http://schemas.openxmlformats.org/drawingml/2006/main">
  <xdr:twoCellAnchor editAs="oneCell">
    <xdr:from>
      <xdr:col>1</xdr:col>
      <xdr:colOff>549275</xdr:colOff>
      <xdr:row>5</xdr:row>
      <xdr:rowOff>57150</xdr:rowOff>
    </xdr:from>
    <xdr:to>
      <xdr:col>4</xdr:col>
      <xdr:colOff>822081</xdr:colOff>
      <xdr:row>15</xdr:row>
      <xdr:rowOff>90170</xdr:rowOff>
    </xdr:to>
    <xdr:pic>
      <xdr:nvPicPr>
        <xdr:cNvPr id="2" name="Picture 1">
          <a:extLst>
            <a:ext uri="{FF2B5EF4-FFF2-40B4-BE49-F238E27FC236}">
              <a16:creationId xmlns:a16="http://schemas.microsoft.com/office/drawing/2014/main" id="{568CDFC0-DC4D-4996-884D-1C424B32CE30}"/>
            </a:ext>
          </a:extLst>
        </xdr:cNvPr>
        <xdr:cNvPicPr>
          <a:picLocks noChangeAspect="1"/>
        </xdr:cNvPicPr>
      </xdr:nvPicPr>
      <xdr:blipFill>
        <a:blip xmlns:r="http://schemas.openxmlformats.org/officeDocument/2006/relationships" r:embed="rId1"/>
        <a:stretch>
          <a:fillRect/>
        </a:stretch>
      </xdr:blipFill>
      <xdr:spPr>
        <a:xfrm>
          <a:off x="1489075" y="2019300"/>
          <a:ext cx="2632075" cy="28968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0</xdr:colOff>
      <xdr:row>17</xdr:row>
      <xdr:rowOff>104589</xdr:rowOff>
    </xdr:from>
    <xdr:to>
      <xdr:col>17</xdr:col>
      <xdr:colOff>559288</xdr:colOff>
      <xdr:row>19</xdr:row>
      <xdr:rowOff>53174</xdr:rowOff>
    </xdr:to>
    <xdr:pic>
      <xdr:nvPicPr>
        <xdr:cNvPr id="4" name="Picture 3">
          <a:extLst>
            <a:ext uri="{FF2B5EF4-FFF2-40B4-BE49-F238E27FC236}">
              <a16:creationId xmlns:a16="http://schemas.microsoft.com/office/drawing/2014/main" id="{93CDF9B6-8941-49C2-AC44-3E74DFD1B7DD}"/>
            </a:ext>
          </a:extLst>
        </xdr:cNvPr>
        <xdr:cNvPicPr>
          <a:picLocks noChangeAspect="1"/>
        </xdr:cNvPicPr>
      </xdr:nvPicPr>
      <xdr:blipFill>
        <a:blip xmlns:r="http://schemas.openxmlformats.org/officeDocument/2006/relationships" r:embed="rId1"/>
        <a:stretch>
          <a:fillRect/>
        </a:stretch>
      </xdr:blipFill>
      <xdr:spPr>
        <a:xfrm>
          <a:off x="13447059" y="3496236"/>
          <a:ext cx="5982935" cy="322114"/>
        </a:xfrm>
        <a:prstGeom prst="rect">
          <a:avLst/>
        </a:prstGeom>
      </xdr:spPr>
    </xdr:pic>
    <xdr:clientData/>
  </xdr:twoCellAnchor>
  <xdr:oneCellAnchor>
    <xdr:from>
      <xdr:col>6</xdr:col>
      <xdr:colOff>59764</xdr:colOff>
      <xdr:row>19</xdr:row>
      <xdr:rowOff>14942</xdr:rowOff>
    </xdr:from>
    <xdr:ext cx="5383283" cy="660844"/>
    <xdr:pic>
      <xdr:nvPicPr>
        <xdr:cNvPr id="5" name="Picture 4">
          <a:extLst>
            <a:ext uri="{FF2B5EF4-FFF2-40B4-BE49-F238E27FC236}">
              <a16:creationId xmlns:a16="http://schemas.microsoft.com/office/drawing/2014/main" id="{6DDC64C1-9B32-486E-A890-96320F123D2C}"/>
            </a:ext>
          </a:extLst>
        </xdr:cNvPr>
        <xdr:cNvPicPr>
          <a:picLocks noChangeAspect="1"/>
        </xdr:cNvPicPr>
      </xdr:nvPicPr>
      <xdr:blipFill>
        <a:blip xmlns:r="http://schemas.openxmlformats.org/officeDocument/2006/relationships" r:embed="rId2"/>
        <a:stretch>
          <a:fillRect/>
        </a:stretch>
      </xdr:blipFill>
      <xdr:spPr>
        <a:xfrm>
          <a:off x="7298764" y="3780118"/>
          <a:ext cx="5383283" cy="660844"/>
        </a:xfrm>
        <a:prstGeom prst="rect">
          <a:avLst/>
        </a:prstGeom>
      </xdr:spPr>
    </xdr:pic>
    <xdr:clientData/>
  </xdr:oneCellAnchor>
  <xdr:oneCellAnchor>
    <xdr:from>
      <xdr:col>0</xdr:col>
      <xdr:colOff>0</xdr:colOff>
      <xdr:row>18</xdr:row>
      <xdr:rowOff>0</xdr:rowOff>
    </xdr:from>
    <xdr:ext cx="4051300" cy="629179"/>
    <xdr:pic>
      <xdr:nvPicPr>
        <xdr:cNvPr id="6" name="Picture 5">
          <a:extLst>
            <a:ext uri="{FF2B5EF4-FFF2-40B4-BE49-F238E27FC236}">
              <a16:creationId xmlns:a16="http://schemas.microsoft.com/office/drawing/2014/main" id="{5E83F517-7635-4FBD-AC42-222F0D4C3487}"/>
            </a:ext>
          </a:extLst>
        </xdr:cNvPr>
        <xdr:cNvPicPr>
          <a:picLocks noChangeAspect="1"/>
        </xdr:cNvPicPr>
      </xdr:nvPicPr>
      <xdr:blipFill>
        <a:blip xmlns:r="http://schemas.openxmlformats.org/officeDocument/2006/relationships" r:embed="rId3"/>
        <a:stretch>
          <a:fillRect/>
        </a:stretch>
      </xdr:blipFill>
      <xdr:spPr>
        <a:xfrm>
          <a:off x="0" y="3578412"/>
          <a:ext cx="4051300" cy="629179"/>
        </a:xfrm>
        <a:prstGeom prst="rect">
          <a:avLst/>
        </a:prstGeom>
      </xdr:spPr>
    </xdr:pic>
    <xdr:clientData/>
  </xdr:oneCellAnchor>
  <xdr:twoCellAnchor editAs="oneCell">
    <xdr:from>
      <xdr:col>13</xdr:col>
      <xdr:colOff>244929</xdr:colOff>
      <xdr:row>0</xdr:row>
      <xdr:rowOff>190501</xdr:rowOff>
    </xdr:from>
    <xdr:to>
      <xdr:col>14</xdr:col>
      <xdr:colOff>689429</xdr:colOff>
      <xdr:row>14</xdr:row>
      <xdr:rowOff>11397</xdr:rowOff>
    </xdr:to>
    <xdr:pic>
      <xdr:nvPicPr>
        <xdr:cNvPr id="3" name="Picture 2">
          <a:extLst>
            <a:ext uri="{FF2B5EF4-FFF2-40B4-BE49-F238E27FC236}">
              <a16:creationId xmlns:a16="http://schemas.microsoft.com/office/drawing/2014/main" id="{63A53B4B-EE53-0A0C-3530-355BFBF67CED}"/>
            </a:ext>
          </a:extLst>
        </xdr:cNvPr>
        <xdr:cNvPicPr>
          <a:picLocks noChangeAspect="1"/>
        </xdr:cNvPicPr>
      </xdr:nvPicPr>
      <xdr:blipFill>
        <a:blip xmlns:r="http://schemas.openxmlformats.org/officeDocument/2006/relationships" r:embed="rId4"/>
        <a:stretch>
          <a:fillRect/>
        </a:stretch>
      </xdr:blipFill>
      <xdr:spPr>
        <a:xfrm>
          <a:off x="13670643" y="190501"/>
          <a:ext cx="3819072" cy="25876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571500</xdr:colOff>
      <xdr:row>32</xdr:row>
      <xdr:rowOff>10936</xdr:rowOff>
    </xdr:from>
    <xdr:to>
      <xdr:col>15</xdr:col>
      <xdr:colOff>335558</xdr:colOff>
      <xdr:row>47</xdr:row>
      <xdr:rowOff>56512</xdr:rowOff>
    </xdr:to>
    <xdr:pic>
      <xdr:nvPicPr>
        <xdr:cNvPr id="2" name="Picture 1" descr="A white rectangular table with black text&#10;&#10;Description automatically generated with medium confidence">
          <a:extLst>
            <a:ext uri="{FF2B5EF4-FFF2-40B4-BE49-F238E27FC236}">
              <a16:creationId xmlns:a16="http://schemas.microsoft.com/office/drawing/2014/main" id="{32858CD8-21F3-480D-BFDA-6A50BDE7E296}"/>
            </a:ext>
          </a:extLst>
        </xdr:cNvPr>
        <xdr:cNvPicPr>
          <a:picLocks noChangeAspect="1"/>
        </xdr:cNvPicPr>
      </xdr:nvPicPr>
      <xdr:blipFill>
        <a:blip xmlns:r="http://schemas.openxmlformats.org/officeDocument/2006/relationships" r:embed="rId1"/>
        <a:stretch>
          <a:fillRect/>
        </a:stretch>
      </xdr:blipFill>
      <xdr:spPr>
        <a:xfrm>
          <a:off x="9112250" y="6373636"/>
          <a:ext cx="6425138" cy="3258677"/>
        </a:xfrm>
        <a:prstGeom prst="rect">
          <a:avLst/>
        </a:prstGeom>
      </xdr:spPr>
    </xdr:pic>
    <xdr:clientData/>
  </xdr:twoCellAnchor>
  <xdr:twoCellAnchor editAs="oneCell">
    <xdr:from>
      <xdr:col>0</xdr:col>
      <xdr:colOff>95250</xdr:colOff>
      <xdr:row>80</xdr:row>
      <xdr:rowOff>33304</xdr:rowOff>
    </xdr:from>
    <xdr:to>
      <xdr:col>3</xdr:col>
      <xdr:colOff>266700</xdr:colOff>
      <xdr:row>93</xdr:row>
      <xdr:rowOff>2397</xdr:rowOff>
    </xdr:to>
    <xdr:pic>
      <xdr:nvPicPr>
        <xdr:cNvPr id="3" name="Picture 2" descr="A table with numbers and symbols&#10;&#10;Description automatically generated">
          <a:extLst>
            <a:ext uri="{FF2B5EF4-FFF2-40B4-BE49-F238E27FC236}">
              <a16:creationId xmlns:a16="http://schemas.microsoft.com/office/drawing/2014/main" id="{2DD99865-3A88-43E5-8898-EEC8F87EA907}"/>
            </a:ext>
          </a:extLst>
        </xdr:cNvPr>
        <xdr:cNvPicPr>
          <a:picLocks noChangeAspect="1"/>
        </xdr:cNvPicPr>
      </xdr:nvPicPr>
      <xdr:blipFill>
        <a:blip xmlns:r="http://schemas.openxmlformats.org/officeDocument/2006/relationships" r:embed="rId2"/>
        <a:stretch>
          <a:fillRect/>
        </a:stretch>
      </xdr:blipFill>
      <xdr:spPr>
        <a:xfrm>
          <a:off x="95250" y="20918454"/>
          <a:ext cx="3435350" cy="2354296"/>
        </a:xfrm>
        <a:prstGeom prst="rect">
          <a:avLst/>
        </a:prstGeom>
      </xdr:spPr>
    </xdr:pic>
    <xdr:clientData/>
  </xdr:twoCellAnchor>
  <xdr:twoCellAnchor editAs="oneCell">
    <xdr:from>
      <xdr:col>3</xdr:col>
      <xdr:colOff>768350</xdr:colOff>
      <xdr:row>80</xdr:row>
      <xdr:rowOff>81756</xdr:rowOff>
    </xdr:from>
    <xdr:to>
      <xdr:col>7</xdr:col>
      <xdr:colOff>619125</xdr:colOff>
      <xdr:row>92</xdr:row>
      <xdr:rowOff>161130</xdr:rowOff>
    </xdr:to>
    <xdr:pic>
      <xdr:nvPicPr>
        <xdr:cNvPr id="4" name="Picture 3" descr="A table with numbers and text&#10;&#10;Description automatically generated">
          <a:extLst>
            <a:ext uri="{FF2B5EF4-FFF2-40B4-BE49-F238E27FC236}">
              <a16:creationId xmlns:a16="http://schemas.microsoft.com/office/drawing/2014/main" id="{3470CFBA-F0F4-461B-A30F-642C97C5E7D1}"/>
            </a:ext>
          </a:extLst>
        </xdr:cNvPr>
        <xdr:cNvPicPr>
          <a:picLocks noChangeAspect="1"/>
        </xdr:cNvPicPr>
      </xdr:nvPicPr>
      <xdr:blipFill>
        <a:blip xmlns:r="http://schemas.openxmlformats.org/officeDocument/2006/relationships" r:embed="rId3"/>
        <a:stretch>
          <a:fillRect/>
        </a:stretch>
      </xdr:blipFill>
      <xdr:spPr>
        <a:xfrm>
          <a:off x="3575050" y="20966906"/>
          <a:ext cx="3657600" cy="2286000"/>
        </a:xfrm>
        <a:prstGeom prst="rect">
          <a:avLst/>
        </a:prstGeom>
      </xdr:spPr>
    </xdr:pic>
    <xdr:clientData/>
  </xdr:twoCellAnchor>
  <xdr:twoCellAnchor>
    <xdr:from>
      <xdr:col>8</xdr:col>
      <xdr:colOff>9525</xdr:colOff>
      <xdr:row>80</xdr:row>
      <xdr:rowOff>66675</xdr:rowOff>
    </xdr:from>
    <xdr:to>
      <xdr:col>10</xdr:col>
      <xdr:colOff>1524000</xdr:colOff>
      <xdr:row>92</xdr:row>
      <xdr:rowOff>171038</xdr:rowOff>
    </xdr:to>
    <xdr:grpSp>
      <xdr:nvGrpSpPr>
        <xdr:cNvPr id="5" name="Group 4">
          <a:extLst>
            <a:ext uri="{FF2B5EF4-FFF2-40B4-BE49-F238E27FC236}">
              <a16:creationId xmlns:a16="http://schemas.microsoft.com/office/drawing/2014/main" id="{BFC3D798-4EB4-4B2A-B1C3-5674784B4AA3}"/>
            </a:ext>
          </a:extLst>
        </xdr:cNvPr>
        <xdr:cNvGrpSpPr/>
      </xdr:nvGrpSpPr>
      <xdr:grpSpPr>
        <a:xfrm>
          <a:off x="8083096" y="16171950"/>
          <a:ext cx="2592301" cy="2281506"/>
          <a:chOff x="7480300" y="19183350"/>
          <a:chExt cx="5615874" cy="3834988"/>
        </a:xfrm>
      </xdr:grpSpPr>
      <xdr:pic>
        <xdr:nvPicPr>
          <xdr:cNvPr id="6" name="Picture 5">
            <a:extLst>
              <a:ext uri="{FF2B5EF4-FFF2-40B4-BE49-F238E27FC236}">
                <a16:creationId xmlns:a16="http://schemas.microsoft.com/office/drawing/2014/main" id="{EB3DA883-7F95-BCF4-514E-34ABE294677D}"/>
              </a:ext>
            </a:extLst>
          </xdr:cNvPr>
          <xdr:cNvPicPr>
            <a:picLocks noChangeAspect="1"/>
          </xdr:cNvPicPr>
        </xdr:nvPicPr>
        <xdr:blipFill>
          <a:blip xmlns:r="http://schemas.openxmlformats.org/officeDocument/2006/relationships" r:embed="rId4"/>
          <a:stretch>
            <a:fillRect/>
          </a:stretch>
        </xdr:blipFill>
        <xdr:spPr>
          <a:xfrm>
            <a:off x="7486650" y="19183350"/>
            <a:ext cx="5609524" cy="590476"/>
          </a:xfrm>
          <a:prstGeom prst="rect">
            <a:avLst/>
          </a:prstGeom>
        </xdr:spPr>
      </xdr:pic>
      <xdr:pic>
        <xdr:nvPicPr>
          <xdr:cNvPr id="7" name="Picture 6">
            <a:extLst>
              <a:ext uri="{FF2B5EF4-FFF2-40B4-BE49-F238E27FC236}">
                <a16:creationId xmlns:a16="http://schemas.microsoft.com/office/drawing/2014/main" id="{13221545-7F4C-AC30-7814-F64F29DA9BDE}"/>
              </a:ext>
            </a:extLst>
          </xdr:cNvPr>
          <xdr:cNvPicPr>
            <a:picLocks noChangeAspect="1"/>
          </xdr:cNvPicPr>
        </xdr:nvPicPr>
        <xdr:blipFill>
          <a:blip xmlns:r="http://schemas.openxmlformats.org/officeDocument/2006/relationships" r:embed="rId5"/>
          <a:stretch>
            <a:fillRect/>
          </a:stretch>
        </xdr:blipFill>
        <xdr:spPr>
          <a:xfrm>
            <a:off x="7480300" y="19723100"/>
            <a:ext cx="5542857" cy="3295238"/>
          </a:xfrm>
          <a:prstGeom prst="rect">
            <a:avLst/>
          </a:prstGeom>
        </xdr:spPr>
      </xdr:pic>
    </xdr:grpSp>
    <xdr:clientData/>
  </xdr:twoCellAnchor>
  <xdr:twoCellAnchor editAs="oneCell">
    <xdr:from>
      <xdr:col>7</xdr:col>
      <xdr:colOff>501650</xdr:colOff>
      <xdr:row>115</xdr:row>
      <xdr:rowOff>50800</xdr:rowOff>
    </xdr:from>
    <xdr:to>
      <xdr:col>12</xdr:col>
      <xdr:colOff>1722563</xdr:colOff>
      <xdr:row>123</xdr:row>
      <xdr:rowOff>149285</xdr:rowOff>
    </xdr:to>
    <xdr:pic>
      <xdr:nvPicPr>
        <xdr:cNvPr id="8" name="Picture 7" descr="A screenshot of a computer&#10;&#10;Description automatically generated">
          <a:extLst>
            <a:ext uri="{FF2B5EF4-FFF2-40B4-BE49-F238E27FC236}">
              <a16:creationId xmlns:a16="http://schemas.microsoft.com/office/drawing/2014/main" id="{853633C5-5B0A-4060-ADF8-2379D7D8BDC0}"/>
            </a:ext>
          </a:extLst>
        </xdr:cNvPr>
        <xdr:cNvPicPr>
          <a:picLocks noChangeAspect="1"/>
        </xdr:cNvPicPr>
      </xdr:nvPicPr>
      <xdr:blipFill>
        <a:blip xmlns:r="http://schemas.openxmlformats.org/officeDocument/2006/relationships" r:embed="rId6"/>
        <a:stretch>
          <a:fillRect/>
        </a:stretch>
      </xdr:blipFill>
      <xdr:spPr>
        <a:xfrm>
          <a:off x="7569200" y="32156400"/>
          <a:ext cx="6649151" cy="2873436"/>
        </a:xfrm>
        <a:prstGeom prst="rect">
          <a:avLst/>
        </a:prstGeom>
      </xdr:spPr>
    </xdr:pic>
    <xdr:clientData/>
  </xdr:twoCellAnchor>
  <xdr:twoCellAnchor editAs="oneCell">
    <xdr:from>
      <xdr:col>6</xdr:col>
      <xdr:colOff>508000</xdr:colOff>
      <xdr:row>124</xdr:row>
      <xdr:rowOff>152400</xdr:rowOff>
    </xdr:from>
    <xdr:to>
      <xdr:col>10</xdr:col>
      <xdr:colOff>378392</xdr:colOff>
      <xdr:row>137</xdr:row>
      <xdr:rowOff>65521</xdr:rowOff>
    </xdr:to>
    <xdr:pic>
      <xdr:nvPicPr>
        <xdr:cNvPr id="9" name="Picture 8" descr="A screenshot of a website&#10;&#10;Description automatically generated">
          <a:extLst>
            <a:ext uri="{FF2B5EF4-FFF2-40B4-BE49-F238E27FC236}">
              <a16:creationId xmlns:a16="http://schemas.microsoft.com/office/drawing/2014/main" id="{029D6CFC-F84A-4636-91E6-D924B3A58D1A}"/>
            </a:ext>
          </a:extLst>
        </xdr:cNvPr>
        <xdr:cNvPicPr>
          <a:picLocks noChangeAspect="1"/>
        </xdr:cNvPicPr>
      </xdr:nvPicPr>
      <xdr:blipFill>
        <a:blip xmlns:r="http://schemas.openxmlformats.org/officeDocument/2006/relationships" r:embed="rId7"/>
        <a:stretch>
          <a:fillRect/>
        </a:stretch>
      </xdr:blipFill>
      <xdr:spPr>
        <a:xfrm>
          <a:off x="6610350" y="34480500"/>
          <a:ext cx="3801042" cy="3250046"/>
        </a:xfrm>
        <a:prstGeom prst="rect">
          <a:avLst/>
        </a:prstGeom>
      </xdr:spPr>
    </xdr:pic>
    <xdr:clientData/>
  </xdr:twoCellAnchor>
  <xdr:twoCellAnchor editAs="oneCell">
    <xdr:from>
      <xdr:col>10</xdr:col>
      <xdr:colOff>793750</xdr:colOff>
      <xdr:row>124</xdr:row>
      <xdr:rowOff>127000</xdr:rowOff>
    </xdr:from>
    <xdr:to>
      <xdr:col>17</xdr:col>
      <xdr:colOff>179552</xdr:colOff>
      <xdr:row>136</xdr:row>
      <xdr:rowOff>35919</xdr:rowOff>
    </xdr:to>
    <xdr:pic>
      <xdr:nvPicPr>
        <xdr:cNvPr id="10" name="Picture 9" descr="A close-up of a document&#10;&#10;Description automatically generated">
          <a:extLst>
            <a:ext uri="{FF2B5EF4-FFF2-40B4-BE49-F238E27FC236}">
              <a16:creationId xmlns:a16="http://schemas.microsoft.com/office/drawing/2014/main" id="{5BB1CB64-1114-4578-A15A-565F5B65ED80}"/>
            </a:ext>
          </a:extLst>
        </xdr:cNvPr>
        <xdr:cNvPicPr>
          <a:picLocks noChangeAspect="1"/>
        </xdr:cNvPicPr>
      </xdr:nvPicPr>
      <xdr:blipFill>
        <a:blip xmlns:r="http://schemas.openxmlformats.org/officeDocument/2006/relationships" r:embed="rId8"/>
        <a:stretch>
          <a:fillRect/>
        </a:stretch>
      </xdr:blipFill>
      <xdr:spPr>
        <a:xfrm>
          <a:off x="10572750" y="34455100"/>
          <a:ext cx="6500907" cy="3064871"/>
        </a:xfrm>
        <a:prstGeom prst="rect">
          <a:avLst/>
        </a:prstGeom>
      </xdr:spPr>
    </xdr:pic>
    <xdr:clientData/>
  </xdr:twoCellAnchor>
  <xdr:oneCellAnchor>
    <xdr:from>
      <xdr:col>8</xdr:col>
      <xdr:colOff>558800</xdr:colOff>
      <xdr:row>98</xdr:row>
      <xdr:rowOff>298450</xdr:rowOff>
    </xdr:from>
    <xdr:ext cx="7261615" cy="2642819"/>
    <xdr:pic>
      <xdr:nvPicPr>
        <xdr:cNvPr id="11" name="Picture 10" descr="A screenshot of a computer&#10;&#10;Description automatically generated">
          <a:extLst>
            <a:ext uri="{FF2B5EF4-FFF2-40B4-BE49-F238E27FC236}">
              <a16:creationId xmlns:a16="http://schemas.microsoft.com/office/drawing/2014/main" id="{49A9AF56-E6D1-4C7D-8936-A30241F2D966}"/>
            </a:ext>
          </a:extLst>
        </xdr:cNvPr>
        <xdr:cNvPicPr>
          <a:picLocks noChangeAspect="1"/>
        </xdr:cNvPicPr>
      </xdr:nvPicPr>
      <xdr:blipFill>
        <a:blip xmlns:r="http://schemas.openxmlformats.org/officeDocument/2006/relationships" r:embed="rId9"/>
        <a:stretch>
          <a:fillRect/>
        </a:stretch>
      </xdr:blipFill>
      <xdr:spPr>
        <a:xfrm>
          <a:off x="8623300" y="19983450"/>
          <a:ext cx="7261615" cy="2642819"/>
        </a:xfrm>
        <a:prstGeom prst="rect">
          <a:avLst/>
        </a:prstGeom>
      </xdr:spPr>
    </xdr:pic>
    <xdr:clientData/>
  </xdr:oneCellAnchor>
  <xdr:oneCellAnchor>
    <xdr:from>
      <xdr:col>0</xdr:col>
      <xdr:colOff>19050</xdr:colOff>
      <xdr:row>156</xdr:row>
      <xdr:rowOff>171450</xdr:rowOff>
    </xdr:from>
    <xdr:ext cx="5272520" cy="4638635"/>
    <xdr:pic>
      <xdr:nvPicPr>
        <xdr:cNvPr id="14" name="Picture 11" descr="A table with numbers and letters&#10;&#10;Description automatically generated">
          <a:extLst>
            <a:ext uri="{FF2B5EF4-FFF2-40B4-BE49-F238E27FC236}">
              <a16:creationId xmlns:a16="http://schemas.microsoft.com/office/drawing/2014/main" id="{C08B76BC-9DD5-446D-BB4C-48862A72DB73}"/>
            </a:ext>
          </a:extLst>
        </xdr:cNvPr>
        <xdr:cNvPicPr>
          <a:picLocks noChangeAspect="1"/>
        </xdr:cNvPicPr>
      </xdr:nvPicPr>
      <xdr:blipFill>
        <a:blip xmlns:r="http://schemas.openxmlformats.org/officeDocument/2006/relationships" r:embed="rId10"/>
        <a:stretch>
          <a:fillRect/>
        </a:stretch>
      </xdr:blipFill>
      <xdr:spPr>
        <a:xfrm>
          <a:off x="19050" y="39833550"/>
          <a:ext cx="5272520" cy="4638635"/>
        </a:xfrm>
        <a:prstGeom prst="rect">
          <a:avLst/>
        </a:prstGeom>
      </xdr:spPr>
    </xdr:pic>
    <xdr:clientData/>
  </xdr:oneCellAnchor>
  <xdr:oneCellAnchor>
    <xdr:from>
      <xdr:col>5</xdr:col>
      <xdr:colOff>304800</xdr:colOff>
      <xdr:row>156</xdr:row>
      <xdr:rowOff>152400</xdr:rowOff>
    </xdr:from>
    <xdr:ext cx="5294430" cy="2330632"/>
    <xdr:pic>
      <xdr:nvPicPr>
        <xdr:cNvPr id="16" name="Picture 12" descr="A table with numbers and a few letters&#10;&#10;Description automatically generated with medium confidence">
          <a:extLst>
            <a:ext uri="{FF2B5EF4-FFF2-40B4-BE49-F238E27FC236}">
              <a16:creationId xmlns:a16="http://schemas.microsoft.com/office/drawing/2014/main" id="{7F8FB4F8-F66A-4572-8DA7-E2F99DD6CD2F}"/>
            </a:ext>
          </a:extLst>
        </xdr:cNvPr>
        <xdr:cNvPicPr>
          <a:picLocks noChangeAspect="1"/>
        </xdr:cNvPicPr>
      </xdr:nvPicPr>
      <xdr:blipFill>
        <a:blip xmlns:r="http://schemas.openxmlformats.org/officeDocument/2006/relationships" r:embed="rId11"/>
        <a:stretch>
          <a:fillRect/>
        </a:stretch>
      </xdr:blipFill>
      <xdr:spPr>
        <a:xfrm>
          <a:off x="5495925" y="39814500"/>
          <a:ext cx="5294430" cy="2330632"/>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23</xdr:col>
      <xdr:colOff>95530</xdr:colOff>
      <xdr:row>15</xdr:row>
      <xdr:rowOff>56195</xdr:rowOff>
    </xdr:from>
    <xdr:to>
      <xdr:col>62</xdr:col>
      <xdr:colOff>304294</xdr:colOff>
      <xdr:row>21</xdr:row>
      <xdr:rowOff>82900</xdr:rowOff>
    </xdr:to>
    <xdr:pic>
      <xdr:nvPicPr>
        <xdr:cNvPr id="2" name="Picture 1">
          <a:extLst>
            <a:ext uri="{FF2B5EF4-FFF2-40B4-BE49-F238E27FC236}">
              <a16:creationId xmlns:a16="http://schemas.microsoft.com/office/drawing/2014/main" id="{FC1ECF9D-B799-C69B-758D-557FA0B4B95D}"/>
            </a:ext>
          </a:extLst>
        </xdr:cNvPr>
        <xdr:cNvPicPr>
          <a:picLocks noChangeAspect="1"/>
        </xdr:cNvPicPr>
      </xdr:nvPicPr>
      <xdr:blipFill>
        <a:blip xmlns:r="http://schemas.openxmlformats.org/officeDocument/2006/relationships" r:embed="rId1"/>
        <a:stretch>
          <a:fillRect/>
        </a:stretch>
      </xdr:blipFill>
      <xdr:spPr>
        <a:xfrm>
          <a:off x="30390088" y="4888938"/>
          <a:ext cx="9919206" cy="22158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592191</xdr:colOff>
      <xdr:row>69</xdr:row>
      <xdr:rowOff>92753</xdr:rowOff>
    </xdr:from>
    <xdr:to>
      <xdr:col>10</xdr:col>
      <xdr:colOff>332841</xdr:colOff>
      <xdr:row>71</xdr:row>
      <xdr:rowOff>101887</xdr:rowOff>
    </xdr:to>
    <xdr:pic>
      <xdr:nvPicPr>
        <xdr:cNvPr id="2" name="Picture 1">
          <a:extLst>
            <a:ext uri="{FF2B5EF4-FFF2-40B4-BE49-F238E27FC236}">
              <a16:creationId xmlns:a16="http://schemas.microsoft.com/office/drawing/2014/main" id="{F11D7884-5C4F-4410-953F-F12646492324}"/>
            </a:ext>
          </a:extLst>
        </xdr:cNvPr>
        <xdr:cNvPicPr>
          <a:picLocks noChangeAspect="1"/>
        </xdr:cNvPicPr>
      </xdr:nvPicPr>
      <xdr:blipFill>
        <a:blip xmlns:r="http://schemas.openxmlformats.org/officeDocument/2006/relationships" r:embed="rId1"/>
        <a:stretch>
          <a:fillRect/>
        </a:stretch>
      </xdr:blipFill>
      <xdr:spPr>
        <a:xfrm>
          <a:off x="4049766" y="15313703"/>
          <a:ext cx="4988925" cy="742559"/>
        </a:xfrm>
        <a:prstGeom prst="rect">
          <a:avLst/>
        </a:prstGeom>
      </xdr:spPr>
    </xdr:pic>
    <xdr:clientData/>
  </xdr:twoCellAnchor>
  <xdr:twoCellAnchor editAs="oneCell">
    <xdr:from>
      <xdr:col>10</xdr:col>
      <xdr:colOff>207347</xdr:colOff>
      <xdr:row>66</xdr:row>
      <xdr:rowOff>64182</xdr:rowOff>
    </xdr:from>
    <xdr:to>
      <xdr:col>21</xdr:col>
      <xdr:colOff>178253</xdr:colOff>
      <xdr:row>73</xdr:row>
      <xdr:rowOff>172936</xdr:rowOff>
    </xdr:to>
    <xdr:pic>
      <xdr:nvPicPr>
        <xdr:cNvPr id="3" name="Picture 2">
          <a:extLst>
            <a:ext uri="{FF2B5EF4-FFF2-40B4-BE49-F238E27FC236}">
              <a16:creationId xmlns:a16="http://schemas.microsoft.com/office/drawing/2014/main" id="{19003CA3-6304-4CE6-8961-D181F1A7C7C9}"/>
            </a:ext>
          </a:extLst>
        </xdr:cNvPr>
        <xdr:cNvPicPr>
          <a:picLocks noChangeAspect="1"/>
        </xdr:cNvPicPr>
      </xdr:nvPicPr>
      <xdr:blipFill>
        <a:blip xmlns:r="http://schemas.openxmlformats.org/officeDocument/2006/relationships" r:embed="rId2"/>
        <a:stretch>
          <a:fillRect/>
        </a:stretch>
      </xdr:blipFill>
      <xdr:spPr>
        <a:xfrm>
          <a:off x="8913197" y="14554882"/>
          <a:ext cx="8914881" cy="252492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165101</xdr:colOff>
      <xdr:row>33</xdr:row>
      <xdr:rowOff>100995</xdr:rowOff>
    </xdr:from>
    <xdr:to>
      <xdr:col>6</xdr:col>
      <xdr:colOff>312266</xdr:colOff>
      <xdr:row>49</xdr:row>
      <xdr:rowOff>179830</xdr:rowOff>
    </xdr:to>
    <xdr:pic>
      <xdr:nvPicPr>
        <xdr:cNvPr id="2" name="Picture 1">
          <a:extLst>
            <a:ext uri="{FF2B5EF4-FFF2-40B4-BE49-F238E27FC236}">
              <a16:creationId xmlns:a16="http://schemas.microsoft.com/office/drawing/2014/main" id="{3F721E93-5187-4CB4-9B44-5B0579B2BE9C}"/>
            </a:ext>
          </a:extLst>
        </xdr:cNvPr>
        <xdr:cNvPicPr>
          <a:picLocks noChangeAspect="1"/>
        </xdr:cNvPicPr>
      </xdr:nvPicPr>
      <xdr:blipFill>
        <a:blip xmlns:r="http://schemas.openxmlformats.org/officeDocument/2006/relationships" r:embed="rId1"/>
        <a:stretch>
          <a:fillRect/>
        </a:stretch>
      </xdr:blipFill>
      <xdr:spPr>
        <a:xfrm>
          <a:off x="165101" y="7022495"/>
          <a:ext cx="3807940" cy="2971260"/>
        </a:xfrm>
        <a:prstGeom prst="rect">
          <a:avLst/>
        </a:prstGeom>
      </xdr:spPr>
    </xdr:pic>
    <xdr:clientData/>
  </xdr:twoCellAnchor>
  <xdr:twoCellAnchor editAs="oneCell">
    <xdr:from>
      <xdr:col>0</xdr:col>
      <xdr:colOff>0</xdr:colOff>
      <xdr:row>28</xdr:row>
      <xdr:rowOff>152400</xdr:rowOff>
    </xdr:from>
    <xdr:to>
      <xdr:col>9</xdr:col>
      <xdr:colOff>9783</xdr:colOff>
      <xdr:row>33</xdr:row>
      <xdr:rowOff>26050</xdr:rowOff>
    </xdr:to>
    <xdr:pic>
      <xdr:nvPicPr>
        <xdr:cNvPr id="3" name="Picture 2">
          <a:extLst>
            <a:ext uri="{FF2B5EF4-FFF2-40B4-BE49-F238E27FC236}">
              <a16:creationId xmlns:a16="http://schemas.microsoft.com/office/drawing/2014/main" id="{C6AEB072-1C74-4669-8BD5-0A7B6173D472}"/>
            </a:ext>
          </a:extLst>
        </xdr:cNvPr>
        <xdr:cNvPicPr>
          <a:picLocks noChangeAspect="1"/>
        </xdr:cNvPicPr>
      </xdr:nvPicPr>
      <xdr:blipFill>
        <a:blip xmlns:r="http://schemas.openxmlformats.org/officeDocument/2006/relationships" r:embed="rId2"/>
        <a:stretch>
          <a:fillRect/>
        </a:stretch>
      </xdr:blipFill>
      <xdr:spPr>
        <a:xfrm>
          <a:off x="0" y="5759450"/>
          <a:ext cx="5489833" cy="775350"/>
        </a:xfrm>
        <a:prstGeom prst="rect">
          <a:avLst/>
        </a:prstGeom>
      </xdr:spPr>
    </xdr:pic>
    <xdr:clientData/>
  </xdr:twoCellAnchor>
  <xdr:twoCellAnchor editAs="oneCell">
    <xdr:from>
      <xdr:col>0</xdr:col>
      <xdr:colOff>63500</xdr:colOff>
      <xdr:row>57</xdr:row>
      <xdr:rowOff>100173</xdr:rowOff>
    </xdr:from>
    <xdr:to>
      <xdr:col>12</xdr:col>
      <xdr:colOff>143035</xdr:colOff>
      <xdr:row>67</xdr:row>
      <xdr:rowOff>45841</xdr:rowOff>
    </xdr:to>
    <xdr:pic>
      <xdr:nvPicPr>
        <xdr:cNvPr id="4" name="Picture 3">
          <a:extLst>
            <a:ext uri="{FF2B5EF4-FFF2-40B4-BE49-F238E27FC236}">
              <a16:creationId xmlns:a16="http://schemas.microsoft.com/office/drawing/2014/main" id="{3E75D25D-F97C-43D4-9CD0-665E8BCDB0B4}"/>
            </a:ext>
          </a:extLst>
        </xdr:cNvPr>
        <xdr:cNvPicPr>
          <a:picLocks noChangeAspect="1"/>
        </xdr:cNvPicPr>
      </xdr:nvPicPr>
      <xdr:blipFill>
        <a:blip xmlns:r="http://schemas.openxmlformats.org/officeDocument/2006/relationships" r:embed="rId3"/>
        <a:stretch>
          <a:fillRect/>
        </a:stretch>
      </xdr:blipFill>
      <xdr:spPr>
        <a:xfrm>
          <a:off x="63500" y="11777823"/>
          <a:ext cx="7534435" cy="1752243"/>
        </a:xfrm>
        <a:prstGeom prst="rect">
          <a:avLst/>
        </a:prstGeom>
      </xdr:spPr>
    </xdr:pic>
    <xdr:clientData/>
  </xdr:twoCellAnchor>
  <xdr:twoCellAnchor editAs="oneCell">
    <xdr:from>
      <xdr:col>0</xdr:col>
      <xdr:colOff>11759</xdr:colOff>
      <xdr:row>52</xdr:row>
      <xdr:rowOff>20682</xdr:rowOff>
    </xdr:from>
    <xdr:to>
      <xdr:col>16</xdr:col>
      <xdr:colOff>174278</xdr:colOff>
      <xdr:row>57</xdr:row>
      <xdr:rowOff>173397</xdr:rowOff>
    </xdr:to>
    <xdr:pic>
      <xdr:nvPicPr>
        <xdr:cNvPr id="5" name="Picture 4">
          <a:extLst>
            <a:ext uri="{FF2B5EF4-FFF2-40B4-BE49-F238E27FC236}">
              <a16:creationId xmlns:a16="http://schemas.microsoft.com/office/drawing/2014/main" id="{A5DAA21C-6A8A-410D-9CA4-600050818C62}"/>
            </a:ext>
          </a:extLst>
        </xdr:cNvPr>
        <xdr:cNvPicPr>
          <a:picLocks noChangeAspect="1"/>
        </xdr:cNvPicPr>
      </xdr:nvPicPr>
      <xdr:blipFill>
        <a:blip xmlns:r="http://schemas.openxmlformats.org/officeDocument/2006/relationships" r:embed="rId4"/>
        <a:stretch>
          <a:fillRect/>
        </a:stretch>
      </xdr:blipFill>
      <xdr:spPr>
        <a:xfrm>
          <a:off x="11759" y="10714082"/>
          <a:ext cx="11128969" cy="1054415"/>
        </a:xfrm>
        <a:prstGeom prst="rect">
          <a:avLst/>
        </a:prstGeom>
      </xdr:spPr>
    </xdr:pic>
    <xdr:clientData/>
  </xdr:twoCellAnchor>
  <xdr:twoCellAnchor editAs="oneCell">
    <xdr:from>
      <xdr:col>0</xdr:col>
      <xdr:colOff>35775</xdr:colOff>
      <xdr:row>69</xdr:row>
      <xdr:rowOff>1</xdr:rowOff>
    </xdr:from>
    <xdr:to>
      <xdr:col>15</xdr:col>
      <xdr:colOff>59876</xdr:colOff>
      <xdr:row>83</xdr:row>
      <xdr:rowOff>73685</xdr:rowOff>
    </xdr:to>
    <xdr:pic>
      <xdr:nvPicPr>
        <xdr:cNvPr id="6" name="Picture 5">
          <a:extLst>
            <a:ext uri="{FF2B5EF4-FFF2-40B4-BE49-F238E27FC236}">
              <a16:creationId xmlns:a16="http://schemas.microsoft.com/office/drawing/2014/main" id="{A9FAA343-C948-4DFB-B202-2C3ABC5D0D0D}"/>
            </a:ext>
          </a:extLst>
        </xdr:cNvPr>
        <xdr:cNvPicPr>
          <a:picLocks noChangeAspect="1"/>
        </xdr:cNvPicPr>
      </xdr:nvPicPr>
      <xdr:blipFill>
        <a:blip xmlns:r="http://schemas.openxmlformats.org/officeDocument/2006/relationships" r:embed="rId5"/>
        <a:stretch>
          <a:fillRect/>
        </a:stretch>
      </xdr:blipFill>
      <xdr:spPr>
        <a:xfrm>
          <a:off x="35775" y="13938251"/>
          <a:ext cx="10111076" cy="2607334"/>
        </a:xfrm>
        <a:prstGeom prst="rect">
          <a:avLst/>
        </a:prstGeom>
      </xdr:spPr>
    </xdr:pic>
    <xdr:clientData/>
  </xdr:twoCellAnchor>
  <xdr:twoCellAnchor editAs="oneCell">
    <xdr:from>
      <xdr:col>0</xdr:col>
      <xdr:colOff>9621</xdr:colOff>
      <xdr:row>89</xdr:row>
      <xdr:rowOff>147686</xdr:rowOff>
    </xdr:from>
    <xdr:to>
      <xdr:col>12</xdr:col>
      <xdr:colOff>392866</xdr:colOff>
      <xdr:row>109</xdr:row>
      <xdr:rowOff>112310</xdr:rowOff>
    </xdr:to>
    <xdr:pic>
      <xdr:nvPicPr>
        <xdr:cNvPr id="7" name="Picture 6">
          <a:extLst>
            <a:ext uri="{FF2B5EF4-FFF2-40B4-BE49-F238E27FC236}">
              <a16:creationId xmlns:a16="http://schemas.microsoft.com/office/drawing/2014/main" id="{1F19AD5E-EFAC-47C2-B397-431BC7F157A5}"/>
            </a:ext>
          </a:extLst>
        </xdr:cNvPr>
        <xdr:cNvPicPr>
          <a:picLocks noChangeAspect="1"/>
        </xdr:cNvPicPr>
      </xdr:nvPicPr>
      <xdr:blipFill>
        <a:blip xmlns:r="http://schemas.openxmlformats.org/officeDocument/2006/relationships" r:embed="rId6"/>
        <a:stretch>
          <a:fillRect/>
        </a:stretch>
      </xdr:blipFill>
      <xdr:spPr>
        <a:xfrm>
          <a:off x="9621" y="18067386"/>
          <a:ext cx="7844495" cy="3590474"/>
        </a:xfrm>
        <a:prstGeom prst="rect">
          <a:avLst/>
        </a:prstGeom>
      </xdr:spPr>
    </xdr:pic>
    <xdr:clientData/>
  </xdr:twoCellAnchor>
  <xdr:twoCellAnchor editAs="oneCell">
    <xdr:from>
      <xdr:col>0</xdr:col>
      <xdr:colOff>0</xdr:colOff>
      <xdr:row>113</xdr:row>
      <xdr:rowOff>89178</xdr:rowOff>
    </xdr:from>
    <xdr:to>
      <xdr:col>11</xdr:col>
      <xdr:colOff>645938</xdr:colOff>
      <xdr:row>127</xdr:row>
      <xdr:rowOff>141829</xdr:rowOff>
    </xdr:to>
    <xdr:pic>
      <xdr:nvPicPr>
        <xdr:cNvPr id="8" name="Picture 7">
          <a:extLst>
            <a:ext uri="{FF2B5EF4-FFF2-40B4-BE49-F238E27FC236}">
              <a16:creationId xmlns:a16="http://schemas.microsoft.com/office/drawing/2014/main" id="{E9C36938-0F9C-4992-927A-789ED80936C9}"/>
            </a:ext>
          </a:extLst>
        </xdr:cNvPr>
        <xdr:cNvPicPr>
          <a:picLocks noChangeAspect="1"/>
        </xdr:cNvPicPr>
      </xdr:nvPicPr>
      <xdr:blipFill>
        <a:blip xmlns:r="http://schemas.openxmlformats.org/officeDocument/2006/relationships" r:embed="rId7"/>
        <a:stretch>
          <a:fillRect/>
        </a:stretch>
      </xdr:blipFill>
      <xdr:spPr>
        <a:xfrm>
          <a:off x="0" y="22542778"/>
          <a:ext cx="7234063" cy="2592651"/>
        </a:xfrm>
        <a:prstGeom prst="rect">
          <a:avLst/>
        </a:prstGeom>
      </xdr:spPr>
    </xdr:pic>
    <xdr:clientData/>
  </xdr:twoCellAnchor>
  <xdr:twoCellAnchor editAs="oneCell">
    <xdr:from>
      <xdr:col>0</xdr:col>
      <xdr:colOff>0</xdr:colOff>
      <xdr:row>146</xdr:row>
      <xdr:rowOff>1</xdr:rowOff>
    </xdr:from>
    <xdr:to>
      <xdr:col>7</xdr:col>
      <xdr:colOff>151019</xdr:colOff>
      <xdr:row>161</xdr:row>
      <xdr:rowOff>68534</xdr:rowOff>
    </xdr:to>
    <xdr:pic>
      <xdr:nvPicPr>
        <xdr:cNvPr id="9" name="Picture 8">
          <a:extLst>
            <a:ext uri="{FF2B5EF4-FFF2-40B4-BE49-F238E27FC236}">
              <a16:creationId xmlns:a16="http://schemas.microsoft.com/office/drawing/2014/main" id="{16A22F50-6460-4B08-B777-0D76D9C4E25A}"/>
            </a:ext>
          </a:extLst>
        </xdr:cNvPr>
        <xdr:cNvPicPr>
          <a:picLocks noChangeAspect="1"/>
        </xdr:cNvPicPr>
      </xdr:nvPicPr>
      <xdr:blipFill>
        <a:blip xmlns:r="http://schemas.openxmlformats.org/officeDocument/2006/relationships" r:embed="rId8"/>
        <a:stretch>
          <a:fillRect/>
        </a:stretch>
      </xdr:blipFill>
      <xdr:spPr>
        <a:xfrm>
          <a:off x="0" y="26746201"/>
          <a:ext cx="4418219" cy="2779983"/>
        </a:xfrm>
        <a:prstGeom prst="rect">
          <a:avLst/>
        </a:prstGeom>
      </xdr:spPr>
    </xdr:pic>
    <xdr:clientData/>
  </xdr:twoCellAnchor>
  <xdr:twoCellAnchor editAs="oneCell">
    <xdr:from>
      <xdr:col>0</xdr:col>
      <xdr:colOff>1</xdr:colOff>
      <xdr:row>4</xdr:row>
      <xdr:rowOff>34136</xdr:rowOff>
    </xdr:from>
    <xdr:to>
      <xdr:col>6</xdr:col>
      <xdr:colOff>359434</xdr:colOff>
      <xdr:row>27</xdr:row>
      <xdr:rowOff>84770</xdr:rowOff>
    </xdr:to>
    <xdr:pic>
      <xdr:nvPicPr>
        <xdr:cNvPr id="10" name="Picture 9">
          <a:extLst>
            <a:ext uri="{FF2B5EF4-FFF2-40B4-BE49-F238E27FC236}">
              <a16:creationId xmlns:a16="http://schemas.microsoft.com/office/drawing/2014/main" id="{750E1E5E-6CAC-451B-AAC9-CB59BBFACDAA}"/>
            </a:ext>
          </a:extLst>
        </xdr:cNvPr>
        <xdr:cNvPicPr>
          <a:picLocks noChangeAspect="1"/>
        </xdr:cNvPicPr>
      </xdr:nvPicPr>
      <xdr:blipFill>
        <a:blip xmlns:r="http://schemas.openxmlformats.org/officeDocument/2006/relationships" r:embed="rId9"/>
        <a:stretch>
          <a:fillRect/>
        </a:stretch>
      </xdr:blipFill>
      <xdr:spPr>
        <a:xfrm>
          <a:off x="1" y="1170786"/>
          <a:ext cx="4017033" cy="4216234"/>
        </a:xfrm>
        <a:prstGeom prst="rect">
          <a:avLst/>
        </a:prstGeom>
      </xdr:spPr>
    </xdr:pic>
    <xdr:clientData/>
  </xdr:twoCellAnchor>
  <xdr:twoCellAnchor editAs="oneCell">
    <xdr:from>
      <xdr:col>9</xdr:col>
      <xdr:colOff>29952</xdr:colOff>
      <xdr:row>4</xdr:row>
      <xdr:rowOff>47077</xdr:rowOff>
    </xdr:from>
    <xdr:to>
      <xdr:col>18</xdr:col>
      <xdr:colOff>215922</xdr:colOff>
      <xdr:row>13</xdr:row>
      <xdr:rowOff>50081</xdr:rowOff>
    </xdr:to>
    <xdr:pic>
      <xdr:nvPicPr>
        <xdr:cNvPr id="11" name="Picture 10">
          <a:extLst>
            <a:ext uri="{FF2B5EF4-FFF2-40B4-BE49-F238E27FC236}">
              <a16:creationId xmlns:a16="http://schemas.microsoft.com/office/drawing/2014/main" id="{57AC8FE3-40BF-4156-B752-08ABBDA7BAA7}"/>
            </a:ext>
          </a:extLst>
        </xdr:cNvPr>
        <xdr:cNvPicPr>
          <a:picLocks noChangeAspect="1"/>
        </xdr:cNvPicPr>
      </xdr:nvPicPr>
      <xdr:blipFill>
        <a:blip xmlns:r="http://schemas.openxmlformats.org/officeDocument/2006/relationships" r:embed="rId10"/>
        <a:stretch>
          <a:fillRect/>
        </a:stretch>
      </xdr:blipFill>
      <xdr:spPr>
        <a:xfrm>
          <a:off x="5516352" y="1183727"/>
          <a:ext cx="7453545" cy="162225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874183</xdr:colOff>
      <xdr:row>4</xdr:row>
      <xdr:rowOff>37829</xdr:rowOff>
    </xdr:to>
    <xdr:pic>
      <xdr:nvPicPr>
        <xdr:cNvPr id="2" name="Picture 1">
          <a:extLst>
            <a:ext uri="{FF2B5EF4-FFF2-40B4-BE49-F238E27FC236}">
              <a16:creationId xmlns:a16="http://schemas.microsoft.com/office/drawing/2014/main" id="{7A16C263-3C96-41BA-8E2C-A79943AD5C1B}"/>
            </a:ext>
          </a:extLst>
        </xdr:cNvPr>
        <xdr:cNvPicPr>
          <a:picLocks noChangeAspect="1"/>
        </xdr:cNvPicPr>
      </xdr:nvPicPr>
      <xdr:blipFill>
        <a:blip xmlns:r="http://schemas.openxmlformats.org/officeDocument/2006/relationships" r:embed="rId1"/>
        <a:stretch>
          <a:fillRect/>
        </a:stretch>
      </xdr:blipFill>
      <xdr:spPr>
        <a:xfrm>
          <a:off x="0" y="0"/>
          <a:ext cx="5935133" cy="761729"/>
        </a:xfrm>
        <a:prstGeom prst="rect">
          <a:avLst/>
        </a:prstGeom>
      </xdr:spPr>
    </xdr:pic>
    <xdr:clientData/>
  </xdr:twoCellAnchor>
  <xdr:twoCellAnchor editAs="oneCell">
    <xdr:from>
      <xdr:col>0</xdr:col>
      <xdr:colOff>0</xdr:colOff>
      <xdr:row>4</xdr:row>
      <xdr:rowOff>156622</xdr:rowOff>
    </xdr:from>
    <xdr:to>
      <xdr:col>4</xdr:col>
      <xdr:colOff>674158</xdr:colOff>
      <xdr:row>19</xdr:row>
      <xdr:rowOff>168993</xdr:rowOff>
    </xdr:to>
    <xdr:pic>
      <xdr:nvPicPr>
        <xdr:cNvPr id="3" name="Picture 2">
          <a:extLst>
            <a:ext uri="{FF2B5EF4-FFF2-40B4-BE49-F238E27FC236}">
              <a16:creationId xmlns:a16="http://schemas.microsoft.com/office/drawing/2014/main" id="{ADB1B022-CC27-445F-B637-EF8B27DBF014}"/>
            </a:ext>
          </a:extLst>
        </xdr:cNvPr>
        <xdr:cNvPicPr>
          <a:picLocks noChangeAspect="1"/>
        </xdr:cNvPicPr>
      </xdr:nvPicPr>
      <xdr:blipFill>
        <a:blip xmlns:r="http://schemas.openxmlformats.org/officeDocument/2006/relationships" r:embed="rId2"/>
        <a:stretch>
          <a:fillRect/>
        </a:stretch>
      </xdr:blipFill>
      <xdr:spPr>
        <a:xfrm>
          <a:off x="0" y="893222"/>
          <a:ext cx="4646083" cy="2723821"/>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doi.org/10.1038%2Fs41370-021-00354-0" TargetMode="External"/><Relationship Id="rId1" Type="http://schemas.openxmlformats.org/officeDocument/2006/relationships/hyperlink" Target="https://doi.org/10.1111/ina.12395" TargetMode="External"/><Relationship Id="rId4"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3" Type="http://schemas.openxmlformats.org/officeDocument/2006/relationships/hyperlink" Target="https://www.sika.com/" TargetMode="External"/><Relationship Id="rId18" Type="http://schemas.openxmlformats.org/officeDocument/2006/relationships/hyperlink" Target="https://ikogroup.co.uk/product-catalogue/cold-applied-liquid-system-ancillaries/iko-polimar-uv-liquid-detailing/" TargetMode="External"/><Relationship Id="rId26" Type="http://schemas.openxmlformats.org/officeDocument/2006/relationships/hyperlink" Target="https://www.hotmelt.com/products/jowat-jowacoll-110-60-fast-setting-wood-bonding-water-based-adhesive?variant=28075926923" TargetMode="External"/><Relationship Id="rId39" Type="http://schemas.openxmlformats.org/officeDocument/2006/relationships/hyperlink" Target="https://www.spex.com/Product/Detail/plastic-additives/5610c87c-5a23-4df4-b747-a67a5e639316/Diisobutyl-phthalate%2c-1%2c000-%C2%B5g-mL-Organic-Standard" TargetMode="External"/><Relationship Id="rId21" Type="http://schemas.openxmlformats.org/officeDocument/2006/relationships/hyperlink" Target="https://www.nouryon.com/product/butanox-lpt-in-methyl-ethyl-ketone-peroxide-in-diisononyl-phthalate-cas-1338-23-4/" TargetMode="External"/><Relationship Id="rId34" Type="http://schemas.openxmlformats.org/officeDocument/2006/relationships/hyperlink" Target="https://azogrout.com/azo-grout-resources/" TargetMode="External"/><Relationship Id="rId42" Type="http://schemas.openxmlformats.org/officeDocument/2006/relationships/hyperlink" Target="https://www.spex.com/" TargetMode="External"/><Relationship Id="rId47" Type="http://schemas.openxmlformats.org/officeDocument/2006/relationships/hyperlink" Target="https://www.mapei.com/us/en-us/products-and-solutions/products/detail/resfoam-ss-75" TargetMode="External"/><Relationship Id="rId50" Type="http://schemas.openxmlformats.org/officeDocument/2006/relationships/hyperlink" Target="https://www.fishersci.com/shop/products/diisobutyl-phthalate-99-thermo-scientific/AAA1705922" TargetMode="External"/><Relationship Id="rId7" Type="http://schemas.openxmlformats.org/officeDocument/2006/relationships/hyperlink" Target="https://www.wilsonart.com/adhesives-products" TargetMode="External"/><Relationship Id="rId2" Type="http://schemas.openxmlformats.org/officeDocument/2006/relationships/hyperlink" Target="https://multiurethanes.com/products-2/mme-flexible-resin/" TargetMode="External"/><Relationship Id="rId16" Type="http://schemas.openxmlformats.org/officeDocument/2006/relationships/hyperlink" Target="https://www.zhonghua-paper.com/ww/enpage/eflzsinbig.aspx?menu_Id=146&amp;Parentid=46&amp;products_Id=104" TargetMode="External"/><Relationship Id="rId29" Type="http://schemas.openxmlformats.org/officeDocument/2006/relationships/hyperlink" Target="https://www.selleys.com.au/products/putty-and-fillers/specialist-fillers-and-putty/selleys-tradies-bog/" TargetMode="External"/><Relationship Id="rId11" Type="http://schemas.openxmlformats.org/officeDocument/2006/relationships/hyperlink" Target="https://www.velstone.com/" TargetMode="External"/><Relationship Id="rId24" Type="http://schemas.openxmlformats.org/officeDocument/2006/relationships/hyperlink" Target="https://www.mc-bauchemie.com/" TargetMode="External"/><Relationship Id="rId32" Type="http://schemas.openxmlformats.org/officeDocument/2006/relationships/hyperlink" Target="https://azogrout.com/azo-grout-resources/" TargetMode="External"/><Relationship Id="rId37" Type="http://schemas.openxmlformats.org/officeDocument/2006/relationships/hyperlink" Target="https://www.phenova.com/" TargetMode="External"/><Relationship Id="rId40" Type="http://schemas.openxmlformats.org/officeDocument/2006/relationships/hyperlink" Target="https://www.spex.com/Product/Detail/Polyethylene-(PE)-Standards/e1867bc7-a15f-41bf-a4ae-be9888de9b49/Phthalates-Polyethylene-Standard" TargetMode="External"/><Relationship Id="rId45" Type="http://schemas.openxmlformats.org/officeDocument/2006/relationships/hyperlink" Target="https://www.united-initiators.com/en/our-products/product/tmch-ha-m2" TargetMode="External"/><Relationship Id="rId53" Type="http://schemas.openxmlformats.org/officeDocument/2006/relationships/printerSettings" Target="../printerSettings/printerSettings4.bin"/><Relationship Id="rId5" Type="http://schemas.openxmlformats.org/officeDocument/2006/relationships/hyperlink" Target="https://www.kieferusa.com/" TargetMode="External"/><Relationship Id="rId10" Type="http://schemas.openxmlformats.org/officeDocument/2006/relationships/hyperlink" Target="https://www.towersurfaces.com/" TargetMode="External"/><Relationship Id="rId19" Type="http://schemas.openxmlformats.org/officeDocument/2006/relationships/hyperlink" Target="https://itwperformancepolymers.com/products/plexus/general-purpose/plexus-ma685" TargetMode="External"/><Relationship Id="rId31" Type="http://schemas.openxmlformats.org/officeDocument/2006/relationships/hyperlink" Target="https://azogrout.com/azo-grout-resources/" TargetMode="External"/><Relationship Id="rId44" Type="http://schemas.openxmlformats.org/officeDocument/2006/relationships/hyperlink" Target="https://www.holtsauto.com/simoniz/products/one-coat-tough-paints/" TargetMode="External"/><Relationship Id="rId52" Type="http://schemas.openxmlformats.org/officeDocument/2006/relationships/hyperlink" Target="https://www.amazon.com/Elmers-Liquid-School-Making-Washable/dp/B002FTOBZE/ref=asc_df_B002FTOBZE/?tag=hyprod-20&amp;linkCode=df0&amp;hvadid=693398656974&amp;hvpos=&amp;hvnetw=g&amp;hvrand=630374825045451377&amp;hvpone=&amp;hvptwo=&amp;hvqmt=&amp;hvdev=c&amp;hvdvcmdl=&amp;hvlocint=&amp;hvlocphy=9003590&amp;hvtargid=pla-351334302711&amp;mcid=aa23e5db17b13274a10a252ffa03d658&amp;gad_source=1&amp;th=1" TargetMode="External"/><Relationship Id="rId4" Type="http://schemas.openxmlformats.org/officeDocument/2006/relationships/hyperlink" Target="https://www.chemical-concepts.com/product/cca-c19/" TargetMode="External"/><Relationship Id="rId9" Type="http://schemas.openxmlformats.org/officeDocument/2006/relationships/hyperlink" Target="https://itwperformancepolymers.com/products/plexus/general-purpose/plexus-ma685" TargetMode="External"/><Relationship Id="rId14" Type="http://schemas.openxmlformats.org/officeDocument/2006/relationships/hyperlink" Target="https://www.cbc.com.br/" TargetMode="External"/><Relationship Id="rId22" Type="http://schemas.openxmlformats.org/officeDocument/2006/relationships/hyperlink" Target="https://www.akpakimya.com/en/product/akperox-bp15-paste" TargetMode="External"/><Relationship Id="rId27" Type="http://schemas.openxmlformats.org/officeDocument/2006/relationships/hyperlink" Target="https://phtinternational.com/chemical-supplier/" TargetMode="External"/><Relationship Id="rId30" Type="http://schemas.openxmlformats.org/officeDocument/2006/relationships/hyperlink" Target="https://www.amazon.com/Djeco-DJ08663-Colored-Dazzling-Novelty/dp/B00WQX7YNK/ref=sr_1_3?adgrpid=1341405550418442&amp;dib=eyJ2IjoiMSJ9.Na43QMdfGZ0wgsPl1aCGa9qaWpXCFhtQBP2CWLZFx05AQtuOWAS2k1MTXrkC_kUdCf1uY0yKKexM5fRRjX9t5-Q2T6BOJDzD_3t-BTCwISZIsuhL1rIVgtnBIHlwAW6q-pLjNhhEC66kBNTtJGAUyH-oc1oTXjaNf4Nh4fgTHtvKOF22GcJsGxhafBYCwlWSuUFos87s_1xTZkwekwk7bLv4-0n5fVYCLGKaYNtgYf25hw1bc655N6aWRtY5PmPV923OKaZ8fD51i2AUDHgyt1iQjIpnFahImmMLK0bYqoc.hs7uej7hyDZmcmCLYuJAmUdcuQ6DhWx9DrSiiuBtwg8&amp;dib_tag=se&amp;hvadid=83838042993569&amp;hvbmt=be&amp;hvdev=c&amp;hvlocphy=83615&amp;hvnetw=o&amp;hvqmt=e&amp;hvtargid=kwd-83838737750492%3Aloc-190&amp;hydadcr=3459_13506318&amp;keywords=djeco%2Bglitter%2Bboards&amp;qid=1717419163&amp;s=toys-and-games&amp;sr=1-3&amp;th=1" TargetMode="External"/><Relationship Id="rId35" Type="http://schemas.openxmlformats.org/officeDocument/2006/relationships/hyperlink" Target="https://azogrout.com/azo-grout-resources/" TargetMode="External"/><Relationship Id="rId43" Type="http://schemas.openxmlformats.org/officeDocument/2006/relationships/hyperlink" Target="https://www.amazon.com/DJECO-Its-Magic-Painting-Set/dp/B07KTKBS5B" TargetMode="External"/><Relationship Id="rId48" Type="http://schemas.openxmlformats.org/officeDocument/2006/relationships/hyperlink" Target="http://idealvs.com/index.html" TargetMode="External"/><Relationship Id="rId8" Type="http://schemas.openxmlformats.org/officeDocument/2006/relationships/hyperlink" Target="https://www.wilsonart.com/adhesives-products" TargetMode="External"/><Relationship Id="rId51" Type="http://schemas.openxmlformats.org/officeDocument/2006/relationships/hyperlink" Target="https://www.polisan.com.tr/politex-decorative-matte_p431" TargetMode="External"/><Relationship Id="rId3" Type="http://schemas.openxmlformats.org/officeDocument/2006/relationships/hyperlink" Target="https://multiurethanes.com/products-2/mme-universal-resin/" TargetMode="External"/><Relationship Id="rId12" Type="http://schemas.openxmlformats.org/officeDocument/2006/relationships/hyperlink" Target="https://www.sika.com/" TargetMode="External"/><Relationship Id="rId17" Type="http://schemas.openxmlformats.org/officeDocument/2006/relationships/hyperlink" Target="https://www.amazon.com/Abesco-Intumescent-Acrylic-Mastic-Material/dp/B00TE9TV8A/ref=sr_1_1?adgrpid=1339205901027128&amp;dib=eyJ2IjoiMSJ9.4g34Z0x_hX14khWDeJFdnikPF5uwfZNxd7e_1a-a4H0.V7GDHD4E-TIgLr8TsFRzREsIA6fo3kxGKjLp6LzEYhY&amp;dib_tag=se&amp;hvadid=83700596917061&amp;hvbmt=bb&amp;hvdev=c&amp;hvlocphy=78122&amp;hvnetw=o&amp;hvqmt=p&amp;hvtargid=kwd-83700836162899%3Aloc-190&amp;hydadcr=29037_14559998&amp;keywords=abesco+fire+intumescent&amp;qid=1717097289&amp;sr=8-1" TargetMode="External"/><Relationship Id="rId25" Type="http://schemas.openxmlformats.org/officeDocument/2006/relationships/hyperlink" Target="https://www.nouryon.com/product/perkadox-l-40-rpb-dibenzoyl-peroxide-40-suspension-in-solvent-mixture-cas-94-36-0-78-40-0/" TargetMode="External"/><Relationship Id="rId33" Type="http://schemas.openxmlformats.org/officeDocument/2006/relationships/hyperlink" Target="https://multiurethanes.com/products-2/mme-universal-resin/" TargetMode="External"/><Relationship Id="rId38" Type="http://schemas.openxmlformats.org/officeDocument/2006/relationships/hyperlink" Target="https://www.sigmaaldrich.com/US/en/product/sial/43540" TargetMode="External"/><Relationship Id="rId46" Type="http://schemas.openxmlformats.org/officeDocument/2006/relationships/hyperlink" Target="https://www.sglcarbon.com/en/" TargetMode="External"/><Relationship Id="rId20" Type="http://schemas.openxmlformats.org/officeDocument/2006/relationships/hyperlink" Target="https://www.bekament.com/en/bk-nitro-emajl/product/136" TargetMode="External"/><Relationship Id="rId41" Type="http://schemas.openxmlformats.org/officeDocument/2006/relationships/hyperlink" Target="https://www.spex.com/Product/Detail/Semivolatiles/66663bad-e5a9-41dd-b4be-92ecd3719561/Phthalates-Esters-Mix%2c-2%2c000-%C2%B5g-mL" TargetMode="External"/><Relationship Id="rId1" Type="http://schemas.openxmlformats.org/officeDocument/2006/relationships/hyperlink" Target="https://ph.parker.com/us/en/product-list/lord-accelerator-17?facet:-700000000000035400465999910110810111497116111114&amp;productBeginIndex:0&amp;facetLimit:&amp;orderBy:&amp;pageView:list&amp;minPrice:&amp;maxPrice:&amp;pageSize:&amp;loadProductsList:true&amp;" TargetMode="External"/><Relationship Id="rId6" Type="http://schemas.openxmlformats.org/officeDocument/2006/relationships/hyperlink" Target="https://itwperformancepolymers.com/" TargetMode="External"/><Relationship Id="rId15" Type="http://schemas.openxmlformats.org/officeDocument/2006/relationships/hyperlink" Target="https://www.strongtie.com/acrylicanchoringadhesives_adhesives/at-xp_adhesive/p/at-xp" TargetMode="External"/><Relationship Id="rId23" Type="http://schemas.openxmlformats.org/officeDocument/2006/relationships/hyperlink" Target="https://akpakimya.com/urun/akperox-lpt" TargetMode="External"/><Relationship Id="rId28" Type="http://schemas.openxmlformats.org/officeDocument/2006/relationships/hyperlink" Target="https://chemspec.co.nz/" TargetMode="External"/><Relationship Id="rId36" Type="http://schemas.openxmlformats.org/officeDocument/2006/relationships/hyperlink" Target="https://www.restek.com/p/33227" TargetMode="External"/><Relationship Id="rId49" Type="http://schemas.openxmlformats.org/officeDocument/2006/relationships/hyperlink" Target="https://groupeveritas.com/chemicals-petrochemicals/"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causa.com/products/steering-wheel-covers"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quikrete.com/pdfs/msds-a1-concretebonding.pdf" TargetMode="External"/></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hyperlink" Target="https://www.ipolymer.com/pdf/PVC.pdf" TargetMode="External"/><Relationship Id="rId7" Type="http://schemas.openxmlformats.org/officeDocument/2006/relationships/printerSettings" Target="../printerSettings/printerSettings9.bin"/><Relationship Id="rId2" Type="http://schemas.openxmlformats.org/officeDocument/2006/relationships/hyperlink" Target="https://www.nature.com/articles/s41370-021-00354-0" TargetMode="External"/><Relationship Id="rId1" Type="http://schemas.openxmlformats.org/officeDocument/2006/relationships/hyperlink" Target="https://www.ansys.com/content/dam/amp/2021/august/webpage-requests/education-resources-dam-upload-batch-2/material-property-data-for-eng-materials-BOKENGEN21.pdf" TargetMode="External"/><Relationship Id="rId6" Type="http://schemas.openxmlformats.org/officeDocument/2006/relationships/hyperlink" Target="https://www.scientific.net/AMM.672-674.2165" TargetMode="External"/><Relationship Id="rId5" Type="http://schemas.openxmlformats.org/officeDocument/2006/relationships/hyperlink" Target="https://www.bobrick.com/wp-content/uploads/204-2-3_td.pdf" TargetMode="External"/><Relationship Id="rId4" Type="http://schemas.openxmlformats.org/officeDocument/2006/relationships/hyperlink" Target="https://www.matec-conferences.org/articles/matecconf/pdf/2018/34/matecconf_ifcae-iot2018_03014.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A06DD-B2CD-4BE6-9B1A-6CBA3A978E8B}">
  <sheetPr codeName="Sheet1"/>
  <dimension ref="B1:F19"/>
  <sheetViews>
    <sheetView tabSelected="1" zoomScaleNormal="100" workbookViewId="0"/>
  </sheetViews>
  <sheetFormatPr defaultColWidth="9.1796875" defaultRowHeight="25.5" customHeight="1"/>
  <cols>
    <col min="1" max="1" width="13.453125" style="6" customWidth="1"/>
    <col min="2" max="2" width="11.453125" style="6" customWidth="1"/>
    <col min="3" max="3" width="10.81640625" style="6" customWidth="1"/>
    <col min="4" max="4" width="11.453125" style="6" customWidth="1"/>
    <col min="5" max="5" width="11.81640625" style="6" customWidth="1"/>
    <col min="6" max="16384" width="9.1796875" style="6"/>
  </cols>
  <sheetData>
    <row r="1" spans="2:6" s="6" customFormat="1" ht="15.5">
      <c r="B1" s="5" t="s">
        <v>1473</v>
      </c>
      <c r="C1" s="5"/>
      <c r="D1" s="5"/>
      <c r="E1" s="5"/>
      <c r="F1" s="5"/>
    </row>
    <row r="2" spans="2:6" s="6" customFormat="1" ht="15.5" customHeight="1">
      <c r="C2" s="7" t="s">
        <v>1474</v>
      </c>
      <c r="D2" s="7"/>
      <c r="E2" s="7"/>
    </row>
    <row r="3" spans="2:6" s="6" customFormat="1" ht="36.75" customHeight="1">
      <c r="B3" s="8" t="s">
        <v>1472</v>
      </c>
      <c r="C3" s="8"/>
      <c r="D3" s="8"/>
      <c r="E3" s="8"/>
      <c r="F3" s="8"/>
    </row>
    <row r="4" spans="2:6" s="6" customFormat="1" ht="20.149999999999999" customHeight="1">
      <c r="B4" s="8"/>
      <c r="C4" s="8"/>
      <c r="D4" s="8"/>
      <c r="E4" s="8"/>
      <c r="F4" s="8"/>
    </row>
    <row r="6" spans="2:6" s="6" customFormat="1" ht="14"/>
    <row r="7" spans="2:6" s="6" customFormat="1" ht="20">
      <c r="B7" s="8"/>
      <c r="C7" s="8"/>
      <c r="D7" s="8"/>
      <c r="E7" s="8"/>
      <c r="F7" s="8"/>
    </row>
    <row r="9" spans="2:6" s="6" customFormat="1" ht="20">
      <c r="B9" s="8" t="s">
        <v>1475</v>
      </c>
      <c r="C9" s="8"/>
      <c r="D9" s="8"/>
      <c r="E9" s="8"/>
      <c r="F9" s="8"/>
    </row>
    <row r="11" spans="2:6" s="6" customFormat="1" ht="17.5">
      <c r="B11" s="9" t="s">
        <v>1464</v>
      </c>
      <c r="C11" s="9"/>
      <c r="D11" s="9"/>
      <c r="E11" s="9"/>
      <c r="F11" s="9"/>
    </row>
    <row r="17" spans="2:6" s="6" customFormat="1" ht="25.5" customHeight="1">
      <c r="B17" s="8" t="s">
        <v>1475</v>
      </c>
      <c r="C17" s="8"/>
      <c r="D17" s="8"/>
      <c r="E17" s="8"/>
      <c r="F17" s="8"/>
    </row>
    <row r="19" spans="2:6" s="6" customFormat="1" ht="25.5" customHeight="1">
      <c r="B19" s="9" t="s">
        <v>1464</v>
      </c>
      <c r="C19" s="9"/>
      <c r="D19" s="9"/>
      <c r="E19" s="9"/>
      <c r="F19" s="9"/>
    </row>
  </sheetData>
  <sheetProtection sheet="1" objects="1" scenarios="1" formatCells="0" formatColumns="0" formatRows="0" sort="0" autoFilter="0"/>
  <mergeCells count="8">
    <mergeCell ref="B1:F1"/>
    <mergeCell ref="C2:E2"/>
    <mergeCell ref="B17:F17"/>
    <mergeCell ref="B19:F19"/>
    <mergeCell ref="B3:F4"/>
    <mergeCell ref="B7:F7"/>
    <mergeCell ref="B9:F9"/>
    <mergeCell ref="B11:F11"/>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7D579C-70D6-407D-99F1-5B5F21C46E73}">
  <sheetPr codeName="Sheet11"/>
  <dimension ref="A1:E19"/>
  <sheetViews>
    <sheetView workbookViewId="0"/>
  </sheetViews>
  <sheetFormatPr defaultRowHeight="14.5"/>
  <cols>
    <col min="1" max="1" width="35.7265625" style="30" customWidth="1"/>
    <col min="2" max="3" width="8.7265625" style="30"/>
    <col min="4" max="4" width="37.7265625" style="30" customWidth="1"/>
    <col min="5" max="5" width="45.1796875" style="30" customWidth="1"/>
    <col min="6" max="16384" width="8.7265625" style="30"/>
  </cols>
  <sheetData>
    <row r="1" spans="1:5">
      <c r="A1" s="30" t="s">
        <v>470</v>
      </c>
      <c r="B1" s="30" t="s">
        <v>471</v>
      </c>
      <c r="C1" s="30" t="s">
        <v>472</v>
      </c>
      <c r="D1" s="30" t="s">
        <v>180</v>
      </c>
      <c r="E1" s="30" t="s">
        <v>473</v>
      </c>
    </row>
    <row r="2" spans="1:5" ht="26">
      <c r="A2" s="30" t="str">
        <f>'Compiled Articles'!D6</f>
        <v>Air Beds</v>
      </c>
      <c r="B2" s="30">
        <v>1</v>
      </c>
      <c r="C2" s="30">
        <f>'Compiled Articles'!D11</f>
        <v>36</v>
      </c>
      <c r="D2" s="388" t="s">
        <v>24</v>
      </c>
      <c r="E2" s="388" t="s">
        <v>24</v>
      </c>
    </row>
    <row r="3" spans="1:5" ht="26">
      <c r="A3" s="30" t="str">
        <f>'Compiled Articles'!E6</f>
        <v>Car Mats</v>
      </c>
      <c r="B3" s="30">
        <v>1</v>
      </c>
      <c r="C3" s="30">
        <f>'Compiled Articles'!E11</f>
        <v>52</v>
      </c>
      <c r="D3" s="388" t="s">
        <v>24</v>
      </c>
      <c r="E3" s="388" t="s">
        <v>24</v>
      </c>
    </row>
    <row r="4" spans="1:5">
      <c r="A4" s="30" t="str">
        <f>'Compiled Articles'!F6</f>
        <v>Carpet Tiles</v>
      </c>
      <c r="B4" s="30">
        <v>1</v>
      </c>
      <c r="C4" s="30">
        <f>'Compiled Articles'!F11</f>
        <v>365</v>
      </c>
      <c r="D4" s="389" t="s">
        <v>20</v>
      </c>
      <c r="E4" s="389" t="s">
        <v>20</v>
      </c>
    </row>
    <row r="5" spans="1:5" ht="19.899999999999999" customHeight="1">
      <c r="A5" s="30" t="str">
        <f>'Compiled Articles'!G6</f>
        <v>Children's Toys (Legacy)</v>
      </c>
      <c r="B5" s="30">
        <v>1</v>
      </c>
      <c r="C5" s="30">
        <f>'Compiled Articles'!G11</f>
        <v>365</v>
      </c>
      <c r="D5" s="390" t="s">
        <v>21</v>
      </c>
      <c r="E5" s="391" t="s">
        <v>21</v>
      </c>
    </row>
    <row r="6" spans="1:5" ht="21.4" customHeight="1">
      <c r="A6" s="30" t="str">
        <f>'Compiled Articles'!H6</f>
        <v>Children's Toys (New)</v>
      </c>
      <c r="B6" s="30">
        <v>1</v>
      </c>
      <c r="C6" s="30">
        <f>'Compiled Articles'!H11</f>
        <v>365</v>
      </c>
      <c r="D6" s="390" t="s">
        <v>21</v>
      </c>
      <c r="E6" s="391" t="s">
        <v>21</v>
      </c>
    </row>
    <row r="7" spans="1:5" ht="25.5" customHeight="1">
      <c r="A7" s="30" t="str">
        <f>'Compiled Articles'!I6</f>
        <v>Clothing (Synthetic Leather)</v>
      </c>
      <c r="B7" s="30">
        <v>1</v>
      </c>
      <c r="C7" s="30">
        <f>'Compiled Articles'!I11</f>
        <v>52</v>
      </c>
      <c r="D7" s="390" t="s">
        <v>22</v>
      </c>
      <c r="E7" s="391" t="s">
        <v>474</v>
      </c>
    </row>
    <row r="8" spans="1:5" ht="25.15" customHeight="1">
      <c r="A8" s="30" t="str">
        <f>'Compiled Articles'!J6</f>
        <v>Clothing (Children's)</v>
      </c>
      <c r="B8" s="30">
        <v>1</v>
      </c>
      <c r="C8" s="30">
        <f>'Compiled Articles'!J11</f>
        <v>365</v>
      </c>
      <c r="D8" s="390" t="s">
        <v>22</v>
      </c>
      <c r="E8" s="391" t="s">
        <v>474</v>
      </c>
    </row>
    <row r="9" spans="1:5" ht="26">
      <c r="A9" s="30" t="str">
        <f>'Compiled Articles'!K6</f>
        <v>Footwear Components</v>
      </c>
      <c r="B9" s="30">
        <v>1</v>
      </c>
      <c r="C9" s="30">
        <f>'Compiled Articles'!K11</f>
        <v>365</v>
      </c>
      <c r="D9" s="388" t="s">
        <v>24</v>
      </c>
      <c r="E9" s="388" t="s">
        <v>24</v>
      </c>
    </row>
    <row r="10" spans="1:5" ht="26">
      <c r="A10" s="30" t="str">
        <f>'Compiled Articles'!L6</f>
        <v>Furniture Components (Textile)</v>
      </c>
      <c r="B10" s="30">
        <v>1</v>
      </c>
      <c r="C10" s="30">
        <f>'Compiled Articles'!L11</f>
        <v>365</v>
      </c>
      <c r="D10" s="388" t="s">
        <v>22</v>
      </c>
      <c r="E10" s="388" t="s">
        <v>475</v>
      </c>
    </row>
    <row r="11" spans="1:5" ht="26">
      <c r="A11" s="30" t="str">
        <f>'Compiled Articles'!M6</f>
        <v>Shower Curtains</v>
      </c>
      <c r="B11" s="30">
        <v>1</v>
      </c>
      <c r="C11" s="30">
        <f>'Compiled Articles'!M11</f>
        <v>365</v>
      </c>
      <c r="D11" s="388" t="s">
        <v>24</v>
      </c>
      <c r="E11" s="388" t="s">
        <v>24</v>
      </c>
    </row>
    <row r="12" spans="1:5">
      <c r="A12" s="30" t="str">
        <f>'Compiled Articles'!N6</f>
        <v>Small Articles with Potential for semi-routine contact</v>
      </c>
      <c r="B12" s="30">
        <v>1</v>
      </c>
      <c r="C12" s="30">
        <f>'Compiled Articles'!N11</f>
        <v>365</v>
      </c>
      <c r="D12" s="337" t="s">
        <v>476</v>
      </c>
      <c r="E12" s="337" t="s">
        <v>476</v>
      </c>
    </row>
    <row r="13" spans="1:5">
      <c r="A13" s="30" t="str">
        <f>'Compiled Articles'!O6</f>
        <v>Vinyl Flooring</v>
      </c>
      <c r="B13" s="30">
        <v>1</v>
      </c>
      <c r="C13" s="30">
        <f>'Compiled Articles'!O11</f>
        <v>365</v>
      </c>
      <c r="D13" s="389" t="s">
        <v>20</v>
      </c>
      <c r="E13" s="389" t="s">
        <v>20</v>
      </c>
    </row>
    <row r="14" spans="1:5" ht="26">
      <c r="A14" s="30" t="str">
        <f>'Compiled Articles'!P6</f>
        <v>Wallpaper (In Place)</v>
      </c>
      <c r="B14" s="30">
        <v>1</v>
      </c>
      <c r="C14" s="30">
        <f>'Compiled Articles'!P11</f>
        <v>365</v>
      </c>
      <c r="D14" s="388" t="s">
        <v>24</v>
      </c>
      <c r="E14" s="388" t="s">
        <v>24</v>
      </c>
    </row>
    <row r="15" spans="1:5" ht="26">
      <c r="A15" s="30" t="str">
        <f>'Compiled Articles'!Q6</f>
        <v>Wallpaper (Installation)</v>
      </c>
      <c r="B15" s="30">
        <v>1</v>
      </c>
      <c r="C15" s="30">
        <f>'Compiled Articles'!Q11</f>
        <v>1</v>
      </c>
      <c r="D15" s="388" t="s">
        <v>24</v>
      </c>
      <c r="E15" s="388" t="s">
        <v>24</v>
      </c>
    </row>
    <row r="16" spans="1:5" ht="15" thickBot="1">
      <c r="A16" s="74" t="str">
        <f>'Compiled Products'!D1</f>
        <v>Sealants for Small Home Repairs</v>
      </c>
      <c r="B16" s="74">
        <v>1</v>
      </c>
      <c r="C16" s="74">
        <f>'Compiled Products'!D6</f>
        <v>52</v>
      </c>
      <c r="D16" s="392" t="s">
        <v>213</v>
      </c>
      <c r="E16" s="393" t="s">
        <v>213</v>
      </c>
    </row>
    <row r="17" spans="1:5" ht="15" thickBot="1">
      <c r="A17" s="74" t="str">
        <f>'Compiled Products'!E1</f>
        <v>Concrete Adhesive</v>
      </c>
      <c r="B17" s="74">
        <v>1</v>
      </c>
      <c r="C17" s="74">
        <v>2</v>
      </c>
      <c r="D17" s="392" t="s">
        <v>213</v>
      </c>
      <c r="E17" s="393" t="s">
        <v>213</v>
      </c>
    </row>
    <row r="18" spans="1:5" ht="15" thickBot="1">
      <c r="A18" s="74" t="str">
        <f>'Compiled Products'!F1</f>
        <v>Flooring Adhesive</v>
      </c>
      <c r="B18" s="74">
        <v>1</v>
      </c>
      <c r="C18" s="74">
        <f>'Compiled Products'!F6</f>
        <v>2</v>
      </c>
      <c r="D18" s="392" t="s">
        <v>213</v>
      </c>
      <c r="E18" s="393" t="s">
        <v>213</v>
      </c>
    </row>
    <row r="19" spans="1:5" ht="31">
      <c r="A19" s="30" t="s">
        <v>477</v>
      </c>
      <c r="B19" s="30">
        <v>1</v>
      </c>
      <c r="C19" s="30">
        <v>78</v>
      </c>
      <c r="D19" s="236" t="s">
        <v>24</v>
      </c>
      <c r="E19" s="237" t="s">
        <v>24</v>
      </c>
    </row>
  </sheetData>
  <sheetProtection sheet="1" objects="1" scenarios="1" formatCells="0" formatColumns="0" formatRows="0" sort="0" autoFilter="0"/>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106680-0B38-4163-8870-02034BC131B3}">
  <sheetPr codeName="Sheet12"/>
  <dimension ref="A1:BW133"/>
  <sheetViews>
    <sheetView topLeftCell="A6" zoomScale="90" zoomScaleNormal="90" workbookViewId="0">
      <pane ySplit="1" topLeftCell="A7" activePane="bottomLeft" state="frozen"/>
      <selection activeCell="O16" sqref="N16:P17"/>
      <selection pane="bottomLeft"/>
    </sheetView>
  </sheetViews>
  <sheetFormatPr defaultRowHeight="14.5"/>
  <cols>
    <col min="1" max="1" width="36.54296875" style="255" customWidth="1"/>
    <col min="2" max="2" width="11.453125" style="152" customWidth="1"/>
    <col min="3" max="3" width="8.54296875" style="255" customWidth="1"/>
    <col min="4" max="4" width="21.26953125" style="74" customWidth="1"/>
    <col min="5" max="5" width="23.26953125" style="209" customWidth="1"/>
    <col min="6" max="6" width="21.26953125" style="74" customWidth="1"/>
    <col min="7" max="7" width="22.7265625" style="209" customWidth="1"/>
    <col min="8" max="8" width="23" style="209" customWidth="1"/>
    <col min="9" max="10" width="18.7265625" style="30" customWidth="1"/>
    <col min="11" max="11" width="20.7265625" style="152" customWidth="1"/>
    <col min="12" max="12" width="20.26953125" style="30" customWidth="1"/>
    <col min="13" max="14" width="24" style="152" customWidth="1"/>
    <col min="15" max="15" width="21.26953125" style="74" customWidth="1"/>
    <col min="16" max="16" width="28.7265625" style="30" customWidth="1"/>
    <col min="17" max="17" width="24" style="152" customWidth="1"/>
    <col min="18" max="18" width="20.26953125" style="152" customWidth="1"/>
    <col min="19" max="21" width="8.7265625" style="30"/>
    <col min="22" max="22" width="10.26953125" style="30" bestFit="1" customWidth="1"/>
    <col min="23" max="27" width="8.7265625" style="30"/>
    <col min="28" max="28" width="11.453125" style="30" hidden="1" customWidth="1"/>
    <col min="29" max="29" width="0" style="30" hidden="1" customWidth="1"/>
    <col min="30" max="30" width="8.7265625" style="30" hidden="1" customWidth="1"/>
    <col min="31" max="31" width="10.7265625" style="30" hidden="1" customWidth="1"/>
    <col min="32" max="36" width="8.7265625" style="30" hidden="1" customWidth="1"/>
    <col min="37" max="43" width="0" style="30" hidden="1" customWidth="1"/>
    <col min="44" max="45" width="10.7265625" style="30" hidden="1" customWidth="1"/>
    <col min="46" max="50" width="8.7265625" style="30" hidden="1" customWidth="1"/>
    <col min="51" max="16384" width="8.7265625" style="30"/>
  </cols>
  <sheetData>
    <row r="1" spans="1:75" s="400" customFormat="1" ht="18" customHeight="1">
      <c r="A1" s="394" t="s">
        <v>303</v>
      </c>
      <c r="B1" s="395"/>
      <c r="C1" s="396"/>
      <c r="D1" s="397"/>
      <c r="E1" s="398" t="s">
        <v>304</v>
      </c>
      <c r="F1" s="397"/>
      <c r="G1" s="399"/>
      <c r="H1" s="399"/>
      <c r="K1" s="401"/>
      <c r="O1" s="397"/>
      <c r="R1" s="402"/>
    </row>
    <row r="2" spans="1:75" s="400" customFormat="1" ht="13.15" customHeight="1">
      <c r="A2" s="403" t="s">
        <v>305</v>
      </c>
      <c r="B2" s="404"/>
      <c r="C2" s="405"/>
      <c r="D2" s="397"/>
      <c r="E2" s="406" t="s">
        <v>306</v>
      </c>
      <c r="F2" s="397"/>
      <c r="G2" s="407" t="s">
        <v>307</v>
      </c>
      <c r="H2" s="408"/>
      <c r="K2" s="409"/>
      <c r="O2" s="397"/>
      <c r="R2" s="402"/>
    </row>
    <row r="3" spans="1:75" s="400" customFormat="1" ht="13.15" customHeight="1">
      <c r="A3" s="403"/>
      <c r="B3" s="404"/>
      <c r="C3" s="405"/>
      <c r="D3" s="397"/>
      <c r="E3" s="406" t="s">
        <v>308</v>
      </c>
      <c r="F3" s="397"/>
      <c r="G3" s="407" t="s">
        <v>309</v>
      </c>
      <c r="H3" s="408"/>
      <c r="K3" s="409"/>
      <c r="O3" s="397"/>
      <c r="R3" s="402"/>
    </row>
    <row r="4" spans="1:75" s="400" customFormat="1" ht="13.15" customHeight="1" thickBot="1">
      <c r="B4" s="410"/>
      <c r="D4" s="397"/>
      <c r="E4" s="411" t="s">
        <v>310</v>
      </c>
      <c r="F4" s="397"/>
      <c r="G4" s="412"/>
      <c r="H4" s="412"/>
      <c r="K4" s="413"/>
      <c r="O4" s="397"/>
      <c r="R4" s="402"/>
    </row>
    <row r="5" spans="1:75" s="400" customFormat="1" ht="13.15" customHeight="1">
      <c r="A5" s="403"/>
      <c r="B5" s="404"/>
      <c r="C5" s="405"/>
      <c r="D5" s="397"/>
      <c r="E5" s="405"/>
      <c r="F5" s="397"/>
      <c r="G5" s="405"/>
      <c r="H5" s="405"/>
      <c r="K5" s="405"/>
      <c r="M5" s="405"/>
      <c r="N5" s="405"/>
      <c r="O5" s="397"/>
      <c r="Q5" s="405"/>
      <c r="R5" s="402"/>
    </row>
    <row r="6" spans="1:75" s="74" customFormat="1" ht="43.5">
      <c r="A6" s="414" t="s">
        <v>294</v>
      </c>
      <c r="B6" s="415"/>
      <c r="C6" s="416"/>
      <c r="D6" s="417" t="str">
        <f>Crosswalk!R2</f>
        <v>Air Beds</v>
      </c>
      <c r="E6" s="417" t="str">
        <f>Crosswalk!S2</f>
        <v>Car Mats</v>
      </c>
      <c r="F6" s="417" t="str">
        <f>Crosswalk!T2</f>
        <v>Carpet Tiles</v>
      </c>
      <c r="G6" s="417" t="str">
        <f>Crosswalk!U2</f>
        <v>Children's Toys (Legacy)</v>
      </c>
      <c r="H6" s="417" t="str">
        <f>Crosswalk!V2</f>
        <v>Children's Toys (New)</v>
      </c>
      <c r="I6" s="417" t="str">
        <f>Crosswalk!W2</f>
        <v>Clothing (Synthetic Leather)</v>
      </c>
      <c r="J6" s="417" t="str">
        <f>Crosswalk!X2</f>
        <v>Clothing (Children's)</v>
      </c>
      <c r="K6" s="417" t="str">
        <f>Crosswalk!Y2</f>
        <v>Footwear Components</v>
      </c>
      <c r="L6" s="417" t="str">
        <f>Crosswalk!Z2</f>
        <v>Furniture Components (Textile)</v>
      </c>
      <c r="M6" s="417" t="str">
        <f>Crosswalk!AA2</f>
        <v>Shower Curtains</v>
      </c>
      <c r="N6" s="417" t="s">
        <v>311</v>
      </c>
      <c r="O6" s="417" t="str">
        <f>Crosswalk!AB2</f>
        <v>Vinyl Flooring</v>
      </c>
      <c r="P6" s="417" t="s">
        <v>312</v>
      </c>
      <c r="Q6" s="417" t="s">
        <v>313</v>
      </c>
    </row>
    <row r="7" spans="1:75" s="74" customFormat="1" ht="43.5">
      <c r="A7" s="418" t="s">
        <v>314</v>
      </c>
      <c r="B7" s="418"/>
      <c r="C7" s="418"/>
      <c r="D7" s="418" t="s">
        <v>315</v>
      </c>
      <c r="E7" s="418" t="s">
        <v>315</v>
      </c>
      <c r="F7" s="418" t="s">
        <v>315</v>
      </c>
      <c r="G7" s="418" t="s">
        <v>316</v>
      </c>
      <c r="H7" s="418" t="s">
        <v>316</v>
      </c>
      <c r="I7" s="418" t="s">
        <v>231</v>
      </c>
      <c r="J7" s="418" t="s">
        <v>317</v>
      </c>
      <c r="K7" s="418" t="s">
        <v>231</v>
      </c>
      <c r="L7" s="418" t="s">
        <v>316</v>
      </c>
      <c r="M7" s="418" t="s">
        <v>315</v>
      </c>
      <c r="N7" s="418" t="s">
        <v>231</v>
      </c>
      <c r="O7" s="418" t="s">
        <v>315</v>
      </c>
      <c r="P7" s="418" t="s">
        <v>315</v>
      </c>
      <c r="Q7" s="418" t="s">
        <v>231</v>
      </c>
    </row>
    <row r="8" spans="1:75" s="421" customFormat="1" ht="29">
      <c r="A8" s="419" t="s">
        <v>318</v>
      </c>
      <c r="B8" s="420" t="s">
        <v>319</v>
      </c>
      <c r="C8" s="420" t="s">
        <v>320</v>
      </c>
      <c r="D8" s="420" t="s">
        <v>321</v>
      </c>
      <c r="E8" s="420" t="s">
        <v>321</v>
      </c>
      <c r="F8" s="420" t="s">
        <v>321</v>
      </c>
      <c r="G8" s="420" t="s">
        <v>321</v>
      </c>
      <c r="H8" s="420" t="s">
        <v>321</v>
      </c>
      <c r="I8" s="420" t="s">
        <v>321</v>
      </c>
      <c r="J8" s="420" t="s">
        <v>321</v>
      </c>
      <c r="K8" s="420"/>
      <c r="L8" s="420" t="s">
        <v>321</v>
      </c>
      <c r="M8" s="420" t="s">
        <v>321</v>
      </c>
      <c r="N8" s="420"/>
      <c r="O8" s="420" t="s">
        <v>321</v>
      </c>
      <c r="P8" s="420" t="s">
        <v>321</v>
      </c>
      <c r="Q8" s="420" t="s">
        <v>321</v>
      </c>
      <c r="S8" s="30"/>
      <c r="T8" s="30"/>
      <c r="U8" s="30"/>
      <c r="V8" s="30"/>
      <c r="W8" s="30"/>
      <c r="X8" s="30"/>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row>
    <row r="9" spans="1:75" s="74" customFormat="1" ht="40.5" customHeight="1">
      <c r="A9" s="422" t="s">
        <v>322</v>
      </c>
      <c r="B9" s="423"/>
      <c r="C9" s="424"/>
      <c r="D9" s="246" t="s">
        <v>323</v>
      </c>
      <c r="E9" s="246" t="s">
        <v>324</v>
      </c>
      <c r="F9" s="246" t="s">
        <v>323</v>
      </c>
      <c r="G9" s="246" t="s">
        <v>325</v>
      </c>
      <c r="H9" s="246" t="s">
        <v>325</v>
      </c>
      <c r="I9" s="246" t="s">
        <v>324</v>
      </c>
      <c r="J9" s="246" t="s">
        <v>323</v>
      </c>
      <c r="K9" s="246" t="s">
        <v>323</v>
      </c>
      <c r="L9" s="246" t="s">
        <v>323</v>
      </c>
      <c r="M9" s="246" t="s">
        <v>323</v>
      </c>
      <c r="N9" s="246" t="s">
        <v>323</v>
      </c>
      <c r="O9" s="246" t="s">
        <v>323</v>
      </c>
      <c r="P9" s="246" t="s">
        <v>325</v>
      </c>
      <c r="Q9" s="246" t="s">
        <v>324</v>
      </c>
    </row>
    <row r="10" spans="1:75" s="74" customFormat="1" ht="40.5" customHeight="1">
      <c r="A10" s="425" t="s">
        <v>326</v>
      </c>
      <c r="B10" s="426" t="s">
        <v>327</v>
      </c>
      <c r="C10" s="424"/>
      <c r="D10" s="246">
        <v>1</v>
      </c>
      <c r="E10" s="246">
        <v>1</v>
      </c>
      <c r="F10" s="246">
        <v>1</v>
      </c>
      <c r="G10" s="246">
        <v>1</v>
      </c>
      <c r="H10" s="246">
        <v>1</v>
      </c>
      <c r="I10" s="246">
        <v>1</v>
      </c>
      <c r="J10" s="246">
        <v>1</v>
      </c>
      <c r="K10" s="246">
        <v>1</v>
      </c>
      <c r="L10" s="246">
        <v>1</v>
      </c>
      <c r="M10" s="246">
        <v>1</v>
      </c>
      <c r="N10" s="246">
        <v>1</v>
      </c>
      <c r="O10" s="246">
        <v>1</v>
      </c>
      <c r="P10" s="246">
        <v>1</v>
      </c>
      <c r="Q10" s="246">
        <v>1</v>
      </c>
    </row>
    <row r="11" spans="1:75" s="74" customFormat="1" ht="40.5" customHeight="1">
      <c r="A11" s="425" t="s">
        <v>326</v>
      </c>
      <c r="B11" s="426" t="s">
        <v>328</v>
      </c>
      <c r="C11" s="424"/>
      <c r="D11" s="246">
        <v>36</v>
      </c>
      <c r="E11" s="246">
        <v>52</v>
      </c>
      <c r="F11" s="246">
        <v>365</v>
      </c>
      <c r="G11" s="246">
        <v>365</v>
      </c>
      <c r="H11" s="246">
        <v>365</v>
      </c>
      <c r="I11" s="246">
        <v>52</v>
      </c>
      <c r="J11" s="246">
        <v>365</v>
      </c>
      <c r="K11" s="246">
        <v>365</v>
      </c>
      <c r="L11" s="246">
        <v>365</v>
      </c>
      <c r="M11" s="246">
        <v>365</v>
      </c>
      <c r="N11" s="246">
        <v>365</v>
      </c>
      <c r="O11" s="246">
        <v>365</v>
      </c>
      <c r="P11" s="246">
        <v>365</v>
      </c>
      <c r="Q11" s="246">
        <v>1</v>
      </c>
    </row>
    <row r="12" spans="1:75" s="74" customFormat="1" ht="19.5" customHeight="1">
      <c r="A12" s="427" t="s">
        <v>329</v>
      </c>
      <c r="B12" s="428" t="s">
        <v>330</v>
      </c>
      <c r="C12" s="429" t="s">
        <v>296</v>
      </c>
      <c r="D12" s="430">
        <v>857</v>
      </c>
      <c r="E12" s="431">
        <v>60</v>
      </c>
      <c r="F12" s="432">
        <v>120</v>
      </c>
      <c r="G12" s="432">
        <v>137</v>
      </c>
      <c r="H12" s="432">
        <v>137</v>
      </c>
      <c r="I12" s="432">
        <v>480</v>
      </c>
      <c r="J12" s="432">
        <v>480</v>
      </c>
      <c r="K12" s="432">
        <v>480</v>
      </c>
      <c r="L12" s="432">
        <v>480</v>
      </c>
      <c r="M12" s="432">
        <v>60</v>
      </c>
      <c r="N12" s="431">
        <v>120</v>
      </c>
      <c r="O12" s="432">
        <v>120</v>
      </c>
      <c r="P12" s="432">
        <v>60</v>
      </c>
      <c r="Q12" s="431">
        <v>480</v>
      </c>
    </row>
    <row r="13" spans="1:75" s="74" customFormat="1" ht="18.649999999999999" customHeight="1">
      <c r="A13" s="433"/>
      <c r="B13" s="434"/>
      <c r="C13" s="429" t="s">
        <v>302</v>
      </c>
      <c r="D13" s="435">
        <v>480</v>
      </c>
      <c r="E13" s="431">
        <v>30</v>
      </c>
      <c r="F13" s="432">
        <v>60</v>
      </c>
      <c r="G13" s="432">
        <v>88</v>
      </c>
      <c r="H13" s="432">
        <v>88</v>
      </c>
      <c r="I13" s="432">
        <v>240</v>
      </c>
      <c r="J13" s="432">
        <v>240</v>
      </c>
      <c r="K13" s="432">
        <v>240</v>
      </c>
      <c r="L13" s="432">
        <v>240</v>
      </c>
      <c r="M13" s="432">
        <v>30</v>
      </c>
      <c r="N13" s="431">
        <v>60</v>
      </c>
      <c r="O13" s="432">
        <v>60</v>
      </c>
      <c r="P13" s="432">
        <v>30</v>
      </c>
      <c r="Q13" s="431">
        <v>240</v>
      </c>
    </row>
    <row r="14" spans="1:75" s="74" customFormat="1" ht="15" customHeight="1">
      <c r="A14" s="433"/>
      <c r="B14" s="434"/>
      <c r="C14" s="429" t="s">
        <v>298</v>
      </c>
      <c r="D14" s="435">
        <v>120</v>
      </c>
      <c r="E14" s="431">
        <v>15</v>
      </c>
      <c r="F14" s="432">
        <v>30</v>
      </c>
      <c r="G14" s="432">
        <v>24</v>
      </c>
      <c r="H14" s="432">
        <v>24</v>
      </c>
      <c r="I14" s="432">
        <v>120</v>
      </c>
      <c r="J14" s="432">
        <v>120</v>
      </c>
      <c r="K14" s="432">
        <v>120</v>
      </c>
      <c r="L14" s="432">
        <v>120</v>
      </c>
      <c r="M14" s="432">
        <v>15</v>
      </c>
      <c r="N14" s="431">
        <v>30</v>
      </c>
      <c r="O14" s="432">
        <v>30</v>
      </c>
      <c r="P14" s="432">
        <v>15</v>
      </c>
      <c r="Q14" s="431">
        <v>120</v>
      </c>
    </row>
    <row r="15" spans="1:75" s="441" customFormat="1" ht="20.149999999999999" customHeight="1">
      <c r="A15" s="436" t="s">
        <v>331</v>
      </c>
      <c r="B15" s="437"/>
      <c r="C15" s="438"/>
      <c r="D15" s="439"/>
      <c r="E15" s="440"/>
      <c r="F15" s="439"/>
      <c r="G15" s="439"/>
      <c r="H15" s="439"/>
      <c r="I15" s="439"/>
      <c r="J15" s="439"/>
      <c r="K15" s="439"/>
      <c r="L15" s="439"/>
      <c r="M15" s="439"/>
      <c r="N15" s="439"/>
      <c r="O15" s="439"/>
      <c r="P15" s="439"/>
      <c r="Q15" s="440"/>
      <c r="S15" s="74"/>
      <c r="T15" s="74"/>
      <c r="U15" s="74"/>
      <c r="V15" s="74"/>
      <c r="W15" s="74"/>
      <c r="X15" s="74"/>
      <c r="Y15" s="74"/>
      <c r="Z15" s="74"/>
      <c r="AA15" s="74"/>
      <c r="AB15" s="74"/>
      <c r="AC15" s="74"/>
      <c r="AD15" s="74"/>
      <c r="AE15" s="74"/>
      <c r="AF15" s="74"/>
      <c r="AG15" s="74"/>
      <c r="AH15" s="74"/>
      <c r="AI15" s="74"/>
      <c r="AJ15" s="74"/>
      <c r="AK15" s="74"/>
      <c r="AL15" s="74"/>
      <c r="AM15" s="74"/>
      <c r="AN15" s="74"/>
      <c r="AO15" s="74"/>
      <c r="AP15" s="74"/>
      <c r="AQ15" s="74"/>
      <c r="AR15" s="74"/>
      <c r="AS15" s="74"/>
      <c r="AT15" s="74"/>
      <c r="AU15" s="74"/>
      <c r="AV15" s="74"/>
      <c r="AW15" s="74"/>
      <c r="AX15" s="74"/>
      <c r="AY15" s="74"/>
      <c r="AZ15" s="74"/>
      <c r="BA15" s="74"/>
      <c r="BB15" s="74"/>
      <c r="BC15" s="74"/>
      <c r="BD15" s="74"/>
      <c r="BE15" s="74"/>
      <c r="BF15" s="74"/>
      <c r="BG15" s="74"/>
      <c r="BH15" s="74"/>
      <c r="BI15" s="74"/>
      <c r="BJ15" s="74"/>
      <c r="BK15" s="74"/>
      <c r="BL15" s="74"/>
      <c r="BM15" s="74"/>
      <c r="BN15" s="74"/>
      <c r="BO15" s="74"/>
      <c r="BP15" s="74"/>
      <c r="BQ15" s="74"/>
      <c r="BR15" s="74"/>
      <c r="BS15" s="74"/>
      <c r="BT15" s="74"/>
      <c r="BU15" s="74"/>
      <c r="BV15" s="74"/>
      <c r="BW15" s="74"/>
    </row>
    <row r="16" spans="1:75" s="74" customFormat="1" ht="32.15" customHeight="1">
      <c r="A16" s="442" t="s">
        <v>332</v>
      </c>
      <c r="B16" s="443"/>
      <c r="C16" s="444"/>
      <c r="D16" s="246" t="s">
        <v>333</v>
      </c>
      <c r="E16" s="246" t="s">
        <v>333</v>
      </c>
      <c r="F16" s="246" t="s">
        <v>333</v>
      </c>
      <c r="G16" s="246" t="s">
        <v>334</v>
      </c>
      <c r="H16" s="246" t="s">
        <v>334</v>
      </c>
      <c r="I16" s="445" t="s">
        <v>335</v>
      </c>
      <c r="J16" s="445" t="s">
        <v>335</v>
      </c>
      <c r="K16" s="446" t="s">
        <v>335</v>
      </c>
      <c r="L16" s="161" t="s">
        <v>334</v>
      </c>
      <c r="M16" s="246" t="s">
        <v>333</v>
      </c>
      <c r="N16" s="446" t="s">
        <v>335</v>
      </c>
      <c r="O16" s="246" t="s">
        <v>333</v>
      </c>
      <c r="P16" s="161" t="s">
        <v>333</v>
      </c>
      <c r="Q16" s="446" t="s">
        <v>335</v>
      </c>
    </row>
    <row r="17" spans="1:75" s="74" customFormat="1" ht="65.650000000000006" customHeight="1">
      <c r="A17" s="447" t="s">
        <v>336</v>
      </c>
      <c r="B17" s="448"/>
      <c r="C17" s="449"/>
      <c r="D17" s="246" t="s">
        <v>337</v>
      </c>
      <c r="E17" s="246" t="s">
        <v>338</v>
      </c>
      <c r="F17" s="246" t="s">
        <v>337</v>
      </c>
      <c r="G17" s="246" t="s">
        <v>338</v>
      </c>
      <c r="H17" s="246" t="s">
        <v>338</v>
      </c>
      <c r="I17" s="445"/>
      <c r="J17" s="445"/>
      <c r="K17" s="450"/>
      <c r="L17" s="161" t="s">
        <v>339</v>
      </c>
      <c r="M17" s="246" t="s">
        <v>340</v>
      </c>
      <c r="N17" s="450"/>
      <c r="O17" s="246" t="s">
        <v>337</v>
      </c>
      <c r="P17" s="161" t="s">
        <v>341</v>
      </c>
      <c r="Q17" s="450"/>
    </row>
    <row r="18" spans="1:75" s="80" customFormat="1" ht="30.65" customHeight="1">
      <c r="A18" s="420" t="s">
        <v>342</v>
      </c>
      <c r="B18" s="420" t="s">
        <v>319</v>
      </c>
      <c r="C18" s="420" t="s">
        <v>320</v>
      </c>
      <c r="D18" s="420" t="s">
        <v>321</v>
      </c>
      <c r="E18" s="420" t="s">
        <v>321</v>
      </c>
      <c r="F18" s="420" t="s">
        <v>321</v>
      </c>
      <c r="G18" s="420" t="s">
        <v>321</v>
      </c>
      <c r="H18" s="420" t="s">
        <v>321</v>
      </c>
      <c r="I18" s="420" t="s">
        <v>321</v>
      </c>
      <c r="J18" s="420" t="s">
        <v>321</v>
      </c>
      <c r="K18" s="420"/>
      <c r="L18" s="420" t="s">
        <v>321</v>
      </c>
      <c r="M18" s="420" t="s">
        <v>321</v>
      </c>
      <c r="N18" s="420"/>
      <c r="O18" s="420" t="s">
        <v>321</v>
      </c>
      <c r="P18" s="420" t="s">
        <v>321</v>
      </c>
      <c r="Q18" s="420" t="s">
        <v>321</v>
      </c>
    </row>
    <row r="19" spans="1:75">
      <c r="A19" s="451" t="s">
        <v>343</v>
      </c>
      <c r="B19" s="452"/>
      <c r="C19" s="453"/>
      <c r="D19" s="454"/>
      <c r="E19" s="454"/>
      <c r="F19" s="454"/>
      <c r="G19" s="454"/>
      <c r="H19" s="454"/>
      <c r="I19" s="454"/>
      <c r="J19" s="452"/>
      <c r="K19" s="452"/>
      <c r="L19" s="454"/>
      <c r="M19" s="452"/>
      <c r="N19" s="452"/>
      <c r="O19" s="454"/>
      <c r="P19" s="454"/>
      <c r="Q19" s="452"/>
      <c r="V19" s="455"/>
    </row>
    <row r="20" spans="1:75">
      <c r="A20" s="456" t="s">
        <v>344</v>
      </c>
      <c r="B20" s="457" t="s">
        <v>345</v>
      </c>
      <c r="C20" s="458" t="s">
        <v>296</v>
      </c>
      <c r="D20" s="459">
        <f>Crosswalk!R3</f>
        <v>1.1E-5</v>
      </c>
      <c r="E20" s="459">
        <f>Crosswalk!S3</f>
        <v>3.0000000000000001E-5</v>
      </c>
      <c r="F20" s="459">
        <f>Crosswalk!R3</f>
        <v>1.1E-5</v>
      </c>
      <c r="G20" s="459">
        <f>Crosswalk!U3</f>
        <v>0.01</v>
      </c>
      <c r="H20" s="459">
        <f>Crosswalk!V3</f>
        <v>1E-3</v>
      </c>
      <c r="I20" s="460" t="s">
        <v>346</v>
      </c>
      <c r="J20" s="460" t="s">
        <v>346</v>
      </c>
      <c r="K20" s="460" t="s">
        <v>346</v>
      </c>
      <c r="L20" s="459">
        <f>Crosswalk!Z3</f>
        <v>1.6250000000000001E-2</v>
      </c>
      <c r="M20" s="459">
        <f>Crosswalk!AA3</f>
        <v>1.73E-4</v>
      </c>
      <c r="N20" s="460" t="s">
        <v>346</v>
      </c>
      <c r="O20" s="459">
        <f>Crosswalk!AB3</f>
        <v>7.3649999999999993E-2</v>
      </c>
      <c r="P20" s="459">
        <f>Crosswalk!AC3</f>
        <v>6.2600000000000004E-4</v>
      </c>
      <c r="Q20" s="460" t="s">
        <v>346</v>
      </c>
    </row>
    <row r="21" spans="1:75" ht="15" thickBot="1">
      <c r="A21" s="456"/>
      <c r="B21" s="457"/>
      <c r="C21" s="458" t="s">
        <v>302</v>
      </c>
      <c r="D21" s="459">
        <f>Crosswalk!R4</f>
        <v>1.1E-5</v>
      </c>
      <c r="E21" s="459">
        <f>Crosswalk!S4</f>
        <v>2.0000000000000002E-5</v>
      </c>
      <c r="F21" s="459">
        <f>Crosswalk!R4</f>
        <v>1.1E-5</v>
      </c>
      <c r="G21" s="459">
        <f>Crosswalk!U4</f>
        <v>2.9999999999999997E-4</v>
      </c>
      <c r="H21" s="459">
        <f>Crosswalk!V4</f>
        <v>1E-3</v>
      </c>
      <c r="I21" s="460" t="s">
        <v>346</v>
      </c>
      <c r="J21" s="460" t="s">
        <v>346</v>
      </c>
      <c r="K21" s="460" t="s">
        <v>346</v>
      </c>
      <c r="L21" s="459">
        <f>Crosswalk!Z4</f>
        <v>1.4247692307692308E-3</v>
      </c>
      <c r="M21" s="459">
        <f>Crosswalk!AA4</f>
        <v>1.0970000000000001E-4</v>
      </c>
      <c r="N21" s="460" t="s">
        <v>346</v>
      </c>
      <c r="O21" s="459">
        <f>Crosswalk!AB4</f>
        <v>2.5669833333333333E-2</v>
      </c>
      <c r="P21" s="459">
        <f>Crosswalk!AC4</f>
        <v>8.7666666666666679E-5</v>
      </c>
      <c r="Q21" s="460" t="s">
        <v>346</v>
      </c>
    </row>
    <row r="22" spans="1:75" ht="16.149999999999999" customHeight="1" thickBot="1">
      <c r="A22" s="456"/>
      <c r="B22" s="457"/>
      <c r="C22" s="458" t="s">
        <v>298</v>
      </c>
      <c r="D22" s="459">
        <f>Crosswalk!R5</f>
        <v>1.1E-5</v>
      </c>
      <c r="E22" s="459">
        <f>Crosswalk!S5</f>
        <v>1.0000000000000001E-5</v>
      </c>
      <c r="F22" s="459">
        <f>Crosswalk!R5</f>
        <v>1.1E-5</v>
      </c>
      <c r="G22" s="459">
        <f>Crosswalk!U5</f>
        <v>1E-4</v>
      </c>
      <c r="H22" s="459">
        <f>Crosswalk!V5</f>
        <v>1E-3</v>
      </c>
      <c r="I22" s="460" t="s">
        <v>346</v>
      </c>
      <c r="J22" s="460" t="s">
        <v>346</v>
      </c>
      <c r="K22" s="460" t="s">
        <v>346</v>
      </c>
      <c r="L22" s="459">
        <f>Crosswalk!Z5</f>
        <v>7.9999999999999996E-6</v>
      </c>
      <c r="M22" s="459">
        <f>Crosswalk!AA5</f>
        <v>6.4200000000000002E-5</v>
      </c>
      <c r="N22" s="460" t="s">
        <v>346</v>
      </c>
      <c r="O22" s="459">
        <f>Crosswalk!AB5</f>
        <v>5.5999999999999999E-5</v>
      </c>
      <c r="P22" s="459">
        <f>Crosswalk!AC5</f>
        <v>5.0000000000000004E-6</v>
      </c>
      <c r="Q22" s="460" t="s">
        <v>346</v>
      </c>
      <c r="AB22" s="461" t="s">
        <v>294</v>
      </c>
      <c r="AC22" s="462" t="s">
        <v>347</v>
      </c>
      <c r="AD22" s="462" t="s">
        <v>348</v>
      </c>
      <c r="AE22" s="462" t="s">
        <v>349</v>
      </c>
      <c r="AF22" s="462" t="s">
        <v>350</v>
      </c>
      <c r="AG22" s="462" t="s">
        <v>351</v>
      </c>
      <c r="AH22" s="462" t="s">
        <v>352</v>
      </c>
      <c r="AI22" s="462" t="s">
        <v>353</v>
      </c>
      <c r="AJ22" s="462" t="s">
        <v>354</v>
      </c>
      <c r="AP22" s="461" t="s">
        <v>294</v>
      </c>
      <c r="AQ22" s="462" t="s">
        <v>347</v>
      </c>
      <c r="AR22" s="462" t="s">
        <v>348</v>
      </c>
      <c r="AS22" s="462" t="s">
        <v>349</v>
      </c>
      <c r="AT22" s="462" t="s">
        <v>350</v>
      </c>
      <c r="AU22" s="463" t="s">
        <v>351</v>
      </c>
      <c r="AV22" s="462" t="s">
        <v>352</v>
      </c>
      <c r="AW22" s="462" t="s">
        <v>353</v>
      </c>
      <c r="AX22" s="462" t="s">
        <v>354</v>
      </c>
    </row>
    <row r="23" spans="1:75" ht="15.65" customHeight="1" thickTop="1" thickBot="1">
      <c r="A23" s="464" t="s">
        <v>355</v>
      </c>
      <c r="B23" s="465" t="s">
        <v>356</v>
      </c>
      <c r="C23" s="458" t="s">
        <v>296</v>
      </c>
      <c r="D23" s="466">
        <v>0.22399999999999998</v>
      </c>
      <c r="E23" s="466">
        <v>5.1800000000000006E-2</v>
      </c>
      <c r="F23" s="466">
        <v>0.35</v>
      </c>
      <c r="G23" s="466">
        <v>0.5865999999999999</v>
      </c>
      <c r="H23" s="466">
        <v>1.3999999999999999E-2</v>
      </c>
      <c r="I23" s="467" t="s">
        <v>346</v>
      </c>
      <c r="J23" s="467" t="s">
        <v>346</v>
      </c>
      <c r="K23" s="467" t="s">
        <v>346</v>
      </c>
      <c r="L23" s="466">
        <v>0.48999999999999994</v>
      </c>
      <c r="M23" s="466">
        <v>0.14279999999999998</v>
      </c>
      <c r="N23" s="467" t="s">
        <v>346</v>
      </c>
      <c r="O23" s="466">
        <v>0.35</v>
      </c>
      <c r="P23" s="466">
        <v>0.36399999999999999</v>
      </c>
      <c r="Q23" s="467" t="s">
        <v>346</v>
      </c>
      <c r="AB23" s="468" t="e">
        <f>#REF!</f>
        <v>#REF!</v>
      </c>
      <c r="AC23" s="469" t="s">
        <v>296</v>
      </c>
      <c r="AD23" s="470" t="e">
        <f>#REF!</f>
        <v>#REF!</v>
      </c>
      <c r="AE23" s="470" t="e">
        <f>AD23*1.4*1000</f>
        <v>#REF!</v>
      </c>
      <c r="AF23" s="470">
        <v>1.4</v>
      </c>
      <c r="AG23" s="470" t="e">
        <f>#REF!</f>
        <v>#REF!</v>
      </c>
      <c r="AH23" s="471" t="e">
        <f>#REF!</f>
        <v>#REF!</v>
      </c>
      <c r="AI23" s="471" t="e">
        <f>#REF!</f>
        <v>#REF!</v>
      </c>
      <c r="AJ23" s="471" t="e">
        <f>#REF!</f>
        <v>#REF!</v>
      </c>
      <c r="AP23" s="468" t="s">
        <v>197</v>
      </c>
      <c r="AQ23" s="469" t="s">
        <v>296</v>
      </c>
      <c r="AR23" s="472">
        <v>0.30399999999999999</v>
      </c>
      <c r="AS23" s="469">
        <v>425.59999999999997</v>
      </c>
      <c r="AT23" s="473">
        <v>1.4</v>
      </c>
      <c r="AU23" s="474">
        <v>7.2</v>
      </c>
      <c r="AV23" s="475">
        <v>0.01</v>
      </c>
      <c r="AW23" s="468">
        <v>492</v>
      </c>
      <c r="AX23" s="476">
        <v>1.0000000000000001E-30</v>
      </c>
    </row>
    <row r="24" spans="1:75" ht="15" thickBot="1">
      <c r="A24" s="477" t="s">
        <v>357</v>
      </c>
      <c r="B24" s="157" t="s">
        <v>358</v>
      </c>
      <c r="C24" s="478"/>
      <c r="D24" s="161">
        <v>0</v>
      </c>
      <c r="E24" s="161" t="s">
        <v>346</v>
      </c>
      <c r="F24" s="161">
        <v>0</v>
      </c>
      <c r="G24" s="161">
        <v>0</v>
      </c>
      <c r="H24" s="161">
        <v>0</v>
      </c>
      <c r="I24" s="467" t="s">
        <v>346</v>
      </c>
      <c r="J24" s="467" t="s">
        <v>346</v>
      </c>
      <c r="K24" s="467" t="s">
        <v>346</v>
      </c>
      <c r="L24" s="161">
        <v>0</v>
      </c>
      <c r="M24" s="161">
        <v>0</v>
      </c>
      <c r="N24" s="479">
        <v>0</v>
      </c>
      <c r="O24" s="161">
        <v>0</v>
      </c>
      <c r="P24" s="161">
        <v>0</v>
      </c>
      <c r="Q24" s="467" t="s">
        <v>346</v>
      </c>
      <c r="AB24" s="480"/>
      <c r="AC24" s="469" t="s">
        <v>297</v>
      </c>
      <c r="AD24" s="470" t="e">
        <f>#REF!</f>
        <v>#REF!</v>
      </c>
      <c r="AE24" s="470" t="e">
        <f t="shared" ref="AE24:AE25" si="0">AD24*1.4*1000</f>
        <v>#REF!</v>
      </c>
      <c r="AF24" s="481"/>
      <c r="AG24" s="481"/>
      <c r="AH24" s="480"/>
      <c r="AI24" s="480"/>
      <c r="AJ24" s="480"/>
      <c r="AP24" s="480"/>
      <c r="AQ24" s="469" t="s">
        <v>297</v>
      </c>
      <c r="AR24" s="472">
        <v>0.1108335</v>
      </c>
      <c r="AS24" s="482">
        <v>155.1669</v>
      </c>
      <c r="AT24" s="483"/>
      <c r="AU24" s="474">
        <v>5.9</v>
      </c>
      <c r="AV24" s="484"/>
      <c r="AW24" s="480"/>
      <c r="AX24" s="485"/>
    </row>
    <row r="25" spans="1:75" ht="15" thickBot="1">
      <c r="A25" s="477" t="s">
        <v>359</v>
      </c>
      <c r="B25" s="157" t="s">
        <v>360</v>
      </c>
      <c r="C25" s="478"/>
      <c r="D25" s="161">
        <v>0</v>
      </c>
      <c r="E25" s="161" t="s">
        <v>346</v>
      </c>
      <c r="F25" s="161">
        <v>0</v>
      </c>
      <c r="G25" s="161">
        <v>0</v>
      </c>
      <c r="H25" s="161">
        <v>0</v>
      </c>
      <c r="I25" s="467" t="s">
        <v>346</v>
      </c>
      <c r="J25" s="467" t="s">
        <v>346</v>
      </c>
      <c r="K25" s="467" t="s">
        <v>346</v>
      </c>
      <c r="L25" s="161">
        <v>0</v>
      </c>
      <c r="M25" s="161">
        <v>0</v>
      </c>
      <c r="N25" s="479">
        <v>0</v>
      </c>
      <c r="O25" s="161">
        <v>0</v>
      </c>
      <c r="P25" s="161">
        <v>0</v>
      </c>
      <c r="Q25" s="467" t="s">
        <v>346</v>
      </c>
      <c r="AB25" s="486"/>
      <c r="AC25" s="469" t="s">
        <v>298</v>
      </c>
      <c r="AD25" s="470" t="e">
        <f>#REF!</f>
        <v>#REF!</v>
      </c>
      <c r="AE25" s="470" t="e">
        <f t="shared" si="0"/>
        <v>#REF!</v>
      </c>
      <c r="AF25" s="487"/>
      <c r="AG25" s="487"/>
      <c r="AH25" s="486"/>
      <c r="AI25" s="486"/>
      <c r="AJ25" s="486"/>
      <c r="AP25" s="486"/>
      <c r="AQ25" s="469" t="s">
        <v>298</v>
      </c>
      <c r="AR25" s="470">
        <v>3.0000000000000001E-5</v>
      </c>
      <c r="AS25" s="469">
        <v>4.1999999999999996E-2</v>
      </c>
      <c r="AT25" s="488"/>
      <c r="AU25" s="474">
        <v>3.9</v>
      </c>
      <c r="AV25" s="489"/>
      <c r="AW25" s="486"/>
      <c r="AX25" s="490"/>
    </row>
    <row r="26" spans="1:75" ht="15" thickBot="1">
      <c r="A26" s="477" t="s">
        <v>361</v>
      </c>
      <c r="B26" s="157" t="s">
        <v>346</v>
      </c>
      <c r="C26" s="478"/>
      <c r="D26" s="161" t="s">
        <v>270</v>
      </c>
      <c r="E26" s="161" t="s">
        <v>362</v>
      </c>
      <c r="F26" s="161" t="s">
        <v>252</v>
      </c>
      <c r="G26" s="161" t="s">
        <v>270</v>
      </c>
      <c r="H26" s="161" t="s">
        <v>270</v>
      </c>
      <c r="I26" s="467" t="s">
        <v>346</v>
      </c>
      <c r="J26" s="467" t="s">
        <v>346</v>
      </c>
      <c r="K26" s="467" t="s">
        <v>346</v>
      </c>
      <c r="L26" s="161" t="s">
        <v>250</v>
      </c>
      <c r="M26" s="161" t="s">
        <v>268</v>
      </c>
      <c r="N26" s="479">
        <v>0</v>
      </c>
      <c r="O26" s="161" t="s">
        <v>252</v>
      </c>
      <c r="P26" s="161" t="s">
        <v>252</v>
      </c>
      <c r="Q26" s="467" t="s">
        <v>346</v>
      </c>
      <c r="AB26" s="468" t="str">
        <f>D6</f>
        <v>Air Beds</v>
      </c>
      <c r="AC26" s="469" t="s">
        <v>296</v>
      </c>
      <c r="AD26" s="491">
        <f>D20</f>
        <v>1.1E-5</v>
      </c>
      <c r="AE26" s="469">
        <f>AD26*1.4*1000</f>
        <v>1.5399999999999999E-2</v>
      </c>
      <c r="AF26" s="468">
        <v>1.4</v>
      </c>
      <c r="AG26" s="469">
        <f>D38</f>
        <v>7.2</v>
      </c>
      <c r="AH26" s="468">
        <f>D41</f>
        <v>0.01</v>
      </c>
      <c r="AI26" s="468">
        <f>D69</f>
        <v>36</v>
      </c>
      <c r="AJ26" s="492">
        <f>D73</f>
        <v>107.01</v>
      </c>
      <c r="AP26" s="468" t="s">
        <v>198</v>
      </c>
      <c r="AQ26" s="469" t="s">
        <v>296</v>
      </c>
      <c r="AR26" s="472">
        <v>0.128</v>
      </c>
      <c r="AS26" s="470">
        <v>179.2</v>
      </c>
      <c r="AT26" s="473">
        <v>1.4</v>
      </c>
      <c r="AU26" s="493">
        <v>1.29</v>
      </c>
      <c r="AV26" s="475">
        <v>0.01</v>
      </c>
      <c r="AW26" s="468">
        <v>2.4</v>
      </c>
      <c r="AX26" s="494">
        <v>9.4871999999999996</v>
      </c>
    </row>
    <row r="27" spans="1:75" ht="15" thickBot="1">
      <c r="A27" s="477" t="s">
        <v>363</v>
      </c>
      <c r="B27" s="157" t="s">
        <v>346</v>
      </c>
      <c r="C27" s="478"/>
      <c r="D27" s="161" t="s">
        <v>364</v>
      </c>
      <c r="E27" s="161" t="s">
        <v>364</v>
      </c>
      <c r="F27" s="161" t="s">
        <v>364</v>
      </c>
      <c r="G27" s="161" t="s">
        <v>364</v>
      </c>
      <c r="H27" s="161" t="s">
        <v>364</v>
      </c>
      <c r="I27" s="467" t="s">
        <v>346</v>
      </c>
      <c r="J27" s="467" t="s">
        <v>346</v>
      </c>
      <c r="K27" s="467" t="s">
        <v>346</v>
      </c>
      <c r="L27" s="161" t="s">
        <v>364</v>
      </c>
      <c r="M27" s="161" t="s">
        <v>364</v>
      </c>
      <c r="N27" s="479">
        <v>0</v>
      </c>
      <c r="O27" s="161" t="s">
        <v>364</v>
      </c>
      <c r="P27" s="161" t="s">
        <v>364</v>
      </c>
      <c r="Q27" s="467" t="s">
        <v>346</v>
      </c>
      <c r="AB27" s="480"/>
      <c r="AC27" s="469" t="s">
        <v>297</v>
      </c>
      <c r="AD27" s="491">
        <f>D21</f>
        <v>1.1E-5</v>
      </c>
      <c r="AE27" s="469">
        <f>AD27*1.4*1000</f>
        <v>1.5399999999999999E-2</v>
      </c>
      <c r="AF27" s="480"/>
      <c r="AG27" s="469">
        <f>D39</f>
        <v>5.9</v>
      </c>
      <c r="AH27" s="480"/>
      <c r="AI27" s="480"/>
      <c r="AJ27" s="495"/>
      <c r="AP27" s="480"/>
      <c r="AQ27" s="469" t="s">
        <v>297</v>
      </c>
      <c r="AR27" s="472">
        <v>0.1075</v>
      </c>
      <c r="AS27" s="470">
        <v>150.5</v>
      </c>
      <c r="AT27" s="483"/>
      <c r="AU27" s="496"/>
      <c r="AV27" s="484"/>
      <c r="AW27" s="480"/>
      <c r="AX27" s="497"/>
    </row>
    <row r="28" spans="1:75" ht="29.5" thickBot="1">
      <c r="A28" s="498" t="s">
        <v>365</v>
      </c>
      <c r="B28" s="157" t="s">
        <v>346</v>
      </c>
      <c r="C28" s="478"/>
      <c r="D28" s="161" t="s">
        <v>366</v>
      </c>
      <c r="E28" s="161" t="s">
        <v>366</v>
      </c>
      <c r="F28" s="161" t="s">
        <v>366</v>
      </c>
      <c r="G28" s="161" t="s">
        <v>367</v>
      </c>
      <c r="H28" s="161" t="s">
        <v>367</v>
      </c>
      <c r="I28" s="467" t="s">
        <v>346</v>
      </c>
      <c r="J28" s="467" t="s">
        <v>346</v>
      </c>
      <c r="K28" s="467" t="s">
        <v>346</v>
      </c>
      <c r="L28" s="161" t="s">
        <v>366</v>
      </c>
      <c r="M28" s="161" t="s">
        <v>366</v>
      </c>
      <c r="N28" s="479" t="s">
        <v>346</v>
      </c>
      <c r="O28" s="161" t="s">
        <v>366</v>
      </c>
      <c r="P28" s="161" t="s">
        <v>366</v>
      </c>
      <c r="Q28" s="467" t="s">
        <v>346</v>
      </c>
      <c r="AB28" s="486"/>
      <c r="AC28" s="469" t="s">
        <v>298</v>
      </c>
      <c r="AD28" s="491">
        <f>D22</f>
        <v>1.1E-5</v>
      </c>
      <c r="AE28" s="469">
        <f>AD28*1.4*1000</f>
        <v>1.5399999999999999E-2</v>
      </c>
      <c r="AF28" s="486"/>
      <c r="AG28" s="469">
        <f>D40</f>
        <v>3.9</v>
      </c>
      <c r="AH28" s="486"/>
      <c r="AI28" s="486"/>
      <c r="AJ28" s="499"/>
      <c r="AP28" s="486"/>
      <c r="AQ28" s="469" t="s">
        <v>298</v>
      </c>
      <c r="AR28" s="500">
        <v>8.6999999999999994E-2</v>
      </c>
      <c r="AS28" s="470">
        <v>121.79999999999998</v>
      </c>
      <c r="AT28" s="488"/>
      <c r="AU28" s="501"/>
      <c r="AV28" s="489"/>
      <c r="AW28" s="486"/>
      <c r="AX28" s="502"/>
    </row>
    <row r="29" spans="1:75" ht="15" thickBot="1">
      <c r="A29" s="477" t="s">
        <v>368</v>
      </c>
      <c r="B29" s="157" t="s">
        <v>346</v>
      </c>
      <c r="C29" s="478"/>
      <c r="D29" s="161" t="s">
        <v>369</v>
      </c>
      <c r="E29" s="161" t="s">
        <v>369</v>
      </c>
      <c r="F29" s="161" t="s">
        <v>369</v>
      </c>
      <c r="G29" s="161" t="s">
        <v>369</v>
      </c>
      <c r="H29" s="161" t="s">
        <v>369</v>
      </c>
      <c r="I29" s="467" t="s">
        <v>346</v>
      </c>
      <c r="J29" s="467" t="s">
        <v>346</v>
      </c>
      <c r="K29" s="467" t="s">
        <v>346</v>
      </c>
      <c r="L29" s="161" t="s">
        <v>369</v>
      </c>
      <c r="M29" s="161" t="s">
        <v>369</v>
      </c>
      <c r="N29" s="479">
        <v>0</v>
      </c>
      <c r="O29" s="161" t="s">
        <v>369</v>
      </c>
      <c r="P29" s="161" t="s">
        <v>369</v>
      </c>
      <c r="Q29" s="467" t="s">
        <v>346</v>
      </c>
      <c r="AB29" s="468" t="str">
        <f>E6</f>
        <v>Car Mats</v>
      </c>
      <c r="AC29" s="469" t="s">
        <v>296</v>
      </c>
      <c r="AD29" s="472">
        <f>E20</f>
        <v>3.0000000000000001E-5</v>
      </c>
      <c r="AE29" s="470">
        <f>AD29*1.4*1000</f>
        <v>4.1999999999999996E-2</v>
      </c>
      <c r="AF29" s="468">
        <v>1.4</v>
      </c>
      <c r="AG29" s="469">
        <f>E38</f>
        <v>1.29</v>
      </c>
      <c r="AH29" s="468">
        <f>E41</f>
        <v>0.01</v>
      </c>
      <c r="AI29" s="468">
        <f>E69</f>
        <v>2.4</v>
      </c>
      <c r="AJ29" s="492">
        <f>E73</f>
        <v>9.4871999999999996</v>
      </c>
      <c r="AP29" s="468" t="s">
        <v>200</v>
      </c>
      <c r="AQ29" s="469" t="s">
        <v>296</v>
      </c>
      <c r="AR29" s="472">
        <v>0.33</v>
      </c>
      <c r="AS29" s="470">
        <v>461.99999999999994</v>
      </c>
      <c r="AT29" s="473">
        <v>1.4</v>
      </c>
      <c r="AU29" s="474">
        <v>9.4499999999999993</v>
      </c>
      <c r="AV29" s="475">
        <v>0.01</v>
      </c>
      <c r="AW29" s="468">
        <v>36</v>
      </c>
      <c r="AX29" s="503">
        <v>107.01</v>
      </c>
    </row>
    <row r="30" spans="1:75" ht="15" thickBot="1">
      <c r="A30" s="477" t="s">
        <v>370</v>
      </c>
      <c r="B30" s="157" t="s">
        <v>346</v>
      </c>
      <c r="C30" s="478"/>
      <c r="D30" s="161" t="s">
        <v>346</v>
      </c>
      <c r="E30" s="161" t="s">
        <v>346</v>
      </c>
      <c r="F30" s="161" t="s">
        <v>346</v>
      </c>
      <c r="G30" s="161" t="s">
        <v>346</v>
      </c>
      <c r="H30" s="161" t="s">
        <v>346</v>
      </c>
      <c r="I30" s="467" t="s">
        <v>346</v>
      </c>
      <c r="J30" s="467" t="s">
        <v>346</v>
      </c>
      <c r="K30" s="467" t="s">
        <v>346</v>
      </c>
      <c r="L30" s="161" t="s">
        <v>346</v>
      </c>
      <c r="M30" s="161" t="s">
        <v>346</v>
      </c>
      <c r="N30" s="479">
        <v>0</v>
      </c>
      <c r="O30" s="161" t="s">
        <v>346</v>
      </c>
      <c r="P30" s="161" t="s">
        <v>346</v>
      </c>
      <c r="Q30" s="467" t="s">
        <v>346</v>
      </c>
      <c r="AB30" s="480"/>
      <c r="AC30" s="469" t="s">
        <v>297</v>
      </c>
      <c r="AD30" s="472">
        <f>E21</f>
        <v>2.0000000000000002E-5</v>
      </c>
      <c r="AE30" s="470">
        <f t="shared" ref="AE30:AE31" si="1">AD30*1.4*1000</f>
        <v>2.8000000000000001E-2</v>
      </c>
      <c r="AF30" s="480"/>
      <c r="AG30" s="469">
        <f>E39</f>
        <v>1.29</v>
      </c>
      <c r="AH30" s="480"/>
      <c r="AI30" s="480"/>
      <c r="AJ30" s="495"/>
      <c r="AP30" s="480"/>
      <c r="AQ30" s="469" t="s">
        <v>297</v>
      </c>
      <c r="AR30" s="500">
        <v>2.3138427777777779E-2</v>
      </c>
      <c r="AS30" s="504">
        <v>32.393798888888888</v>
      </c>
      <c r="AT30" s="483"/>
      <c r="AU30" s="474">
        <v>2.3199999999999998</v>
      </c>
      <c r="AV30" s="484"/>
      <c r="AW30" s="480"/>
      <c r="AX30" s="505"/>
    </row>
    <row r="31" spans="1:75" s="508" customFormat="1" ht="15" thickBot="1">
      <c r="A31" s="506" t="s">
        <v>371</v>
      </c>
      <c r="B31" s="467" t="s">
        <v>346</v>
      </c>
      <c r="C31" s="507"/>
      <c r="D31" s="479" t="s">
        <v>346</v>
      </c>
      <c r="E31" s="479" t="s">
        <v>346</v>
      </c>
      <c r="F31" s="479" t="s">
        <v>346</v>
      </c>
      <c r="G31" s="479" t="s">
        <v>346</v>
      </c>
      <c r="H31" s="479" t="s">
        <v>346</v>
      </c>
      <c r="I31" s="467" t="s">
        <v>346</v>
      </c>
      <c r="J31" s="467" t="s">
        <v>346</v>
      </c>
      <c r="K31" s="467" t="s">
        <v>346</v>
      </c>
      <c r="L31" s="479" t="s">
        <v>346</v>
      </c>
      <c r="M31" s="479" t="s">
        <v>346</v>
      </c>
      <c r="N31" s="479">
        <v>0</v>
      </c>
      <c r="O31" s="479" t="s">
        <v>346</v>
      </c>
      <c r="P31" s="479" t="s">
        <v>346</v>
      </c>
      <c r="Q31" s="467" t="s">
        <v>346</v>
      </c>
      <c r="S31" s="30"/>
      <c r="Y31" s="30"/>
      <c r="Z31" s="30"/>
      <c r="AA31" s="30"/>
      <c r="AB31" s="486"/>
      <c r="AC31" s="469" t="s">
        <v>298</v>
      </c>
      <c r="AD31" s="472">
        <f>E22</f>
        <v>1.0000000000000001E-5</v>
      </c>
      <c r="AE31" s="470">
        <f t="shared" si="1"/>
        <v>1.4E-2</v>
      </c>
      <c r="AF31" s="486"/>
      <c r="AG31" s="469">
        <f>E40</f>
        <v>1.29</v>
      </c>
      <c r="AH31" s="486"/>
      <c r="AI31" s="486"/>
      <c r="AJ31" s="499"/>
      <c r="AK31" s="30"/>
      <c r="AL31" s="30"/>
      <c r="AM31" s="30"/>
      <c r="AN31" s="30"/>
      <c r="AO31" s="30"/>
      <c r="AP31" s="486"/>
      <c r="AQ31" s="469" t="s">
        <v>298</v>
      </c>
      <c r="AR31" s="470">
        <v>8.3000000000000002E-6</v>
      </c>
      <c r="AS31" s="500">
        <v>1.1619999999999998E-2</v>
      </c>
      <c r="AT31" s="488"/>
      <c r="AU31" s="474">
        <v>0.28000000000000003</v>
      </c>
      <c r="AV31" s="489"/>
      <c r="AW31" s="486"/>
      <c r="AX31" s="509"/>
      <c r="AY31" s="30"/>
      <c r="AZ31" s="30"/>
      <c r="BA31" s="30"/>
      <c r="BB31" s="30"/>
      <c r="BC31" s="30"/>
      <c r="BD31" s="30"/>
      <c r="BE31" s="30"/>
      <c r="BF31" s="30"/>
      <c r="BG31" s="30"/>
      <c r="BH31" s="30"/>
      <c r="BI31" s="30"/>
      <c r="BJ31" s="30"/>
      <c r="BK31" s="30"/>
      <c r="BL31" s="30"/>
      <c r="BM31" s="30"/>
      <c r="BN31" s="30"/>
      <c r="BO31" s="30"/>
      <c r="BP31" s="30"/>
      <c r="BQ31" s="30"/>
      <c r="BR31" s="30"/>
      <c r="BS31" s="30"/>
      <c r="BT31" s="30"/>
      <c r="BU31" s="30"/>
      <c r="BV31" s="30"/>
      <c r="BW31" s="30"/>
    </row>
    <row r="32" spans="1:75" ht="15" thickBot="1">
      <c r="A32" s="477" t="s">
        <v>372</v>
      </c>
      <c r="B32" s="157" t="s">
        <v>346</v>
      </c>
      <c r="C32" s="478"/>
      <c r="D32" s="161" t="s">
        <v>346</v>
      </c>
      <c r="E32" s="161" t="s">
        <v>346</v>
      </c>
      <c r="F32" s="161" t="s">
        <v>346</v>
      </c>
      <c r="G32" s="161" t="s">
        <v>346</v>
      </c>
      <c r="H32" s="161" t="s">
        <v>346</v>
      </c>
      <c r="I32" s="467" t="s">
        <v>346</v>
      </c>
      <c r="J32" s="467" t="s">
        <v>346</v>
      </c>
      <c r="K32" s="467" t="s">
        <v>346</v>
      </c>
      <c r="L32" s="161" t="s">
        <v>346</v>
      </c>
      <c r="M32" s="161" t="s">
        <v>346</v>
      </c>
      <c r="N32" s="479">
        <v>0</v>
      </c>
      <c r="O32" s="161" t="s">
        <v>346</v>
      </c>
      <c r="P32" s="161" t="s">
        <v>346</v>
      </c>
      <c r="Q32" s="467" t="s">
        <v>346</v>
      </c>
      <c r="AB32" s="468" t="str">
        <f>G6</f>
        <v>Children's Toys (Legacy)</v>
      </c>
      <c r="AC32" s="469" t="s">
        <v>296</v>
      </c>
      <c r="AD32" s="472">
        <f>G20</f>
        <v>0.01</v>
      </c>
      <c r="AE32" s="470">
        <f t="shared" ref="AE32" si="2">AD32*1.4*1000</f>
        <v>13.999999999999998</v>
      </c>
      <c r="AF32" s="468">
        <v>1.4</v>
      </c>
      <c r="AG32" s="470">
        <f>G38</f>
        <v>9.4499999999999993</v>
      </c>
      <c r="AH32" s="468">
        <f>G41</f>
        <v>0.01</v>
      </c>
      <c r="AI32" s="468">
        <f>G69</f>
        <v>36</v>
      </c>
      <c r="AJ32" s="468">
        <f>G73</f>
        <v>107.01</v>
      </c>
      <c r="AP32" s="468" t="s">
        <v>201</v>
      </c>
      <c r="AQ32" s="469" t="s">
        <v>296</v>
      </c>
      <c r="AR32" s="468">
        <v>1E-4</v>
      </c>
      <c r="AS32" s="468">
        <v>0.13999999999999999</v>
      </c>
      <c r="AT32" s="473">
        <v>1.4</v>
      </c>
      <c r="AU32" s="474">
        <v>9.4499999999999993</v>
      </c>
      <c r="AV32" s="475">
        <v>0.01</v>
      </c>
      <c r="AW32" s="468">
        <v>36</v>
      </c>
      <c r="AX32" s="503">
        <v>107.01</v>
      </c>
    </row>
    <row r="33" spans="1:75" ht="15" thickBot="1">
      <c r="A33" s="477" t="s">
        <v>373</v>
      </c>
      <c r="B33" s="157" t="s">
        <v>346</v>
      </c>
      <c r="C33" s="478"/>
      <c r="D33" s="161" t="s">
        <v>346</v>
      </c>
      <c r="E33" s="161" t="s">
        <v>346</v>
      </c>
      <c r="F33" s="161" t="s">
        <v>346</v>
      </c>
      <c r="G33" s="161" t="s">
        <v>346</v>
      </c>
      <c r="H33" s="161" t="s">
        <v>346</v>
      </c>
      <c r="I33" s="467" t="s">
        <v>346</v>
      </c>
      <c r="J33" s="467" t="s">
        <v>346</v>
      </c>
      <c r="K33" s="467" t="s">
        <v>346</v>
      </c>
      <c r="L33" s="161" t="s">
        <v>346</v>
      </c>
      <c r="M33" s="161" t="s">
        <v>346</v>
      </c>
      <c r="N33" s="479">
        <v>0</v>
      </c>
      <c r="O33" s="161" t="s">
        <v>346</v>
      </c>
      <c r="P33" s="161" t="s">
        <v>346</v>
      </c>
      <c r="Q33" s="467" t="s">
        <v>346</v>
      </c>
      <c r="AB33" s="480"/>
      <c r="AC33" s="469" t="s">
        <v>297</v>
      </c>
      <c r="AD33" s="472">
        <f>G21</f>
        <v>2.9999999999999997E-4</v>
      </c>
      <c r="AE33" s="470">
        <f t="shared" ref="AE33:AE34" si="3">AD33*1.4*1000</f>
        <v>0.42</v>
      </c>
      <c r="AF33" s="480"/>
      <c r="AG33" s="470">
        <f>G39</f>
        <v>2.3199999999999998</v>
      </c>
      <c r="AH33" s="480"/>
      <c r="AI33" s="480"/>
      <c r="AJ33" s="480"/>
      <c r="AP33" s="480"/>
      <c r="AQ33" s="469" t="s">
        <v>297</v>
      </c>
      <c r="AR33" s="480"/>
      <c r="AS33" s="480"/>
      <c r="AT33" s="483"/>
      <c r="AU33" s="474">
        <v>2.3199999999999998</v>
      </c>
      <c r="AV33" s="484"/>
      <c r="AW33" s="480"/>
      <c r="AX33" s="505"/>
    </row>
    <row r="34" spans="1:75" ht="15" thickBot="1">
      <c r="A34" s="451" t="s">
        <v>374</v>
      </c>
      <c r="B34" s="452"/>
      <c r="C34" s="453"/>
      <c r="D34" s="454"/>
      <c r="E34" s="454"/>
      <c r="F34" s="454"/>
      <c r="G34" s="454"/>
      <c r="H34" s="454"/>
      <c r="I34" s="454"/>
      <c r="J34" s="452"/>
      <c r="K34" s="454"/>
      <c r="L34" s="454"/>
      <c r="M34" s="452"/>
      <c r="N34" s="454"/>
      <c r="O34" s="454"/>
      <c r="P34" s="454"/>
      <c r="Q34" s="454"/>
      <c r="AB34" s="486"/>
      <c r="AC34" s="469" t="s">
        <v>298</v>
      </c>
      <c r="AD34" s="472">
        <f>G22</f>
        <v>1E-4</v>
      </c>
      <c r="AE34" s="470">
        <f t="shared" si="3"/>
        <v>0.13999999999999999</v>
      </c>
      <c r="AF34" s="486"/>
      <c r="AG34" s="470">
        <f>G40</f>
        <v>0.28000000000000003</v>
      </c>
      <c r="AH34" s="486"/>
      <c r="AI34" s="486"/>
      <c r="AJ34" s="486"/>
      <c r="AP34" s="480"/>
      <c r="AQ34" s="510" t="s">
        <v>298</v>
      </c>
      <c r="AR34" s="511"/>
      <c r="AS34" s="480"/>
      <c r="AT34" s="483"/>
      <c r="AU34" s="512">
        <v>0.28000000000000003</v>
      </c>
      <c r="AV34" s="484"/>
      <c r="AW34" s="480"/>
      <c r="AX34" s="505"/>
    </row>
    <row r="35" spans="1:75" ht="26.65" customHeight="1" thickBot="1">
      <c r="A35" s="513" t="s">
        <v>375</v>
      </c>
      <c r="B35" s="514"/>
      <c r="C35" s="515"/>
      <c r="D35" s="515"/>
      <c r="E35" s="515"/>
      <c r="F35" s="515"/>
      <c r="G35" s="515"/>
      <c r="H35" s="515"/>
      <c r="I35" s="515"/>
      <c r="J35" s="515"/>
      <c r="K35" s="515"/>
      <c r="L35" s="515"/>
      <c r="M35" s="515"/>
      <c r="N35" s="515"/>
      <c r="O35" s="515"/>
      <c r="P35" s="515"/>
      <c r="Q35" s="515"/>
      <c r="AB35" s="468" t="str">
        <f>H6</f>
        <v>Children's Toys (New)</v>
      </c>
      <c r="AC35" s="469" t="s">
        <v>296</v>
      </c>
      <c r="AD35" s="470">
        <f>H20</f>
        <v>1E-3</v>
      </c>
      <c r="AE35" s="468">
        <f t="shared" ref="AE35" si="4">AD35*1.4*1000</f>
        <v>1.4</v>
      </c>
      <c r="AF35" s="468">
        <v>1.4</v>
      </c>
      <c r="AG35" s="470">
        <f>H38</f>
        <v>9.4499999999999993</v>
      </c>
      <c r="AH35" s="468">
        <f>H41</f>
        <v>0.01</v>
      </c>
      <c r="AI35" s="468">
        <f>H69</f>
        <v>36</v>
      </c>
      <c r="AJ35" s="492">
        <f>H73</f>
        <v>107.01</v>
      </c>
      <c r="AP35" s="516" t="s">
        <v>205</v>
      </c>
      <c r="AQ35" s="474" t="s">
        <v>296</v>
      </c>
      <c r="AR35" s="517">
        <v>0.39200000000000002</v>
      </c>
      <c r="AS35" s="474">
        <v>548.79999999999995</v>
      </c>
      <c r="AT35" s="516">
        <v>1.4</v>
      </c>
      <c r="AU35" s="518">
        <v>17</v>
      </c>
      <c r="AV35" s="516">
        <v>0.01</v>
      </c>
      <c r="AW35" s="516">
        <v>50</v>
      </c>
      <c r="AX35" s="519">
        <v>108.98</v>
      </c>
    </row>
    <row r="36" spans="1:75" ht="15" customHeight="1" thickBot="1">
      <c r="A36" s="477" t="s">
        <v>376</v>
      </c>
      <c r="B36" s="157" t="s">
        <v>377</v>
      </c>
      <c r="C36" s="478"/>
      <c r="D36" s="161" t="s">
        <v>346</v>
      </c>
      <c r="E36" s="161" t="s">
        <v>346</v>
      </c>
      <c r="F36" s="161" t="s">
        <v>346</v>
      </c>
      <c r="G36" s="161" t="s">
        <v>346</v>
      </c>
      <c r="H36" s="161" t="s">
        <v>346</v>
      </c>
      <c r="I36" s="479" t="s">
        <v>346</v>
      </c>
      <c r="J36" s="479" t="s">
        <v>346</v>
      </c>
      <c r="K36" s="479" t="s">
        <v>346</v>
      </c>
      <c r="L36" s="161" t="s">
        <v>346</v>
      </c>
      <c r="M36" s="161" t="s">
        <v>346</v>
      </c>
      <c r="N36" s="479" t="s">
        <v>346</v>
      </c>
      <c r="O36" s="161" t="s">
        <v>346</v>
      </c>
      <c r="P36" s="161" t="s">
        <v>346</v>
      </c>
      <c r="Q36" s="479" t="s">
        <v>346</v>
      </c>
      <c r="AB36" s="480"/>
      <c r="AC36" s="469" t="s">
        <v>297</v>
      </c>
      <c r="AD36" s="470">
        <f>H21</f>
        <v>1E-3</v>
      </c>
      <c r="AE36" s="480"/>
      <c r="AF36" s="480"/>
      <c r="AG36" s="470">
        <f>H39</f>
        <v>2.3199999999999998</v>
      </c>
      <c r="AH36" s="480"/>
      <c r="AI36" s="480"/>
      <c r="AJ36" s="495"/>
      <c r="AP36" s="516"/>
      <c r="AQ36" s="474" t="s">
        <v>297</v>
      </c>
      <c r="AR36" s="517">
        <v>0.12293833333333333</v>
      </c>
      <c r="AS36" s="520">
        <v>172.11366666666666</v>
      </c>
      <c r="AT36" s="516"/>
      <c r="AU36" s="518">
        <v>12</v>
      </c>
      <c r="AV36" s="516"/>
      <c r="AW36" s="516"/>
      <c r="AX36" s="519"/>
    </row>
    <row r="37" spans="1:75" ht="15" customHeight="1" thickBot="1">
      <c r="A37" s="477" t="s">
        <v>378</v>
      </c>
      <c r="B37" s="157" t="s">
        <v>379</v>
      </c>
      <c r="C37" s="478"/>
      <c r="D37" s="161">
        <v>1.4</v>
      </c>
      <c r="E37" s="161">
        <v>1.4</v>
      </c>
      <c r="F37" s="161">
        <v>1.4</v>
      </c>
      <c r="G37" s="161">
        <v>1.4</v>
      </c>
      <c r="H37" s="161">
        <v>1.4</v>
      </c>
      <c r="I37" s="479" t="s">
        <v>346</v>
      </c>
      <c r="J37" s="479" t="s">
        <v>346</v>
      </c>
      <c r="K37" s="479" t="s">
        <v>346</v>
      </c>
      <c r="L37" s="161">
        <v>1.4</v>
      </c>
      <c r="M37" s="161">
        <v>1.4</v>
      </c>
      <c r="N37" s="479" t="s">
        <v>346</v>
      </c>
      <c r="O37" s="161">
        <v>1.4</v>
      </c>
      <c r="P37" s="161">
        <v>1.4</v>
      </c>
      <c r="Q37" s="479" t="s">
        <v>346</v>
      </c>
      <c r="AB37" s="486"/>
      <c r="AC37" s="469" t="s">
        <v>298</v>
      </c>
      <c r="AD37" s="470">
        <f>H22</f>
        <v>1E-3</v>
      </c>
      <c r="AE37" s="486"/>
      <c r="AF37" s="486"/>
      <c r="AG37" s="470">
        <f>H40</f>
        <v>0.28000000000000003</v>
      </c>
      <c r="AH37" s="486"/>
      <c r="AI37" s="486"/>
      <c r="AJ37" s="499"/>
      <c r="AP37" s="516"/>
      <c r="AQ37" s="474" t="s">
        <v>298</v>
      </c>
      <c r="AR37" s="474">
        <v>2.0000000000000002E-5</v>
      </c>
      <c r="AS37" s="474">
        <v>2.8000000000000001E-2</v>
      </c>
      <c r="AT37" s="516"/>
      <c r="AU37" s="518">
        <v>7.9</v>
      </c>
      <c r="AV37" s="516"/>
      <c r="AW37" s="516"/>
      <c r="AX37" s="519"/>
    </row>
    <row r="38" spans="1:75" ht="18.649999999999999" customHeight="1" thickTop="1" thickBot="1">
      <c r="A38" s="521" t="s">
        <v>380</v>
      </c>
      <c r="B38" s="522" t="s">
        <v>381</v>
      </c>
      <c r="C38" s="458" t="s">
        <v>296</v>
      </c>
      <c r="D38" s="523">
        <v>7.2</v>
      </c>
      <c r="E38" s="523">
        <v>1.29</v>
      </c>
      <c r="F38" s="523">
        <v>202</v>
      </c>
      <c r="G38" s="523">
        <v>9.4499999999999993</v>
      </c>
      <c r="H38" s="523">
        <v>9.4499999999999993</v>
      </c>
      <c r="I38" s="479" t="s">
        <v>346</v>
      </c>
      <c r="J38" s="479" t="s">
        <v>346</v>
      </c>
      <c r="K38" s="479" t="s">
        <v>346</v>
      </c>
      <c r="L38" s="524">
        <v>17</v>
      </c>
      <c r="M38" s="523">
        <v>6.5</v>
      </c>
      <c r="N38" s="479" t="s">
        <v>346</v>
      </c>
      <c r="O38" s="523">
        <v>202</v>
      </c>
      <c r="P38" s="523">
        <v>200</v>
      </c>
      <c r="Q38" s="479" t="s">
        <v>346</v>
      </c>
      <c r="AB38" s="468" t="str">
        <f>I6</f>
        <v>Clothing (Synthetic Leather)</v>
      </c>
      <c r="AC38" s="469" t="s">
        <v>296</v>
      </c>
      <c r="AD38" s="470" t="str">
        <f>I20</f>
        <v>n/a</v>
      </c>
      <c r="AE38" s="470" t="e">
        <f t="shared" ref="AE38:AE40" si="5">AD38*1.4*1000</f>
        <v>#VALUE!</v>
      </c>
      <c r="AF38" s="468">
        <v>1.4</v>
      </c>
      <c r="AG38" s="470" t="str">
        <f>I38</f>
        <v>n/a</v>
      </c>
      <c r="AH38" s="471" t="str">
        <f>I41</f>
        <v>n/a</v>
      </c>
      <c r="AI38" s="471" t="str">
        <f>I69</f>
        <v>n/a</v>
      </c>
      <c r="AJ38" s="471" t="str">
        <f>I73</f>
        <v>n/a</v>
      </c>
      <c r="AP38" s="516" t="s">
        <v>382</v>
      </c>
      <c r="AQ38" s="474" t="s">
        <v>296</v>
      </c>
      <c r="AR38" s="525">
        <v>0.13692599999999999</v>
      </c>
      <c r="AS38" s="526">
        <v>191.69639999999998</v>
      </c>
      <c r="AT38" s="516">
        <v>1.4</v>
      </c>
      <c r="AU38" s="518">
        <v>3.7</v>
      </c>
      <c r="AV38" s="516">
        <v>0.01</v>
      </c>
      <c r="AW38" s="516">
        <v>492</v>
      </c>
      <c r="AX38" s="516">
        <v>1.0000000000000001E-30</v>
      </c>
    </row>
    <row r="39" spans="1:75" ht="18.649999999999999" customHeight="1" thickBot="1">
      <c r="A39" s="527"/>
      <c r="B39" s="528"/>
      <c r="C39" s="458" t="s">
        <v>302</v>
      </c>
      <c r="D39" s="523">
        <v>5.9</v>
      </c>
      <c r="E39" s="523">
        <v>1.29</v>
      </c>
      <c r="F39" s="523">
        <v>101</v>
      </c>
      <c r="G39" s="523">
        <v>2.3199999999999998</v>
      </c>
      <c r="H39" s="523">
        <v>2.3199999999999998</v>
      </c>
      <c r="I39" s="479" t="s">
        <v>346</v>
      </c>
      <c r="J39" s="479" t="s">
        <v>346</v>
      </c>
      <c r="K39" s="479" t="s">
        <v>301</v>
      </c>
      <c r="L39" s="529">
        <v>12</v>
      </c>
      <c r="M39" s="523">
        <v>6.5</v>
      </c>
      <c r="N39" s="479" t="s">
        <v>346</v>
      </c>
      <c r="O39" s="523">
        <v>101</v>
      </c>
      <c r="P39" s="523">
        <v>100</v>
      </c>
      <c r="Q39" s="479"/>
      <c r="AB39" s="480"/>
      <c r="AC39" s="469" t="s">
        <v>297</v>
      </c>
      <c r="AD39" s="470" t="str">
        <f>I21</f>
        <v>n/a</v>
      </c>
      <c r="AE39" s="470" t="e">
        <f t="shared" si="5"/>
        <v>#VALUE!</v>
      </c>
      <c r="AF39" s="480"/>
      <c r="AG39" s="470" t="str">
        <f>I39</f>
        <v>n/a</v>
      </c>
      <c r="AH39" s="480"/>
      <c r="AI39" s="480"/>
      <c r="AJ39" s="480"/>
      <c r="AP39" s="516"/>
      <c r="AQ39" s="474" t="s">
        <v>297</v>
      </c>
      <c r="AR39" s="530"/>
      <c r="AS39" s="531"/>
      <c r="AT39" s="516"/>
      <c r="AU39" s="518">
        <v>1.9</v>
      </c>
      <c r="AV39" s="516"/>
      <c r="AW39" s="516"/>
      <c r="AX39" s="516"/>
    </row>
    <row r="40" spans="1:75" ht="18.649999999999999" customHeight="1" thickBot="1">
      <c r="A40" s="532"/>
      <c r="B40" s="533"/>
      <c r="C40" s="458" t="s">
        <v>298</v>
      </c>
      <c r="D40" s="523">
        <v>3.9</v>
      </c>
      <c r="E40" s="523">
        <v>1.29</v>
      </c>
      <c r="F40" s="523">
        <v>50.5</v>
      </c>
      <c r="G40" s="523">
        <v>0.28000000000000003</v>
      </c>
      <c r="H40" s="523">
        <v>0.28000000000000003</v>
      </c>
      <c r="I40" s="479" t="s">
        <v>346</v>
      </c>
      <c r="J40" s="479" t="s">
        <v>346</v>
      </c>
      <c r="K40" s="479" t="s">
        <v>346</v>
      </c>
      <c r="L40" s="529">
        <v>7.9</v>
      </c>
      <c r="M40" s="523">
        <v>6.5</v>
      </c>
      <c r="N40" s="479" t="s">
        <v>346</v>
      </c>
      <c r="O40" s="523">
        <v>50.5</v>
      </c>
      <c r="P40" s="523">
        <v>50</v>
      </c>
      <c r="Q40" s="479"/>
      <c r="AB40" s="486"/>
      <c r="AC40" s="469" t="s">
        <v>298</v>
      </c>
      <c r="AD40" s="470" t="str">
        <f>I22</f>
        <v>n/a</v>
      </c>
      <c r="AE40" s="470" t="e">
        <f t="shared" si="5"/>
        <v>#VALUE!</v>
      </c>
      <c r="AF40" s="486"/>
      <c r="AG40" s="470" t="str">
        <f>I40</f>
        <v>n/a</v>
      </c>
      <c r="AH40" s="486"/>
      <c r="AI40" s="486"/>
      <c r="AJ40" s="486"/>
      <c r="AP40" s="516"/>
      <c r="AQ40" s="474" t="s">
        <v>298</v>
      </c>
      <c r="AR40" s="534"/>
      <c r="AS40" s="535"/>
      <c r="AT40" s="516"/>
      <c r="AU40" s="518">
        <v>1.4</v>
      </c>
      <c r="AV40" s="516"/>
      <c r="AW40" s="516"/>
      <c r="AX40" s="516"/>
    </row>
    <row r="41" spans="1:75" s="400" customFormat="1" ht="15" thickBot="1">
      <c r="A41" s="477" t="s">
        <v>383</v>
      </c>
      <c r="B41" s="536" t="s">
        <v>384</v>
      </c>
      <c r="C41" s="477"/>
      <c r="D41" s="246">
        <v>0.01</v>
      </c>
      <c r="E41" s="246">
        <v>0.01</v>
      </c>
      <c r="F41" s="246">
        <v>0.01</v>
      </c>
      <c r="G41" s="246">
        <v>0.01</v>
      </c>
      <c r="H41" s="246">
        <v>0.01</v>
      </c>
      <c r="I41" s="537" t="s">
        <v>346</v>
      </c>
      <c r="J41" s="537" t="s">
        <v>346</v>
      </c>
      <c r="K41" s="479" t="s">
        <v>346</v>
      </c>
      <c r="L41" s="246">
        <v>0.01</v>
      </c>
      <c r="M41" s="246">
        <v>0.01</v>
      </c>
      <c r="N41" s="479" t="s">
        <v>346</v>
      </c>
      <c r="O41" s="246">
        <v>0.01</v>
      </c>
      <c r="P41" s="246">
        <v>0.01</v>
      </c>
      <c r="Q41" s="479" t="s">
        <v>346</v>
      </c>
      <c r="AB41" s="538" t="str">
        <f>J6</f>
        <v>Clothing (Children's)</v>
      </c>
      <c r="AC41" s="469" t="s">
        <v>296</v>
      </c>
      <c r="AD41" s="470" t="str">
        <f>J20</f>
        <v>n/a</v>
      </c>
      <c r="AE41" s="469" t="e">
        <f t="shared" ref="AE41:AE43" si="6">AD41*1.4*1000</f>
        <v>#VALUE!</v>
      </c>
      <c r="AF41" s="473">
        <v>1.4</v>
      </c>
      <c r="AG41" s="469" t="str">
        <f>J38</f>
        <v>n/a</v>
      </c>
      <c r="AH41" s="468" t="str">
        <f>J41</f>
        <v>n/a</v>
      </c>
      <c r="AI41" s="468" t="str">
        <f>J69</f>
        <v>n/a</v>
      </c>
      <c r="AJ41" s="492" t="str">
        <f>J73</f>
        <v>n/a</v>
      </c>
      <c r="AP41" s="516" t="s">
        <v>16</v>
      </c>
      <c r="AQ41" s="474" t="s">
        <v>296</v>
      </c>
      <c r="AR41" s="474">
        <v>0.48</v>
      </c>
      <c r="AS41" s="520">
        <v>671.99999999999989</v>
      </c>
      <c r="AT41" s="516">
        <v>1.4</v>
      </c>
      <c r="AU41" s="539">
        <v>6.5</v>
      </c>
      <c r="AV41" s="516">
        <v>0.01</v>
      </c>
      <c r="AW41" s="516">
        <v>15</v>
      </c>
      <c r="AX41" s="519">
        <v>107.01</v>
      </c>
    </row>
    <row r="42" spans="1:75" s="408" customFormat="1" ht="15" thickBot="1">
      <c r="A42" s="540" t="s">
        <v>329</v>
      </c>
      <c r="B42" s="541" t="s">
        <v>385</v>
      </c>
      <c r="C42" s="542"/>
      <c r="D42" s="543" t="s">
        <v>346</v>
      </c>
      <c r="E42" s="543" t="s">
        <v>346</v>
      </c>
      <c r="F42" s="543" t="s">
        <v>346</v>
      </c>
      <c r="G42" s="543" t="s">
        <v>346</v>
      </c>
      <c r="H42" s="543" t="s">
        <v>346</v>
      </c>
      <c r="I42" s="537" t="s">
        <v>346</v>
      </c>
      <c r="J42" s="537" t="s">
        <v>346</v>
      </c>
      <c r="K42" s="537" t="s">
        <v>346</v>
      </c>
      <c r="L42" s="543" t="s">
        <v>346</v>
      </c>
      <c r="M42" s="543" t="s">
        <v>346</v>
      </c>
      <c r="N42" s="537" t="s">
        <v>346</v>
      </c>
      <c r="O42" s="543" t="s">
        <v>346</v>
      </c>
      <c r="P42" s="543" t="s">
        <v>346</v>
      </c>
      <c r="Q42" s="537" t="s">
        <v>346</v>
      </c>
      <c r="S42" s="400"/>
      <c r="T42" s="400"/>
      <c r="U42" s="400"/>
      <c r="V42" s="400"/>
      <c r="W42" s="400"/>
      <c r="X42" s="400"/>
      <c r="Y42" s="400"/>
      <c r="Z42" s="400"/>
      <c r="AA42" s="400"/>
      <c r="AB42" s="544"/>
      <c r="AC42" s="469" t="s">
        <v>297</v>
      </c>
      <c r="AD42" s="470" t="str">
        <f>J21</f>
        <v>n/a</v>
      </c>
      <c r="AE42" s="469" t="e">
        <f t="shared" si="6"/>
        <v>#VALUE!</v>
      </c>
      <c r="AF42" s="483"/>
      <c r="AG42" s="469" t="str">
        <f>J39</f>
        <v>n/a</v>
      </c>
      <c r="AH42" s="480"/>
      <c r="AI42" s="480"/>
      <c r="AJ42" s="495"/>
      <c r="AK42" s="400"/>
      <c r="AL42" s="400"/>
      <c r="AM42" s="400"/>
      <c r="AN42" s="400"/>
      <c r="AO42" s="400"/>
      <c r="AP42" s="516"/>
      <c r="AQ42" s="474" t="s">
        <v>297</v>
      </c>
      <c r="AR42" s="517">
        <v>0.1795525</v>
      </c>
      <c r="AS42" s="520">
        <v>251.37349999999998</v>
      </c>
      <c r="AT42" s="516"/>
      <c r="AU42" s="545"/>
      <c r="AV42" s="516"/>
      <c r="AW42" s="516"/>
      <c r="AX42" s="519"/>
      <c r="AY42" s="400"/>
      <c r="AZ42" s="400"/>
      <c r="BA42" s="400"/>
      <c r="BB42" s="400"/>
      <c r="BC42" s="400"/>
      <c r="BD42" s="400"/>
      <c r="BE42" s="400"/>
      <c r="BF42" s="400"/>
      <c r="BG42" s="400"/>
      <c r="BH42" s="400"/>
      <c r="BI42" s="400"/>
      <c r="BJ42" s="400"/>
      <c r="BK42" s="400"/>
      <c r="BL42" s="400"/>
      <c r="BM42" s="400"/>
      <c r="BN42" s="400"/>
      <c r="BO42" s="400"/>
      <c r="BP42" s="400"/>
      <c r="BQ42" s="400"/>
      <c r="BR42" s="400"/>
      <c r="BS42" s="400"/>
      <c r="BT42" s="400"/>
      <c r="BU42" s="400"/>
      <c r="BV42" s="400"/>
      <c r="BW42" s="400"/>
    </row>
    <row r="43" spans="1:75" ht="15" thickBot="1">
      <c r="A43" s="477" t="s">
        <v>386</v>
      </c>
      <c r="B43" s="157" t="s">
        <v>387</v>
      </c>
      <c r="C43" s="478"/>
      <c r="D43" s="161" t="s">
        <v>346</v>
      </c>
      <c r="E43" s="161" t="s">
        <v>346</v>
      </c>
      <c r="F43" s="161" t="s">
        <v>346</v>
      </c>
      <c r="G43" s="161">
        <v>10</v>
      </c>
      <c r="H43" s="161">
        <v>10</v>
      </c>
      <c r="I43" s="479" t="s">
        <v>346</v>
      </c>
      <c r="J43" s="479" t="s">
        <v>346</v>
      </c>
      <c r="K43" s="479">
        <v>0</v>
      </c>
      <c r="L43" s="161">
        <v>10</v>
      </c>
      <c r="M43" s="161" t="s">
        <v>346</v>
      </c>
      <c r="N43" s="479">
        <v>0</v>
      </c>
      <c r="O43" s="161" t="s">
        <v>346</v>
      </c>
      <c r="P43" s="161" t="s">
        <v>346</v>
      </c>
      <c r="Q43" s="479">
        <v>0</v>
      </c>
      <c r="AB43" s="544"/>
      <c r="AC43" s="469" t="s">
        <v>298</v>
      </c>
      <c r="AD43" s="470" t="str">
        <f>J22</f>
        <v>n/a</v>
      </c>
      <c r="AE43" s="469" t="e">
        <f t="shared" si="6"/>
        <v>#VALUE!</v>
      </c>
      <c r="AF43" s="488"/>
      <c r="AG43" s="469" t="str">
        <f>J40</f>
        <v>n/a</v>
      </c>
      <c r="AH43" s="486"/>
      <c r="AI43" s="486"/>
      <c r="AJ43" s="499"/>
      <c r="AP43" s="516"/>
      <c r="AQ43" s="474" t="s">
        <v>298</v>
      </c>
      <c r="AR43" s="474">
        <v>5.0000000000000001E-4</v>
      </c>
      <c r="AS43" s="474">
        <v>0.7</v>
      </c>
      <c r="AT43" s="516"/>
      <c r="AU43" s="546"/>
      <c r="AV43" s="516"/>
      <c r="AW43" s="516"/>
      <c r="AX43" s="519"/>
    </row>
    <row r="44" spans="1:75" ht="21" customHeight="1" thickBot="1">
      <c r="A44" s="513" t="s">
        <v>388</v>
      </c>
      <c r="B44" s="514"/>
      <c r="C44" s="515"/>
      <c r="D44" s="515"/>
      <c r="E44" s="515"/>
      <c r="F44" s="515"/>
      <c r="G44" s="515"/>
      <c r="H44" s="515"/>
      <c r="I44" s="515"/>
      <c r="J44" s="515"/>
      <c r="K44" s="515"/>
      <c r="L44" s="515"/>
      <c r="M44" s="515"/>
      <c r="N44" s="515"/>
      <c r="O44" s="515"/>
      <c r="P44" s="515"/>
      <c r="Q44" s="515"/>
      <c r="AB44" s="544" t="str">
        <f>L6</f>
        <v>Furniture Components (Textile)</v>
      </c>
      <c r="AC44" s="469" t="s">
        <v>296</v>
      </c>
      <c r="AD44" s="547">
        <f>L20</f>
        <v>1.6250000000000001E-2</v>
      </c>
      <c r="AE44" s="470">
        <f t="shared" ref="AE44" si="7">AD44*1.4*1000</f>
        <v>22.75</v>
      </c>
      <c r="AF44" s="468">
        <v>1.4</v>
      </c>
      <c r="AG44" s="548">
        <f>L38</f>
        <v>17</v>
      </c>
      <c r="AH44" s="468">
        <f>L41</f>
        <v>0.01</v>
      </c>
      <c r="AI44" s="468">
        <f>L69</f>
        <v>50</v>
      </c>
      <c r="AJ44" s="492">
        <f>L73</f>
        <v>108.98</v>
      </c>
      <c r="AP44" s="516" t="s">
        <v>37</v>
      </c>
      <c r="AQ44" s="474" t="s">
        <v>296</v>
      </c>
      <c r="AR44" s="549">
        <v>2.8136999999999999E-2</v>
      </c>
      <c r="AS44" s="520">
        <v>39.391799999999996</v>
      </c>
      <c r="AT44" s="516">
        <v>1.4</v>
      </c>
      <c r="AU44" s="518">
        <v>202</v>
      </c>
      <c r="AV44" s="516">
        <v>0.01</v>
      </c>
      <c r="AW44" s="516">
        <v>492</v>
      </c>
      <c r="AX44" s="550">
        <v>1.0000000000000001E-30</v>
      </c>
    </row>
    <row r="45" spans="1:75" s="554" customFormat="1" ht="22.5" customHeight="1" thickBot="1">
      <c r="A45" s="551" t="s">
        <v>389</v>
      </c>
      <c r="B45" s="542" t="s">
        <v>384</v>
      </c>
      <c r="C45" s="552"/>
      <c r="D45" s="553" t="s">
        <v>346</v>
      </c>
      <c r="E45" s="553" t="s">
        <v>346</v>
      </c>
      <c r="F45" s="553" t="s">
        <v>346</v>
      </c>
      <c r="G45" s="553" t="s">
        <v>346</v>
      </c>
      <c r="H45" s="553" t="s">
        <v>346</v>
      </c>
      <c r="I45" s="553" t="s">
        <v>346</v>
      </c>
      <c r="J45" s="553" t="s">
        <v>346</v>
      </c>
      <c r="K45" s="553"/>
      <c r="L45" s="553" t="s">
        <v>346</v>
      </c>
      <c r="M45" s="553" t="s">
        <v>346</v>
      </c>
      <c r="N45" s="553"/>
      <c r="O45" s="553" t="s">
        <v>346</v>
      </c>
      <c r="P45" s="553" t="s">
        <v>346</v>
      </c>
      <c r="Q45" s="553">
        <v>0</v>
      </c>
      <c r="S45" s="30"/>
      <c r="T45" s="30"/>
      <c r="U45" s="30"/>
      <c r="V45" s="30"/>
      <c r="W45" s="30"/>
      <c r="X45" s="30"/>
      <c r="Y45" s="30"/>
      <c r="Z45" s="30"/>
      <c r="AA45" s="30"/>
      <c r="AB45" s="544"/>
      <c r="AC45" s="469" t="s">
        <v>297</v>
      </c>
      <c r="AD45" s="547">
        <f>L21</f>
        <v>1.4247692307692308E-3</v>
      </c>
      <c r="AE45" s="470">
        <f t="shared" ref="AE45:AE47" si="8">AD45*1.4*1000</f>
        <v>1.994676923076923</v>
      </c>
      <c r="AF45" s="480"/>
      <c r="AG45" s="548">
        <f>L39</f>
        <v>12</v>
      </c>
      <c r="AH45" s="480"/>
      <c r="AI45" s="480"/>
      <c r="AJ45" s="495"/>
      <c r="AK45" s="30"/>
      <c r="AL45" s="30"/>
      <c r="AM45" s="30"/>
      <c r="AN45" s="30"/>
      <c r="AO45" s="30"/>
      <c r="AP45" s="516"/>
      <c r="AQ45" s="474" t="s">
        <v>297</v>
      </c>
      <c r="AR45" s="549">
        <v>1.4161874999999999E-2</v>
      </c>
      <c r="AS45" s="520">
        <v>19.826624999999996</v>
      </c>
      <c r="AT45" s="516"/>
      <c r="AU45" s="518">
        <v>101</v>
      </c>
      <c r="AV45" s="516"/>
      <c r="AW45" s="516"/>
      <c r="AX45" s="550"/>
      <c r="AY45" s="30"/>
      <c r="AZ45" s="30"/>
      <c r="BA45" s="30"/>
      <c r="BB45" s="30"/>
      <c r="BC45" s="30"/>
      <c r="BD45" s="30"/>
      <c r="BE45" s="30"/>
      <c r="BF45" s="30"/>
      <c r="BG45" s="30"/>
      <c r="BH45" s="30"/>
      <c r="BI45" s="30"/>
      <c r="BJ45" s="30"/>
      <c r="BK45" s="30"/>
      <c r="BL45" s="30"/>
      <c r="BM45" s="30"/>
      <c r="BN45" s="30"/>
      <c r="BO45" s="30"/>
      <c r="BP45" s="30"/>
      <c r="BQ45" s="30"/>
      <c r="BR45" s="30"/>
      <c r="BS45" s="30"/>
      <c r="BT45" s="30"/>
      <c r="BU45" s="30"/>
      <c r="BV45" s="30"/>
      <c r="BW45" s="30"/>
    </row>
    <row r="46" spans="1:75" s="554" customFormat="1" ht="15" customHeight="1" thickBot="1">
      <c r="A46" s="551" t="s">
        <v>390</v>
      </c>
      <c r="B46" s="542" t="s">
        <v>391</v>
      </c>
      <c r="C46" s="552"/>
      <c r="D46" s="553" t="s">
        <v>346</v>
      </c>
      <c r="E46" s="553" t="s">
        <v>346</v>
      </c>
      <c r="F46" s="553" t="s">
        <v>346</v>
      </c>
      <c r="G46" s="553" t="s">
        <v>346</v>
      </c>
      <c r="H46" s="553" t="s">
        <v>346</v>
      </c>
      <c r="I46" s="553" t="s">
        <v>346</v>
      </c>
      <c r="J46" s="553" t="s">
        <v>346</v>
      </c>
      <c r="K46" s="553"/>
      <c r="L46" s="553" t="s">
        <v>346</v>
      </c>
      <c r="M46" s="553" t="s">
        <v>346</v>
      </c>
      <c r="N46" s="553"/>
      <c r="O46" s="553" t="s">
        <v>346</v>
      </c>
      <c r="P46" s="553" t="s">
        <v>346</v>
      </c>
      <c r="Q46" s="553">
        <v>0</v>
      </c>
      <c r="S46" s="30"/>
      <c r="T46" s="30"/>
      <c r="U46" s="30"/>
      <c r="V46" s="30"/>
      <c r="W46" s="30"/>
      <c r="X46" s="30"/>
      <c r="Y46" s="30"/>
      <c r="Z46" s="30"/>
      <c r="AA46" s="30"/>
      <c r="AB46" s="544"/>
      <c r="AC46" s="469" t="s">
        <v>298</v>
      </c>
      <c r="AD46" s="555">
        <f>L22</f>
        <v>7.9999999999999996E-6</v>
      </c>
      <c r="AE46" s="470">
        <f t="shared" si="8"/>
        <v>1.12E-2</v>
      </c>
      <c r="AF46" s="486"/>
      <c r="AG46" s="548">
        <f>L40</f>
        <v>7.9</v>
      </c>
      <c r="AH46" s="486"/>
      <c r="AI46" s="486"/>
      <c r="AJ46" s="499"/>
      <c r="AK46" s="30"/>
      <c r="AL46" s="30"/>
      <c r="AM46" s="30"/>
      <c r="AN46" s="30"/>
      <c r="AO46" s="30"/>
      <c r="AP46" s="516"/>
      <c r="AQ46" s="474" t="s">
        <v>298</v>
      </c>
      <c r="AR46" s="556">
        <v>4.85E-5</v>
      </c>
      <c r="AS46" s="549">
        <v>6.7900000000000002E-2</v>
      </c>
      <c r="AT46" s="516"/>
      <c r="AU46" s="518">
        <v>50.5</v>
      </c>
      <c r="AV46" s="516"/>
      <c r="AW46" s="516"/>
      <c r="AX46" s="550"/>
      <c r="AY46" s="30"/>
      <c r="AZ46" s="30"/>
      <c r="BA46" s="30"/>
      <c r="BB46" s="30"/>
      <c r="BC46" s="30"/>
      <c r="BD46" s="30"/>
      <c r="BE46" s="30"/>
      <c r="BF46" s="30"/>
      <c r="BG46" s="30"/>
      <c r="BH46" s="30"/>
      <c r="BI46" s="30"/>
      <c r="BJ46" s="30"/>
      <c r="BK46" s="30"/>
      <c r="BL46" s="30"/>
      <c r="BM46" s="30"/>
      <c r="BN46" s="30"/>
      <c r="BO46" s="30"/>
      <c r="BP46" s="30"/>
      <c r="BQ46" s="30"/>
      <c r="BR46" s="30"/>
      <c r="BS46" s="30"/>
      <c r="BT46" s="30"/>
      <c r="BU46" s="30"/>
      <c r="BV46" s="30"/>
      <c r="BW46" s="30"/>
    </row>
    <row r="47" spans="1:75" s="554" customFormat="1" ht="26.65" customHeight="1" thickBot="1">
      <c r="A47" s="551" t="s">
        <v>392</v>
      </c>
      <c r="B47" s="542" t="s">
        <v>393</v>
      </c>
      <c r="C47" s="552"/>
      <c r="D47" s="553" t="s">
        <v>346</v>
      </c>
      <c r="E47" s="553" t="s">
        <v>346</v>
      </c>
      <c r="F47" s="553" t="s">
        <v>346</v>
      </c>
      <c r="G47" s="553" t="s">
        <v>346</v>
      </c>
      <c r="H47" s="553" t="s">
        <v>346</v>
      </c>
      <c r="I47" s="553" t="s">
        <v>346</v>
      </c>
      <c r="J47" s="553" t="s">
        <v>346</v>
      </c>
      <c r="K47" s="553"/>
      <c r="L47" s="553" t="s">
        <v>346</v>
      </c>
      <c r="M47" s="553" t="s">
        <v>346</v>
      </c>
      <c r="N47" s="553"/>
      <c r="O47" s="553" t="s">
        <v>346</v>
      </c>
      <c r="P47" s="553" t="s">
        <v>346</v>
      </c>
      <c r="Q47" s="553">
        <v>0</v>
      </c>
      <c r="S47" s="30"/>
      <c r="T47" s="30"/>
      <c r="U47" s="30"/>
      <c r="V47" s="30"/>
      <c r="W47" s="30"/>
      <c r="X47" s="30"/>
      <c r="Y47" s="30"/>
      <c r="Z47" s="30"/>
      <c r="AA47" s="30"/>
      <c r="AB47" s="544" t="e">
        <f>#REF!</f>
        <v>#REF!</v>
      </c>
      <c r="AC47" s="469" t="s">
        <v>296</v>
      </c>
      <c r="AD47" s="557" t="e">
        <f>#REF!</f>
        <v>#REF!</v>
      </c>
      <c r="AE47" s="470" t="e">
        <f t="shared" si="8"/>
        <v>#REF!</v>
      </c>
      <c r="AF47" s="468">
        <v>1.4</v>
      </c>
      <c r="AG47" s="548" t="e">
        <f>#REF!</f>
        <v>#REF!</v>
      </c>
      <c r="AH47" s="468" t="e">
        <f>#REF!</f>
        <v>#REF!</v>
      </c>
      <c r="AI47" s="468" t="e">
        <f>#REF!</f>
        <v>#REF!</v>
      </c>
      <c r="AJ47" s="468" t="e">
        <f>#REF!</f>
        <v>#REF!</v>
      </c>
      <c r="AK47" s="30"/>
      <c r="AL47" s="30"/>
      <c r="AM47" s="30"/>
      <c r="AN47" s="30"/>
      <c r="AO47" s="30"/>
      <c r="AP47" s="516" t="s">
        <v>312</v>
      </c>
      <c r="AQ47" s="474" t="s">
        <v>296</v>
      </c>
      <c r="AR47" s="474">
        <v>4.0000000000000003E-5</v>
      </c>
      <c r="AS47" s="474">
        <v>5.6000000000000001E-2</v>
      </c>
      <c r="AT47" s="516">
        <v>1.4</v>
      </c>
      <c r="AU47" s="518">
        <v>200</v>
      </c>
      <c r="AV47" s="516">
        <v>0.01</v>
      </c>
      <c r="AW47" s="516">
        <v>492</v>
      </c>
      <c r="AX47" s="550">
        <v>1.0000000000000001E-30</v>
      </c>
      <c r="AY47" s="30"/>
      <c r="AZ47" s="30"/>
      <c r="BA47" s="30"/>
      <c r="BB47" s="30"/>
      <c r="BC47" s="30"/>
      <c r="BD47" s="30"/>
      <c r="BE47" s="30"/>
      <c r="BF47" s="30"/>
      <c r="BG47" s="30"/>
      <c r="BH47" s="30"/>
      <c r="BI47" s="30"/>
      <c r="BJ47" s="30"/>
      <c r="BK47" s="30"/>
      <c r="BL47" s="30"/>
      <c r="BM47" s="30"/>
      <c r="BN47" s="30"/>
      <c r="BO47" s="30"/>
      <c r="BP47" s="30"/>
      <c r="BQ47" s="30"/>
      <c r="BR47" s="30"/>
      <c r="BS47" s="30"/>
      <c r="BT47" s="30"/>
      <c r="BU47" s="30"/>
      <c r="BV47" s="30"/>
      <c r="BW47" s="30"/>
    </row>
    <row r="48" spans="1:75" ht="18" customHeight="1" thickBot="1">
      <c r="A48" s="521" t="s">
        <v>394</v>
      </c>
      <c r="B48" s="522" t="s">
        <v>395</v>
      </c>
      <c r="C48" s="458" t="s">
        <v>296</v>
      </c>
      <c r="D48" s="523" t="s">
        <v>346</v>
      </c>
      <c r="E48" s="523" t="s">
        <v>346</v>
      </c>
      <c r="F48" s="523" t="s">
        <v>346</v>
      </c>
      <c r="G48" s="558">
        <f>'Article Inputs'!$P$82*0.006</f>
        <v>9.2527851237891694E-4</v>
      </c>
      <c r="H48" s="558">
        <f>'Article Inputs'!$P$82*0.006</f>
        <v>9.2527851237891694E-4</v>
      </c>
      <c r="I48" s="523" t="s">
        <v>346</v>
      </c>
      <c r="J48" s="523" t="s">
        <v>346</v>
      </c>
      <c r="K48" s="523" t="s">
        <v>346</v>
      </c>
      <c r="L48" s="558">
        <f>'Article Inputs'!$P$82*0.006</f>
        <v>9.2527851237891694E-4</v>
      </c>
      <c r="M48" s="523" t="s">
        <v>346</v>
      </c>
      <c r="N48" s="523" t="s">
        <v>346</v>
      </c>
      <c r="O48" s="523" t="s">
        <v>346</v>
      </c>
      <c r="P48" s="523" t="s">
        <v>346</v>
      </c>
      <c r="Q48" s="523" t="s">
        <v>346</v>
      </c>
      <c r="AB48" s="544"/>
      <c r="AC48" s="469" t="s">
        <v>297</v>
      </c>
      <c r="AD48" s="557"/>
      <c r="AE48" s="481"/>
      <c r="AF48" s="480"/>
      <c r="AG48" s="548" t="e">
        <f>#REF!</f>
        <v>#REF!</v>
      </c>
      <c r="AH48" s="480"/>
      <c r="AI48" s="480"/>
      <c r="AJ48" s="480"/>
      <c r="AP48" s="516"/>
      <c r="AQ48" s="474" t="s">
        <v>297</v>
      </c>
      <c r="AR48" s="474">
        <v>2.5000000000000001E-5</v>
      </c>
      <c r="AS48" s="474">
        <v>3.4999999999999996E-2</v>
      </c>
      <c r="AT48" s="516"/>
      <c r="AU48" s="518">
        <v>100</v>
      </c>
      <c r="AV48" s="516"/>
      <c r="AW48" s="516"/>
      <c r="AX48" s="550"/>
    </row>
    <row r="49" spans="1:75" ht="22.15" customHeight="1" thickBot="1">
      <c r="A49" s="559"/>
      <c r="B49" s="528"/>
      <c r="C49" s="458" t="s">
        <v>302</v>
      </c>
      <c r="D49" s="523" t="s">
        <v>346</v>
      </c>
      <c r="E49" s="523" t="s">
        <v>346</v>
      </c>
      <c r="F49" s="523" t="s">
        <v>346</v>
      </c>
      <c r="G49" s="558">
        <f>'Article Inputs'!$P$83*0.006</f>
        <v>2.0473620871095305E-4</v>
      </c>
      <c r="H49" s="558">
        <f>'Article Inputs'!$P$83*0.006</f>
        <v>2.0473620871095305E-4</v>
      </c>
      <c r="I49" s="523" t="s">
        <v>346</v>
      </c>
      <c r="J49" s="523" t="s">
        <v>346</v>
      </c>
      <c r="K49" s="523" t="s">
        <v>346</v>
      </c>
      <c r="L49" s="558">
        <f>'Article Inputs'!$P$83*0.006</f>
        <v>2.0473620871095305E-4</v>
      </c>
      <c r="M49" s="523" t="s">
        <v>346</v>
      </c>
      <c r="N49" s="523" t="s">
        <v>346</v>
      </c>
      <c r="O49" s="523" t="s">
        <v>346</v>
      </c>
      <c r="P49" s="523" t="s">
        <v>346</v>
      </c>
      <c r="Q49" s="523" t="s">
        <v>346</v>
      </c>
      <c r="AB49" s="544"/>
      <c r="AC49" s="469" t="s">
        <v>298</v>
      </c>
      <c r="AD49" s="557"/>
      <c r="AE49" s="481"/>
      <c r="AF49" s="486"/>
      <c r="AG49" s="548" t="e">
        <f>#REF!</f>
        <v>#REF!</v>
      </c>
      <c r="AH49" s="486"/>
      <c r="AI49" s="486"/>
      <c r="AJ49" s="486"/>
      <c r="AP49" s="516"/>
      <c r="AQ49" s="474" t="s">
        <v>298</v>
      </c>
      <c r="AR49" s="474">
        <v>1.0000000000000001E-5</v>
      </c>
      <c r="AS49" s="474">
        <v>1.4E-2</v>
      </c>
      <c r="AT49" s="516"/>
      <c r="AU49" s="518">
        <v>50</v>
      </c>
      <c r="AV49" s="516"/>
      <c r="AW49" s="516"/>
      <c r="AX49" s="550"/>
    </row>
    <row r="50" spans="1:75" ht="20.65" customHeight="1" thickBot="1">
      <c r="A50" s="560"/>
      <c r="B50" s="533"/>
      <c r="C50" s="458" t="s">
        <v>298</v>
      </c>
      <c r="D50" s="523" t="s">
        <v>346</v>
      </c>
      <c r="E50" s="523" t="s">
        <v>346</v>
      </c>
      <c r="F50" s="523" t="s">
        <v>346</v>
      </c>
      <c r="G50" s="558">
        <f>'Article Inputs'!$P$84*0.006</f>
        <v>8.3778034773276832E-7</v>
      </c>
      <c r="H50" s="558">
        <f>'Article Inputs'!$P$84*0.006</f>
        <v>8.3778034773276832E-7</v>
      </c>
      <c r="I50" s="523" t="s">
        <v>346</v>
      </c>
      <c r="J50" s="523" t="s">
        <v>346</v>
      </c>
      <c r="K50" s="523" t="s">
        <v>346</v>
      </c>
      <c r="L50" s="558">
        <f>'Article Inputs'!$P$84*0.006</f>
        <v>8.3778034773276832E-7</v>
      </c>
      <c r="M50" s="523" t="s">
        <v>346</v>
      </c>
      <c r="N50" s="523" t="s">
        <v>346</v>
      </c>
      <c r="O50" s="523" t="s">
        <v>346</v>
      </c>
      <c r="P50" s="523" t="s">
        <v>346</v>
      </c>
      <c r="Q50" s="523" t="s">
        <v>346</v>
      </c>
      <c r="AB50" s="544" t="str">
        <f>K6</f>
        <v>Footwear Components</v>
      </c>
      <c r="AC50" s="469" t="s">
        <v>296</v>
      </c>
      <c r="AD50" s="548" t="str">
        <f>K20</f>
        <v>n/a</v>
      </c>
      <c r="AE50" s="470" t="e">
        <f t="shared" ref="AE50:AE67" si="9">AD50*1.4*1000</f>
        <v>#VALUE!</v>
      </c>
      <c r="AF50" s="468">
        <v>1.4</v>
      </c>
      <c r="AG50" s="548" t="str">
        <f>K38</f>
        <v>n/a</v>
      </c>
      <c r="AH50" s="468" t="str">
        <f>K41</f>
        <v>n/a</v>
      </c>
      <c r="AI50" s="468" t="str">
        <f>K69</f>
        <v>n/a</v>
      </c>
      <c r="AJ50" s="492" t="str">
        <f>K73</f>
        <v>n/a</v>
      </c>
      <c r="AP50" s="544"/>
      <c r="AQ50" s="469"/>
      <c r="AR50" s="481"/>
      <c r="AS50" s="481"/>
      <c r="AT50" s="480"/>
      <c r="AU50" s="561"/>
      <c r="AV50" s="480"/>
      <c r="AW50" s="480"/>
      <c r="AX50" s="495"/>
    </row>
    <row r="51" spans="1:75" s="554" customFormat="1" ht="15" thickBot="1">
      <c r="A51" s="551" t="s">
        <v>396</v>
      </c>
      <c r="B51" s="542" t="s">
        <v>384</v>
      </c>
      <c r="C51" s="552"/>
      <c r="D51" s="553" t="s">
        <v>346</v>
      </c>
      <c r="E51" s="553" t="s">
        <v>346</v>
      </c>
      <c r="F51" s="553" t="s">
        <v>346</v>
      </c>
      <c r="G51" s="553" t="s">
        <v>346</v>
      </c>
      <c r="H51" s="553" t="s">
        <v>346</v>
      </c>
      <c r="I51" s="553" t="s">
        <v>346</v>
      </c>
      <c r="J51" s="553" t="s">
        <v>346</v>
      </c>
      <c r="K51" s="553" t="s">
        <v>346</v>
      </c>
      <c r="L51" s="553" t="s">
        <v>346</v>
      </c>
      <c r="M51" s="553" t="s">
        <v>346</v>
      </c>
      <c r="N51" s="553" t="s">
        <v>346</v>
      </c>
      <c r="O51" s="553" t="s">
        <v>346</v>
      </c>
      <c r="P51" s="553" t="s">
        <v>346</v>
      </c>
      <c r="Q51" s="553">
        <v>0</v>
      </c>
      <c r="S51" s="30"/>
      <c r="T51" s="30"/>
      <c r="U51" s="30"/>
      <c r="V51" s="30"/>
      <c r="W51" s="30"/>
      <c r="X51" s="30"/>
      <c r="Y51" s="30"/>
      <c r="Z51" s="30"/>
      <c r="AA51" s="30"/>
      <c r="AB51" s="544"/>
      <c r="AC51" s="469" t="s">
        <v>297</v>
      </c>
      <c r="AD51" s="548" t="str">
        <f>K21</f>
        <v>n/a</v>
      </c>
      <c r="AE51" s="470" t="e">
        <f t="shared" si="9"/>
        <v>#VALUE!</v>
      </c>
      <c r="AF51" s="480"/>
      <c r="AG51" s="548" t="str">
        <f>K39</f>
        <v>`</v>
      </c>
      <c r="AH51" s="480"/>
      <c r="AI51" s="480"/>
      <c r="AJ51" s="495"/>
      <c r="AK51" s="30"/>
      <c r="AL51" s="30"/>
      <c r="AM51" s="30"/>
      <c r="AN51" s="30"/>
      <c r="AO51" s="30"/>
      <c r="AP51" s="544"/>
      <c r="AQ51" s="469"/>
      <c r="AR51" s="470"/>
      <c r="AS51" s="470"/>
      <c r="AT51" s="480"/>
      <c r="AU51" s="561"/>
      <c r="AV51" s="480"/>
      <c r="AW51" s="480"/>
      <c r="AX51" s="495"/>
      <c r="AY51" s="30"/>
      <c r="AZ51" s="30"/>
      <c r="BA51" s="30"/>
      <c r="BB51" s="30"/>
      <c r="BC51" s="30"/>
      <c r="BD51" s="30"/>
      <c r="BE51" s="30"/>
      <c r="BF51" s="30"/>
      <c r="BG51" s="30"/>
      <c r="BH51" s="30"/>
      <c r="BI51" s="30"/>
      <c r="BJ51" s="30"/>
      <c r="BK51" s="30"/>
      <c r="BL51" s="30"/>
      <c r="BM51" s="30"/>
      <c r="BN51" s="30"/>
      <c r="BO51" s="30"/>
      <c r="BP51" s="30"/>
      <c r="BQ51" s="30"/>
      <c r="BR51" s="30"/>
      <c r="BS51" s="30"/>
      <c r="BT51" s="30"/>
      <c r="BU51" s="30"/>
      <c r="BV51" s="30"/>
      <c r="BW51" s="30"/>
    </row>
    <row r="52" spans="1:75" s="554" customFormat="1" ht="15" customHeight="1" thickBot="1">
      <c r="A52" s="551" t="s">
        <v>397</v>
      </c>
      <c r="B52" s="542" t="s">
        <v>398</v>
      </c>
      <c r="C52" s="552"/>
      <c r="D52" s="553" t="s">
        <v>346</v>
      </c>
      <c r="E52" s="553" t="s">
        <v>346</v>
      </c>
      <c r="F52" s="553" t="s">
        <v>346</v>
      </c>
      <c r="G52" s="553" t="s">
        <v>346</v>
      </c>
      <c r="H52" s="553" t="s">
        <v>346</v>
      </c>
      <c r="I52" s="553" t="s">
        <v>346</v>
      </c>
      <c r="J52" s="553" t="s">
        <v>346</v>
      </c>
      <c r="K52" s="553" t="s">
        <v>346</v>
      </c>
      <c r="L52" s="553" t="s">
        <v>346</v>
      </c>
      <c r="M52" s="553" t="s">
        <v>346</v>
      </c>
      <c r="N52" s="553" t="s">
        <v>346</v>
      </c>
      <c r="O52" s="553" t="s">
        <v>346</v>
      </c>
      <c r="P52" s="553" t="s">
        <v>346</v>
      </c>
      <c r="Q52" s="553">
        <v>0</v>
      </c>
      <c r="S52" s="30"/>
      <c r="T52" s="30"/>
      <c r="U52" s="30"/>
      <c r="V52" s="30"/>
      <c r="W52" s="30"/>
      <c r="X52" s="30"/>
      <c r="Y52" s="30"/>
      <c r="Z52" s="30"/>
      <c r="AA52" s="30"/>
      <c r="AB52" s="544"/>
      <c r="AC52" s="469" t="s">
        <v>298</v>
      </c>
      <c r="AD52" s="548" t="str">
        <f>K22</f>
        <v>n/a</v>
      </c>
      <c r="AE52" s="470" t="e">
        <f t="shared" si="9"/>
        <v>#VALUE!</v>
      </c>
      <c r="AF52" s="486"/>
      <c r="AG52" s="548" t="str">
        <f>K40</f>
        <v>n/a</v>
      </c>
      <c r="AH52" s="486"/>
      <c r="AI52" s="486"/>
      <c r="AJ52" s="499"/>
      <c r="AK52" s="30"/>
      <c r="AL52" s="30"/>
      <c r="AM52" s="30"/>
      <c r="AN52" s="30"/>
      <c r="AO52" s="30"/>
      <c r="AP52" s="544"/>
      <c r="AQ52" s="469"/>
      <c r="AR52" s="470"/>
      <c r="AS52" s="470"/>
      <c r="AT52" s="486"/>
      <c r="AU52" s="561"/>
      <c r="AV52" s="486"/>
      <c r="AW52" s="486"/>
      <c r="AX52" s="499"/>
      <c r="AY52" s="30"/>
      <c r="AZ52" s="30"/>
      <c r="BA52" s="30"/>
      <c r="BB52" s="30"/>
      <c r="BC52" s="30"/>
      <c r="BD52" s="30"/>
      <c r="BE52" s="30"/>
      <c r="BF52" s="30"/>
      <c r="BG52" s="30"/>
      <c r="BH52" s="30"/>
      <c r="BI52" s="30"/>
      <c r="BJ52" s="30"/>
      <c r="BK52" s="30"/>
      <c r="BL52" s="30"/>
      <c r="BM52" s="30"/>
      <c r="BN52" s="30"/>
      <c r="BO52" s="30"/>
      <c r="BP52" s="30"/>
      <c r="BQ52" s="30"/>
      <c r="BR52" s="30"/>
      <c r="BS52" s="30"/>
      <c r="BT52" s="30"/>
      <c r="BU52" s="30"/>
      <c r="BV52" s="30"/>
      <c r="BW52" s="30"/>
    </row>
    <row r="53" spans="1:75" s="554" customFormat="1" ht="26.65" customHeight="1" thickTop="1" thickBot="1">
      <c r="A53" s="551" t="s">
        <v>399</v>
      </c>
      <c r="B53" s="542" t="s">
        <v>400</v>
      </c>
      <c r="C53" s="552"/>
      <c r="D53" s="553" t="s">
        <v>346</v>
      </c>
      <c r="E53" s="553" t="s">
        <v>346</v>
      </c>
      <c r="F53" s="553" t="s">
        <v>346</v>
      </c>
      <c r="G53" s="553" t="s">
        <v>346</v>
      </c>
      <c r="H53" s="553" t="s">
        <v>346</v>
      </c>
      <c r="I53" s="553" t="s">
        <v>346</v>
      </c>
      <c r="J53" s="553" t="s">
        <v>346</v>
      </c>
      <c r="K53" s="553" t="s">
        <v>346</v>
      </c>
      <c r="L53" s="553" t="s">
        <v>346</v>
      </c>
      <c r="M53" s="553" t="s">
        <v>346</v>
      </c>
      <c r="N53" s="553" t="s">
        <v>346</v>
      </c>
      <c r="O53" s="553" t="s">
        <v>346</v>
      </c>
      <c r="P53" s="553" t="s">
        <v>346</v>
      </c>
      <c r="Q53" s="553">
        <v>0</v>
      </c>
      <c r="S53" s="30"/>
      <c r="T53" s="30"/>
      <c r="U53" s="30"/>
      <c r="V53" s="30"/>
      <c r="W53" s="30"/>
      <c r="X53" s="30"/>
      <c r="Y53" s="30"/>
      <c r="Z53" s="30"/>
      <c r="AA53" s="30"/>
      <c r="AB53" s="544" t="str">
        <f>M6</f>
        <v>Shower Curtains</v>
      </c>
      <c r="AC53" s="469" t="s">
        <v>296</v>
      </c>
      <c r="AD53" s="548">
        <f>M20</f>
        <v>1.73E-4</v>
      </c>
      <c r="AE53" s="470">
        <f t="shared" si="9"/>
        <v>0.24219999999999997</v>
      </c>
      <c r="AF53" s="468">
        <v>1.4</v>
      </c>
      <c r="AG53" s="548">
        <f>M38</f>
        <v>6.5</v>
      </c>
      <c r="AH53" s="471">
        <f>M41</f>
        <v>0.01</v>
      </c>
      <c r="AI53" s="471">
        <f>M69</f>
        <v>15</v>
      </c>
      <c r="AJ53" s="471">
        <f>M73</f>
        <v>107.01</v>
      </c>
      <c r="AK53" s="30"/>
      <c r="AL53" s="30"/>
      <c r="AM53" s="30"/>
      <c r="AN53" s="30"/>
      <c r="AO53" s="30"/>
      <c r="AY53" s="30"/>
      <c r="AZ53" s="30"/>
      <c r="BA53" s="30"/>
      <c r="BB53" s="30"/>
      <c r="BC53" s="30"/>
      <c r="BD53" s="30"/>
      <c r="BE53" s="30"/>
      <c r="BF53" s="30"/>
      <c r="BG53" s="30"/>
      <c r="BH53" s="30"/>
      <c r="BI53" s="30"/>
      <c r="BJ53" s="30"/>
      <c r="BK53" s="30"/>
      <c r="BL53" s="30"/>
      <c r="BM53" s="30"/>
      <c r="BN53" s="30"/>
      <c r="BO53" s="30"/>
      <c r="BP53" s="30"/>
      <c r="BQ53" s="30"/>
      <c r="BR53" s="30"/>
      <c r="BS53" s="30"/>
      <c r="BT53" s="30"/>
      <c r="BU53" s="30"/>
      <c r="BV53" s="30"/>
      <c r="BW53" s="30"/>
    </row>
    <row r="54" spans="1:75" s="554" customFormat="1" ht="15" thickBot="1">
      <c r="A54" s="551" t="s">
        <v>401</v>
      </c>
      <c r="B54" s="542" t="s">
        <v>345</v>
      </c>
      <c r="C54" s="552"/>
      <c r="D54" s="553" t="s">
        <v>346</v>
      </c>
      <c r="E54" s="553" t="s">
        <v>346</v>
      </c>
      <c r="F54" s="553" t="s">
        <v>346</v>
      </c>
      <c r="G54" s="553" t="s">
        <v>346</v>
      </c>
      <c r="H54" s="553" t="s">
        <v>346</v>
      </c>
      <c r="I54" s="553" t="s">
        <v>346</v>
      </c>
      <c r="J54" s="553" t="s">
        <v>346</v>
      </c>
      <c r="K54" s="553" t="s">
        <v>346</v>
      </c>
      <c r="L54" s="553" t="s">
        <v>346</v>
      </c>
      <c r="M54" s="553" t="s">
        <v>346</v>
      </c>
      <c r="N54" s="553" t="s">
        <v>346</v>
      </c>
      <c r="O54" s="553" t="s">
        <v>346</v>
      </c>
      <c r="P54" s="553" t="s">
        <v>346</v>
      </c>
      <c r="Q54" s="553">
        <v>0</v>
      </c>
      <c r="S54" s="30"/>
      <c r="T54" s="30"/>
      <c r="U54" s="30"/>
      <c r="V54" s="30"/>
      <c r="W54" s="30"/>
      <c r="X54" s="30"/>
      <c r="Y54" s="30"/>
      <c r="Z54" s="30"/>
      <c r="AA54" s="30"/>
      <c r="AB54" s="544"/>
      <c r="AC54" s="469" t="s">
        <v>297</v>
      </c>
      <c r="AD54" s="547">
        <f>M21</f>
        <v>1.0970000000000001E-4</v>
      </c>
      <c r="AE54" s="470">
        <f t="shared" si="9"/>
        <v>0.15357999999999999</v>
      </c>
      <c r="AF54" s="480"/>
      <c r="AG54" s="548">
        <f t="shared" ref="AG54:AG55" si="10">M39</f>
        <v>6.5</v>
      </c>
      <c r="AH54" s="480"/>
      <c r="AI54" s="480"/>
      <c r="AJ54" s="480"/>
      <c r="AK54" s="30"/>
      <c r="AL54" s="30"/>
      <c r="AM54" s="30"/>
      <c r="AN54" s="30"/>
      <c r="AO54" s="30"/>
      <c r="AY54" s="30"/>
      <c r="AZ54" s="30"/>
      <c r="BA54" s="30"/>
      <c r="BB54" s="30"/>
      <c r="BC54" s="30"/>
      <c r="BD54" s="30"/>
      <c r="BE54" s="30"/>
      <c r="BF54" s="30"/>
      <c r="BG54" s="30"/>
      <c r="BH54" s="30"/>
      <c r="BI54" s="30"/>
      <c r="BJ54" s="30"/>
      <c r="BK54" s="30"/>
      <c r="BL54" s="30"/>
      <c r="BM54" s="30"/>
      <c r="BN54" s="30"/>
      <c r="BO54" s="30"/>
      <c r="BP54" s="30"/>
      <c r="BQ54" s="30"/>
      <c r="BR54" s="30"/>
      <c r="BS54" s="30"/>
      <c r="BT54" s="30"/>
      <c r="BU54" s="30"/>
      <c r="BV54" s="30"/>
      <c r="BW54" s="30"/>
    </row>
    <row r="55" spans="1:75" s="554" customFormat="1" ht="15" customHeight="1" thickBot="1">
      <c r="A55" s="551" t="s">
        <v>402</v>
      </c>
      <c r="B55" s="542" t="s">
        <v>345</v>
      </c>
      <c r="C55" s="552"/>
      <c r="D55" s="553" t="s">
        <v>346</v>
      </c>
      <c r="E55" s="553" t="s">
        <v>346</v>
      </c>
      <c r="F55" s="553" t="s">
        <v>346</v>
      </c>
      <c r="G55" s="553" t="s">
        <v>346</v>
      </c>
      <c r="H55" s="553" t="s">
        <v>346</v>
      </c>
      <c r="I55" s="553" t="s">
        <v>346</v>
      </c>
      <c r="J55" s="553" t="s">
        <v>346</v>
      </c>
      <c r="K55" s="553" t="s">
        <v>346</v>
      </c>
      <c r="L55" s="553" t="s">
        <v>346</v>
      </c>
      <c r="M55" s="553" t="s">
        <v>346</v>
      </c>
      <c r="N55" s="553" t="s">
        <v>346</v>
      </c>
      <c r="O55" s="553" t="s">
        <v>346</v>
      </c>
      <c r="P55" s="553" t="s">
        <v>346</v>
      </c>
      <c r="Q55" s="553">
        <v>0</v>
      </c>
      <c r="S55" s="30"/>
      <c r="T55" s="30"/>
      <c r="U55" s="30"/>
      <c r="V55" s="30"/>
      <c r="W55" s="30"/>
      <c r="X55" s="30"/>
      <c r="Y55" s="30"/>
      <c r="Z55" s="30"/>
      <c r="AA55" s="30"/>
      <c r="AB55" s="544"/>
      <c r="AC55" s="469" t="s">
        <v>298</v>
      </c>
      <c r="AD55" s="548">
        <f>M22</f>
        <v>6.4200000000000002E-5</v>
      </c>
      <c r="AE55" s="470">
        <f t="shared" si="9"/>
        <v>8.9880000000000002E-2</v>
      </c>
      <c r="AF55" s="486"/>
      <c r="AG55" s="548">
        <f t="shared" si="10"/>
        <v>6.5</v>
      </c>
      <c r="AH55" s="486"/>
      <c r="AI55" s="486"/>
      <c r="AJ55" s="486"/>
      <c r="AK55" s="30"/>
      <c r="AL55" s="30"/>
      <c r="AM55" s="30"/>
      <c r="AN55" s="30"/>
      <c r="AO55" s="30"/>
      <c r="AY55" s="30"/>
      <c r="AZ55" s="30"/>
      <c r="BA55" s="30"/>
      <c r="BB55" s="30"/>
      <c r="BC55" s="30"/>
      <c r="BD55" s="30"/>
      <c r="BE55" s="30"/>
      <c r="BF55" s="30"/>
      <c r="BG55" s="30"/>
      <c r="BH55" s="30"/>
      <c r="BI55" s="30"/>
      <c r="BJ55" s="30"/>
      <c r="BK55" s="30"/>
      <c r="BL55" s="30"/>
      <c r="BM55" s="30"/>
      <c r="BN55" s="30"/>
      <c r="BO55" s="30"/>
      <c r="BP55" s="30"/>
      <c r="BQ55" s="30"/>
      <c r="BR55" s="30"/>
      <c r="BS55" s="30"/>
      <c r="BT55" s="30"/>
      <c r="BU55" s="30"/>
      <c r="BV55" s="30"/>
      <c r="BW55" s="30"/>
    </row>
    <row r="56" spans="1:75" s="554" customFormat="1" ht="65.650000000000006" customHeight="1" thickBot="1">
      <c r="A56" s="551" t="s">
        <v>403</v>
      </c>
      <c r="B56" s="542" t="s">
        <v>404</v>
      </c>
      <c r="C56" s="552"/>
      <c r="D56" s="553" t="s">
        <v>346</v>
      </c>
      <c r="E56" s="553" t="s">
        <v>346</v>
      </c>
      <c r="F56" s="553" t="s">
        <v>346</v>
      </c>
      <c r="G56" s="553" t="s">
        <v>346</v>
      </c>
      <c r="H56" s="553" t="s">
        <v>346</v>
      </c>
      <c r="I56" s="553" t="s">
        <v>346</v>
      </c>
      <c r="J56" s="553" t="s">
        <v>346</v>
      </c>
      <c r="K56" s="553" t="s">
        <v>346</v>
      </c>
      <c r="L56" s="553" t="s">
        <v>346</v>
      </c>
      <c r="M56" s="553" t="s">
        <v>346</v>
      </c>
      <c r="N56" s="553" t="s">
        <v>346</v>
      </c>
      <c r="O56" s="553" t="s">
        <v>346</v>
      </c>
      <c r="P56" s="553" t="s">
        <v>346</v>
      </c>
      <c r="Q56" s="553">
        <v>0</v>
      </c>
      <c r="S56" s="30"/>
      <c r="T56" s="30"/>
      <c r="U56" s="30"/>
      <c r="V56" s="30"/>
      <c r="W56" s="30"/>
      <c r="X56" s="30"/>
      <c r="Y56" s="30"/>
      <c r="Z56" s="30"/>
      <c r="AA56" s="30"/>
      <c r="AB56" s="544" t="str">
        <f>N6</f>
        <v>Small Articles with Potential for semi-routine contact</v>
      </c>
      <c r="AC56" s="469" t="s">
        <v>296</v>
      </c>
      <c r="AD56" s="548" t="str">
        <f>N20</f>
        <v>n/a</v>
      </c>
      <c r="AE56" s="470" t="e">
        <f t="shared" si="9"/>
        <v>#VALUE!</v>
      </c>
      <c r="AF56" s="468">
        <v>1.4</v>
      </c>
      <c r="AG56" s="548" t="str">
        <f>N38</f>
        <v>n/a</v>
      </c>
      <c r="AH56" s="468" t="str">
        <f>N41</f>
        <v>n/a</v>
      </c>
      <c r="AI56" s="468" t="str">
        <f>N69</f>
        <v>n/a</v>
      </c>
      <c r="AJ56" s="492" t="str">
        <f>N73</f>
        <v>n/a</v>
      </c>
      <c r="AK56" s="30"/>
      <c r="AL56" s="30"/>
      <c r="AM56" s="30"/>
      <c r="AN56" s="30"/>
      <c r="AO56" s="30"/>
      <c r="AP56" s="544"/>
      <c r="AQ56" s="469"/>
      <c r="AR56" s="470"/>
      <c r="AS56" s="470"/>
      <c r="AT56" s="468"/>
      <c r="AU56" s="561"/>
      <c r="AV56" s="468"/>
      <c r="AW56" s="468"/>
      <c r="AX56" s="492"/>
      <c r="AY56" s="30"/>
      <c r="AZ56" s="30"/>
      <c r="BA56" s="30"/>
      <c r="BB56" s="30"/>
      <c r="BC56" s="30"/>
      <c r="BD56" s="30"/>
      <c r="BE56" s="30"/>
      <c r="BF56" s="30"/>
      <c r="BG56" s="30"/>
      <c r="BH56" s="30"/>
      <c r="BI56" s="30"/>
      <c r="BJ56" s="30"/>
      <c r="BK56" s="30"/>
      <c r="BL56" s="30"/>
      <c r="BM56" s="30"/>
      <c r="BN56" s="30"/>
      <c r="BO56" s="30"/>
      <c r="BP56" s="30"/>
      <c r="BQ56" s="30"/>
      <c r="BR56" s="30"/>
      <c r="BS56" s="30"/>
      <c r="BT56" s="30"/>
      <c r="BU56" s="30"/>
      <c r="BV56" s="30"/>
      <c r="BW56" s="30"/>
    </row>
    <row r="57" spans="1:75" s="554" customFormat="1" ht="15" thickBot="1">
      <c r="A57" s="551" t="s">
        <v>405</v>
      </c>
      <c r="B57" s="542" t="s">
        <v>345</v>
      </c>
      <c r="C57" s="552"/>
      <c r="D57" s="553" t="s">
        <v>346</v>
      </c>
      <c r="E57" s="553" t="s">
        <v>346</v>
      </c>
      <c r="F57" s="553" t="s">
        <v>346</v>
      </c>
      <c r="G57" s="553" t="s">
        <v>346</v>
      </c>
      <c r="H57" s="553" t="s">
        <v>346</v>
      </c>
      <c r="I57" s="553" t="s">
        <v>346</v>
      </c>
      <c r="J57" s="553" t="s">
        <v>346</v>
      </c>
      <c r="K57" s="553" t="s">
        <v>346</v>
      </c>
      <c r="L57" s="553" t="s">
        <v>346</v>
      </c>
      <c r="M57" s="553" t="s">
        <v>346</v>
      </c>
      <c r="N57" s="553" t="s">
        <v>346</v>
      </c>
      <c r="O57" s="553" t="s">
        <v>346</v>
      </c>
      <c r="P57" s="553" t="s">
        <v>346</v>
      </c>
      <c r="Q57" s="553">
        <v>0</v>
      </c>
      <c r="S57" s="30"/>
      <c r="T57" s="30"/>
      <c r="U57" s="30"/>
      <c r="V57" s="30"/>
      <c r="W57" s="30"/>
      <c r="X57" s="30"/>
      <c r="Y57" s="30"/>
      <c r="Z57" s="30"/>
      <c r="AA57" s="30"/>
      <c r="AB57" s="544"/>
      <c r="AC57" s="469" t="s">
        <v>297</v>
      </c>
      <c r="AD57" s="548" t="str">
        <f>N21</f>
        <v>n/a</v>
      </c>
      <c r="AE57" s="470" t="e">
        <f t="shared" si="9"/>
        <v>#VALUE!</v>
      </c>
      <c r="AF57" s="480"/>
      <c r="AG57" s="548" t="str">
        <f t="shared" ref="AG57:AG58" si="11">N39</f>
        <v>n/a</v>
      </c>
      <c r="AH57" s="480"/>
      <c r="AI57" s="480"/>
      <c r="AJ57" s="495"/>
      <c r="AK57" s="30"/>
      <c r="AL57" s="30"/>
      <c r="AM57" s="30"/>
      <c r="AN57" s="30"/>
      <c r="AO57" s="30"/>
      <c r="AP57" s="544"/>
      <c r="AQ57" s="469"/>
      <c r="AR57" s="470"/>
      <c r="AS57" s="470"/>
      <c r="AT57" s="480"/>
      <c r="AU57" s="561"/>
      <c r="AV57" s="480"/>
      <c r="AW57" s="480"/>
      <c r="AX57" s="495"/>
      <c r="AY57" s="30"/>
      <c r="AZ57" s="30"/>
      <c r="BA57" s="30"/>
      <c r="BB57" s="30"/>
      <c r="BC57" s="30"/>
      <c r="BD57" s="30"/>
      <c r="BE57" s="30"/>
      <c r="BF57" s="30"/>
      <c r="BG57" s="30"/>
      <c r="BH57" s="30"/>
      <c r="BI57" s="30"/>
      <c r="BJ57" s="30"/>
      <c r="BK57" s="30"/>
      <c r="BL57" s="30"/>
      <c r="BM57" s="30"/>
      <c r="BN57" s="30"/>
      <c r="BO57" s="30"/>
      <c r="BP57" s="30"/>
      <c r="BQ57" s="30"/>
      <c r="BR57" s="30"/>
      <c r="BS57" s="30"/>
      <c r="BT57" s="30"/>
      <c r="BU57" s="30"/>
      <c r="BV57" s="30"/>
      <c r="BW57" s="30"/>
    </row>
    <row r="58" spans="1:75" s="554" customFormat="1" ht="15" customHeight="1" thickBot="1">
      <c r="A58" s="551" t="s">
        <v>406</v>
      </c>
      <c r="B58" s="542" t="s">
        <v>345</v>
      </c>
      <c r="C58" s="552"/>
      <c r="D58" s="553" t="s">
        <v>346</v>
      </c>
      <c r="E58" s="553" t="s">
        <v>346</v>
      </c>
      <c r="F58" s="553" t="s">
        <v>346</v>
      </c>
      <c r="G58" s="553" t="s">
        <v>346</v>
      </c>
      <c r="H58" s="553" t="s">
        <v>346</v>
      </c>
      <c r="I58" s="553" t="s">
        <v>346</v>
      </c>
      <c r="J58" s="553" t="s">
        <v>346</v>
      </c>
      <c r="K58" s="553" t="s">
        <v>346</v>
      </c>
      <c r="L58" s="553" t="s">
        <v>346</v>
      </c>
      <c r="M58" s="553" t="s">
        <v>346</v>
      </c>
      <c r="N58" s="553" t="s">
        <v>346</v>
      </c>
      <c r="O58" s="553" t="s">
        <v>346</v>
      </c>
      <c r="P58" s="553" t="s">
        <v>346</v>
      </c>
      <c r="Q58" s="553">
        <v>0</v>
      </c>
      <c r="S58" s="30"/>
      <c r="T58" s="30"/>
      <c r="U58" s="30"/>
      <c r="V58" s="30"/>
      <c r="W58" s="30"/>
      <c r="X58" s="30"/>
      <c r="Y58" s="30"/>
      <c r="Z58" s="30"/>
      <c r="AA58" s="30"/>
      <c r="AB58" s="544"/>
      <c r="AC58" s="469" t="s">
        <v>298</v>
      </c>
      <c r="AD58" s="548" t="str">
        <f>N22</f>
        <v>n/a</v>
      </c>
      <c r="AE58" s="470" t="e">
        <f t="shared" si="9"/>
        <v>#VALUE!</v>
      </c>
      <c r="AF58" s="486"/>
      <c r="AG58" s="548" t="str">
        <f t="shared" si="11"/>
        <v>n/a</v>
      </c>
      <c r="AH58" s="486"/>
      <c r="AI58" s="486"/>
      <c r="AJ58" s="499"/>
      <c r="AK58" s="30"/>
      <c r="AL58" s="30"/>
      <c r="AM58" s="30"/>
      <c r="AN58" s="30"/>
      <c r="AO58" s="30"/>
      <c r="AP58" s="544"/>
      <c r="AQ58" s="469"/>
      <c r="AR58" s="470"/>
      <c r="AS58" s="470"/>
      <c r="AT58" s="486"/>
      <c r="AU58" s="561"/>
      <c r="AV58" s="486"/>
      <c r="AW58" s="486"/>
      <c r="AX58" s="499"/>
      <c r="AY58" s="30"/>
      <c r="AZ58" s="30"/>
      <c r="BA58" s="30"/>
      <c r="BB58" s="30"/>
      <c r="BC58" s="30"/>
      <c r="BD58" s="30"/>
      <c r="BE58" s="30"/>
      <c r="BF58" s="30"/>
      <c r="BG58" s="30"/>
      <c r="BH58" s="30"/>
      <c r="BI58" s="30"/>
      <c r="BJ58" s="30"/>
      <c r="BK58" s="30"/>
      <c r="BL58" s="30"/>
      <c r="BM58" s="30"/>
      <c r="BN58" s="30"/>
      <c r="BO58" s="30"/>
      <c r="BP58" s="30"/>
      <c r="BQ58" s="30"/>
      <c r="BR58" s="30"/>
      <c r="BS58" s="30"/>
      <c r="BT58" s="30"/>
      <c r="BU58" s="30"/>
      <c r="BV58" s="30"/>
      <c r="BW58" s="30"/>
    </row>
    <row r="59" spans="1:75" ht="15" thickBot="1">
      <c r="A59" s="477" t="s">
        <v>407</v>
      </c>
      <c r="B59" s="157" t="s">
        <v>345</v>
      </c>
      <c r="C59" s="478"/>
      <c r="D59" s="161" t="s">
        <v>346</v>
      </c>
      <c r="E59" s="161" t="s">
        <v>346</v>
      </c>
      <c r="F59" s="161" t="s">
        <v>346</v>
      </c>
      <c r="G59" s="161" t="s">
        <v>346</v>
      </c>
      <c r="H59" s="161" t="s">
        <v>346</v>
      </c>
      <c r="I59" s="161" t="s">
        <v>346</v>
      </c>
      <c r="J59" s="161" t="s">
        <v>346</v>
      </c>
      <c r="K59" s="161" t="s">
        <v>346</v>
      </c>
      <c r="L59" s="161" t="s">
        <v>346</v>
      </c>
      <c r="M59" s="161" t="s">
        <v>346</v>
      </c>
      <c r="N59" s="161" t="s">
        <v>346</v>
      </c>
      <c r="O59" s="161" t="s">
        <v>346</v>
      </c>
      <c r="P59" s="161" t="s">
        <v>346</v>
      </c>
      <c r="Q59" s="161">
        <v>0</v>
      </c>
      <c r="AB59" s="544" t="str">
        <f>O6</f>
        <v>Vinyl Flooring</v>
      </c>
      <c r="AC59" s="469" t="s">
        <v>296</v>
      </c>
      <c r="AD59" s="562">
        <f>O20</f>
        <v>7.3649999999999993E-2</v>
      </c>
      <c r="AE59" s="470">
        <f t="shared" si="9"/>
        <v>103.10999999999999</v>
      </c>
      <c r="AF59" s="468">
        <v>1.4</v>
      </c>
      <c r="AG59" s="548">
        <f>O38</f>
        <v>202</v>
      </c>
      <c r="AH59" s="468">
        <f>O41</f>
        <v>0.01</v>
      </c>
      <c r="AI59" s="468">
        <f>O69</f>
        <v>492</v>
      </c>
      <c r="AJ59" s="492">
        <f>O73</f>
        <v>1.0000000000000001E-30</v>
      </c>
    </row>
    <row r="60" spans="1:75" ht="15" thickBot="1">
      <c r="A60" s="477" t="s">
        <v>408</v>
      </c>
      <c r="B60" s="157" t="s">
        <v>345</v>
      </c>
      <c r="C60" s="478"/>
      <c r="D60" s="161" t="s">
        <v>346</v>
      </c>
      <c r="E60" s="161" t="s">
        <v>346</v>
      </c>
      <c r="F60" s="161" t="s">
        <v>346</v>
      </c>
      <c r="G60" s="161" t="s">
        <v>346</v>
      </c>
      <c r="H60" s="161" t="s">
        <v>346</v>
      </c>
      <c r="I60" s="161" t="s">
        <v>346</v>
      </c>
      <c r="J60" s="161" t="s">
        <v>346</v>
      </c>
      <c r="K60" s="161" t="s">
        <v>346</v>
      </c>
      <c r="L60" s="161" t="s">
        <v>346</v>
      </c>
      <c r="M60" s="161" t="s">
        <v>346</v>
      </c>
      <c r="N60" s="161" t="s">
        <v>346</v>
      </c>
      <c r="O60" s="161" t="s">
        <v>346</v>
      </c>
      <c r="P60" s="161" t="s">
        <v>346</v>
      </c>
      <c r="Q60" s="161">
        <v>0</v>
      </c>
      <c r="AB60" s="544"/>
      <c r="AC60" s="469" t="s">
        <v>297</v>
      </c>
      <c r="AD60" s="562">
        <f>O21</f>
        <v>2.5669833333333333E-2</v>
      </c>
      <c r="AE60" s="470">
        <f t="shared" si="9"/>
        <v>35.937766666666661</v>
      </c>
      <c r="AF60" s="480"/>
      <c r="AG60" s="548">
        <f t="shared" ref="AG60:AG61" si="12">O39</f>
        <v>101</v>
      </c>
      <c r="AH60" s="480"/>
      <c r="AI60" s="480"/>
      <c r="AJ60" s="495"/>
    </row>
    <row r="61" spans="1:75" ht="15" thickBot="1">
      <c r="A61" s="477" t="s">
        <v>409</v>
      </c>
      <c r="B61" s="157" t="s">
        <v>345</v>
      </c>
      <c r="C61" s="478"/>
      <c r="D61" s="161" t="s">
        <v>346</v>
      </c>
      <c r="E61" s="161" t="s">
        <v>346</v>
      </c>
      <c r="F61" s="161" t="s">
        <v>346</v>
      </c>
      <c r="G61" s="161" t="s">
        <v>346</v>
      </c>
      <c r="H61" s="161" t="s">
        <v>346</v>
      </c>
      <c r="I61" s="161" t="s">
        <v>346</v>
      </c>
      <c r="J61" s="161" t="s">
        <v>346</v>
      </c>
      <c r="K61" s="161" t="s">
        <v>346</v>
      </c>
      <c r="L61" s="161" t="s">
        <v>346</v>
      </c>
      <c r="M61" s="161" t="s">
        <v>346</v>
      </c>
      <c r="N61" s="161" t="s">
        <v>346</v>
      </c>
      <c r="O61" s="161" t="s">
        <v>346</v>
      </c>
      <c r="P61" s="161" t="s">
        <v>346</v>
      </c>
      <c r="Q61" s="161">
        <v>0</v>
      </c>
      <c r="AB61" s="544"/>
      <c r="AC61" s="469" t="s">
        <v>298</v>
      </c>
      <c r="AD61" s="555">
        <f>O22</f>
        <v>5.5999999999999999E-5</v>
      </c>
      <c r="AE61" s="470">
        <f t="shared" si="9"/>
        <v>7.8399999999999997E-2</v>
      </c>
      <c r="AF61" s="486"/>
      <c r="AG61" s="548">
        <f t="shared" si="12"/>
        <v>50.5</v>
      </c>
      <c r="AH61" s="486"/>
      <c r="AI61" s="486"/>
      <c r="AJ61" s="499"/>
    </row>
    <row r="62" spans="1:75" s="554" customFormat="1" ht="26.65" customHeight="1" thickBot="1">
      <c r="A62" s="551" t="s">
        <v>410</v>
      </c>
      <c r="B62" s="542" t="s">
        <v>411</v>
      </c>
      <c r="C62" s="552"/>
      <c r="D62" s="553" t="s">
        <v>346</v>
      </c>
      <c r="E62" s="553" t="s">
        <v>346</v>
      </c>
      <c r="F62" s="553" t="s">
        <v>346</v>
      </c>
      <c r="G62" s="553" t="s">
        <v>346</v>
      </c>
      <c r="H62" s="553" t="s">
        <v>346</v>
      </c>
      <c r="I62" s="553" t="s">
        <v>346</v>
      </c>
      <c r="J62" s="553" t="s">
        <v>346</v>
      </c>
      <c r="K62" s="553" t="s">
        <v>346</v>
      </c>
      <c r="L62" s="553" t="s">
        <v>346</v>
      </c>
      <c r="M62" s="553" t="s">
        <v>346</v>
      </c>
      <c r="N62" s="553" t="s">
        <v>346</v>
      </c>
      <c r="O62" s="553" t="s">
        <v>346</v>
      </c>
      <c r="P62" s="553" t="s">
        <v>346</v>
      </c>
      <c r="Q62" s="553">
        <v>0</v>
      </c>
      <c r="S62" s="30"/>
      <c r="T62" s="30"/>
      <c r="U62" s="30"/>
      <c r="V62" s="30"/>
      <c r="W62" s="30"/>
      <c r="X62" s="30"/>
      <c r="Y62" s="30"/>
      <c r="Z62" s="30"/>
      <c r="AA62" s="30"/>
      <c r="AB62" s="544" t="str">
        <f>P6</f>
        <v>Wallpaper (In Place)</v>
      </c>
      <c r="AC62" s="469" t="s">
        <v>296</v>
      </c>
      <c r="AD62" s="548">
        <f>P20</f>
        <v>6.2600000000000004E-4</v>
      </c>
      <c r="AE62" s="470">
        <f t="shared" si="9"/>
        <v>0.87639999999999996</v>
      </c>
      <c r="AF62" s="468">
        <v>1.4</v>
      </c>
      <c r="AG62" s="548">
        <f>P38</f>
        <v>200</v>
      </c>
      <c r="AH62" s="468">
        <f>P41</f>
        <v>0.01</v>
      </c>
      <c r="AI62" s="468">
        <f>P69</f>
        <v>492</v>
      </c>
      <c r="AJ62" s="468">
        <f>P73</f>
        <v>1.0000000000000001E-30</v>
      </c>
      <c r="AK62" s="30"/>
      <c r="AL62" s="30"/>
      <c r="AM62" s="30"/>
      <c r="AN62" s="30"/>
      <c r="AO62" s="30"/>
      <c r="AY62" s="30"/>
      <c r="AZ62" s="30"/>
      <c r="BA62" s="30"/>
      <c r="BB62" s="30"/>
      <c r="BC62" s="30"/>
      <c r="BD62" s="30"/>
      <c r="BE62" s="30"/>
      <c r="BF62" s="30"/>
      <c r="BG62" s="30"/>
      <c r="BH62" s="30"/>
      <c r="BI62" s="30"/>
      <c r="BJ62" s="30"/>
      <c r="BK62" s="30"/>
      <c r="BL62" s="30"/>
      <c r="BM62" s="30"/>
      <c r="BN62" s="30"/>
      <c r="BO62" s="30"/>
      <c r="BP62" s="30"/>
      <c r="BQ62" s="30"/>
      <c r="BR62" s="30"/>
      <c r="BS62" s="30"/>
      <c r="BT62" s="30"/>
      <c r="BU62" s="30"/>
      <c r="BV62" s="30"/>
      <c r="BW62" s="30"/>
    </row>
    <row r="63" spans="1:75" s="554" customFormat="1" ht="15" thickBot="1">
      <c r="A63" s="551" t="s">
        <v>412</v>
      </c>
      <c r="B63" s="542" t="s">
        <v>413</v>
      </c>
      <c r="C63" s="552"/>
      <c r="D63" s="553" t="s">
        <v>346</v>
      </c>
      <c r="E63" s="553" t="s">
        <v>346</v>
      </c>
      <c r="F63" s="553" t="s">
        <v>346</v>
      </c>
      <c r="G63" s="553" t="s">
        <v>346</v>
      </c>
      <c r="H63" s="553" t="s">
        <v>346</v>
      </c>
      <c r="I63" s="553" t="s">
        <v>346</v>
      </c>
      <c r="J63" s="553" t="s">
        <v>346</v>
      </c>
      <c r="K63" s="553" t="s">
        <v>346</v>
      </c>
      <c r="L63" s="553" t="s">
        <v>346</v>
      </c>
      <c r="M63" s="553" t="s">
        <v>346</v>
      </c>
      <c r="N63" s="553" t="s">
        <v>346</v>
      </c>
      <c r="O63" s="553" t="s">
        <v>346</v>
      </c>
      <c r="P63" s="553" t="s">
        <v>346</v>
      </c>
      <c r="Q63" s="553">
        <v>0</v>
      </c>
      <c r="S63" s="30"/>
      <c r="T63" s="30"/>
      <c r="U63" s="30"/>
      <c r="V63" s="30"/>
      <c r="W63" s="30"/>
      <c r="X63" s="30"/>
      <c r="Y63" s="30"/>
      <c r="Z63" s="30"/>
      <c r="AA63" s="30"/>
      <c r="AB63" s="544"/>
      <c r="AC63" s="469" t="s">
        <v>297</v>
      </c>
      <c r="AD63" s="548">
        <f>P21</f>
        <v>8.7666666666666679E-5</v>
      </c>
      <c r="AE63" s="470">
        <f t="shared" si="9"/>
        <v>0.12273333333333335</v>
      </c>
      <c r="AF63" s="480"/>
      <c r="AG63" s="548">
        <f t="shared" ref="AG63:AG64" si="13">P39</f>
        <v>100</v>
      </c>
      <c r="AH63" s="480"/>
      <c r="AI63" s="480"/>
      <c r="AJ63" s="480"/>
      <c r="AK63" s="30"/>
      <c r="AL63" s="30"/>
      <c r="AM63" s="30"/>
      <c r="AN63" s="30"/>
      <c r="AO63" s="30"/>
      <c r="AY63" s="30"/>
      <c r="AZ63" s="30"/>
      <c r="BA63" s="30"/>
      <c r="BB63" s="30"/>
      <c r="BC63" s="30"/>
      <c r="BD63" s="30"/>
      <c r="BE63" s="30"/>
      <c r="BF63" s="30"/>
      <c r="BG63" s="30"/>
      <c r="BH63" s="30"/>
      <c r="BI63" s="30"/>
      <c r="BJ63" s="30"/>
      <c r="BK63" s="30"/>
      <c r="BL63" s="30"/>
      <c r="BM63" s="30"/>
      <c r="BN63" s="30"/>
      <c r="BO63" s="30"/>
      <c r="BP63" s="30"/>
      <c r="BQ63" s="30"/>
      <c r="BR63" s="30"/>
      <c r="BS63" s="30"/>
      <c r="BT63" s="30"/>
      <c r="BU63" s="30"/>
      <c r="BV63" s="30"/>
      <c r="BW63" s="30"/>
    </row>
    <row r="64" spans="1:75" s="554" customFormat="1" ht="15" customHeight="1" thickBot="1">
      <c r="A64" s="551" t="s">
        <v>326</v>
      </c>
      <c r="B64" s="542" t="s">
        <v>327</v>
      </c>
      <c r="C64" s="552"/>
      <c r="D64" s="553" t="s">
        <v>346</v>
      </c>
      <c r="E64" s="553" t="s">
        <v>346</v>
      </c>
      <c r="F64" s="553" t="s">
        <v>346</v>
      </c>
      <c r="G64" s="553" t="s">
        <v>346</v>
      </c>
      <c r="H64" s="553" t="s">
        <v>346</v>
      </c>
      <c r="I64" s="553" t="s">
        <v>346</v>
      </c>
      <c r="J64" s="553" t="s">
        <v>346</v>
      </c>
      <c r="K64" s="553" t="s">
        <v>346</v>
      </c>
      <c r="L64" s="553" t="s">
        <v>346</v>
      </c>
      <c r="M64" s="553" t="s">
        <v>346</v>
      </c>
      <c r="N64" s="553" t="s">
        <v>346</v>
      </c>
      <c r="O64" s="553" t="s">
        <v>346</v>
      </c>
      <c r="P64" s="553" t="s">
        <v>346</v>
      </c>
      <c r="Q64" s="553">
        <v>0</v>
      </c>
      <c r="S64" s="30"/>
      <c r="T64" s="30"/>
      <c r="U64" s="30"/>
      <c r="V64" s="30"/>
      <c r="W64" s="30"/>
      <c r="X64" s="30"/>
      <c r="Y64" s="30"/>
      <c r="Z64" s="30"/>
      <c r="AA64" s="30"/>
      <c r="AB64" s="544"/>
      <c r="AC64" s="469" t="s">
        <v>298</v>
      </c>
      <c r="AD64" s="548">
        <f>P22</f>
        <v>5.0000000000000004E-6</v>
      </c>
      <c r="AE64" s="470">
        <f t="shared" si="9"/>
        <v>7.0000000000000001E-3</v>
      </c>
      <c r="AF64" s="486"/>
      <c r="AG64" s="548">
        <f t="shared" si="13"/>
        <v>50</v>
      </c>
      <c r="AH64" s="486"/>
      <c r="AI64" s="486"/>
      <c r="AJ64" s="486"/>
      <c r="AK64" s="30"/>
      <c r="AL64" s="30"/>
      <c r="AM64" s="30"/>
      <c r="AN64" s="30"/>
      <c r="AO64" s="30"/>
      <c r="AY64" s="30"/>
      <c r="AZ64" s="30"/>
      <c r="BA64" s="30"/>
      <c r="BB64" s="30"/>
      <c r="BC64" s="30"/>
      <c r="BD64" s="30"/>
      <c r="BE64" s="30"/>
      <c r="BF64" s="30"/>
      <c r="BG64" s="30"/>
      <c r="BH64" s="30"/>
      <c r="BI64" s="30"/>
      <c r="BJ64" s="30"/>
      <c r="BK64" s="30"/>
      <c r="BL64" s="30"/>
      <c r="BM64" s="30"/>
      <c r="BN64" s="30"/>
      <c r="BO64" s="30"/>
      <c r="BP64" s="30"/>
      <c r="BQ64" s="30"/>
      <c r="BR64" s="30"/>
      <c r="BS64" s="30"/>
      <c r="BT64" s="30"/>
      <c r="BU64" s="30"/>
      <c r="BV64" s="30"/>
      <c r="BW64" s="30"/>
    </row>
    <row r="65" spans="1:75" s="554" customFormat="1" ht="26.65" customHeight="1" thickBot="1">
      <c r="A65" s="551" t="s">
        <v>414</v>
      </c>
      <c r="B65" s="542" t="s">
        <v>415</v>
      </c>
      <c r="C65" s="552"/>
      <c r="D65" s="553" t="s">
        <v>346</v>
      </c>
      <c r="E65" s="553" t="s">
        <v>346</v>
      </c>
      <c r="F65" s="553" t="s">
        <v>346</v>
      </c>
      <c r="G65" s="553" t="s">
        <v>346</v>
      </c>
      <c r="H65" s="553" t="s">
        <v>346</v>
      </c>
      <c r="I65" s="553" t="s">
        <v>346</v>
      </c>
      <c r="J65" s="553" t="s">
        <v>346</v>
      </c>
      <c r="K65" s="553" t="s">
        <v>346</v>
      </c>
      <c r="L65" s="553" t="s">
        <v>346</v>
      </c>
      <c r="M65" s="553" t="s">
        <v>346</v>
      </c>
      <c r="N65" s="553" t="s">
        <v>346</v>
      </c>
      <c r="O65" s="553" t="s">
        <v>346</v>
      </c>
      <c r="P65" s="553" t="s">
        <v>346</v>
      </c>
      <c r="Q65" s="553">
        <v>0</v>
      </c>
      <c r="S65" s="30"/>
      <c r="T65" s="30"/>
      <c r="U65" s="30"/>
      <c r="V65" s="30"/>
      <c r="W65" s="30"/>
      <c r="X65" s="30"/>
      <c r="Y65" s="30"/>
      <c r="Z65" s="30"/>
      <c r="AA65" s="30"/>
      <c r="AB65" s="544" t="str">
        <f>Q6</f>
        <v>Wallpaper (Installation)</v>
      </c>
      <c r="AC65" s="469" t="s">
        <v>296</v>
      </c>
      <c r="AD65" s="548" t="str">
        <f>Q20</f>
        <v>n/a</v>
      </c>
      <c r="AE65" s="470" t="e">
        <f t="shared" si="9"/>
        <v>#VALUE!</v>
      </c>
      <c r="AF65" s="468">
        <v>1.4</v>
      </c>
      <c r="AG65" s="548" t="str">
        <f>Q38</f>
        <v>n/a</v>
      </c>
      <c r="AH65" s="468" t="str">
        <f>Q41</f>
        <v>n/a</v>
      </c>
      <c r="AI65" s="468" t="str">
        <f>Q69</f>
        <v>n/a</v>
      </c>
      <c r="AJ65" s="492" t="str">
        <f>Q73</f>
        <v>n/a</v>
      </c>
      <c r="AK65" s="30"/>
      <c r="AL65" s="30"/>
      <c r="AM65" s="30"/>
      <c r="AN65" s="30"/>
      <c r="AO65" s="30"/>
      <c r="AP65" s="563"/>
      <c r="AQ65" s="469"/>
      <c r="AR65" s="470"/>
      <c r="AS65" s="470"/>
      <c r="AT65" s="468"/>
      <c r="AU65" s="561"/>
      <c r="AV65" s="468"/>
      <c r="AW65" s="468"/>
      <c r="AX65" s="492"/>
      <c r="AY65" s="30"/>
      <c r="AZ65" s="30"/>
      <c r="BA65" s="30"/>
      <c r="BB65" s="30"/>
      <c r="BC65" s="30"/>
      <c r="BD65" s="30"/>
      <c r="BE65" s="30"/>
      <c r="BF65" s="30"/>
      <c r="BG65" s="30"/>
      <c r="BH65" s="30"/>
      <c r="BI65" s="30"/>
      <c r="BJ65" s="30"/>
      <c r="BK65" s="30"/>
      <c r="BL65" s="30"/>
      <c r="BM65" s="30"/>
      <c r="BN65" s="30"/>
      <c r="BO65" s="30"/>
      <c r="BP65" s="30"/>
      <c r="BQ65" s="30"/>
      <c r="BR65" s="30"/>
      <c r="BS65" s="30"/>
      <c r="BT65" s="30"/>
      <c r="BU65" s="30"/>
      <c r="BV65" s="30"/>
      <c r="BW65" s="30"/>
    </row>
    <row r="66" spans="1:75" ht="15" thickBot="1">
      <c r="A66" s="451" t="s">
        <v>416</v>
      </c>
      <c r="B66" s="452"/>
      <c r="C66" s="453"/>
      <c r="D66" s="454"/>
      <c r="E66" s="454"/>
      <c r="F66" s="454"/>
      <c r="G66" s="454"/>
      <c r="H66" s="454"/>
      <c r="I66" s="454"/>
      <c r="J66" s="452"/>
      <c r="K66" s="452"/>
      <c r="L66" s="454"/>
      <c r="M66" s="452"/>
      <c r="N66" s="452"/>
      <c r="O66" s="454"/>
      <c r="P66" s="454"/>
      <c r="Q66" s="452"/>
      <c r="AB66" s="544"/>
      <c r="AC66" s="469" t="s">
        <v>297</v>
      </c>
      <c r="AD66" s="548" t="str">
        <f>Q21</f>
        <v>n/a</v>
      </c>
      <c r="AE66" s="470" t="e">
        <f t="shared" si="9"/>
        <v>#VALUE!</v>
      </c>
      <c r="AF66" s="480"/>
      <c r="AG66" s="548">
        <f t="shared" ref="AG66:AG67" si="14">Q39</f>
        <v>0</v>
      </c>
      <c r="AH66" s="480"/>
      <c r="AI66" s="480"/>
      <c r="AJ66" s="495"/>
      <c r="AP66" s="563"/>
      <c r="AQ66" s="469"/>
      <c r="AR66" s="470"/>
      <c r="AS66" s="470"/>
      <c r="AT66" s="480"/>
      <c r="AU66" s="561"/>
      <c r="AV66" s="480"/>
      <c r="AW66" s="480"/>
      <c r="AX66" s="495"/>
    </row>
    <row r="67" spans="1:75" ht="15" customHeight="1" thickBot="1">
      <c r="A67" s="513" t="s">
        <v>417</v>
      </c>
      <c r="B67" s="514"/>
      <c r="C67" s="515"/>
      <c r="D67" s="515"/>
      <c r="E67" s="515"/>
      <c r="F67" s="515"/>
      <c r="G67" s="515"/>
      <c r="H67" s="515"/>
      <c r="I67" s="515"/>
      <c r="J67" s="515"/>
      <c r="K67" s="515"/>
      <c r="L67" s="515"/>
      <c r="M67" s="515"/>
      <c r="N67" s="515"/>
      <c r="O67" s="515"/>
      <c r="P67" s="515"/>
      <c r="Q67" s="515"/>
      <c r="AB67" s="544"/>
      <c r="AC67" s="469" t="s">
        <v>298</v>
      </c>
      <c r="AD67" s="548" t="str">
        <f>Q22</f>
        <v>n/a</v>
      </c>
      <c r="AE67" s="470" t="e">
        <f t="shared" si="9"/>
        <v>#VALUE!</v>
      </c>
      <c r="AF67" s="486"/>
      <c r="AG67" s="548">
        <f t="shared" si="14"/>
        <v>0</v>
      </c>
      <c r="AH67" s="486"/>
      <c r="AI67" s="486"/>
      <c r="AJ67" s="499"/>
      <c r="AP67" s="563"/>
      <c r="AQ67" s="469"/>
      <c r="AR67" s="470"/>
      <c r="AS67" s="470"/>
      <c r="AT67" s="486"/>
      <c r="AU67" s="561"/>
      <c r="AV67" s="486"/>
      <c r="AW67" s="486"/>
      <c r="AX67" s="499"/>
    </row>
    <row r="68" spans="1:75">
      <c r="A68" s="477" t="s">
        <v>418</v>
      </c>
      <c r="B68" s="157" t="s">
        <v>419</v>
      </c>
      <c r="C68" s="478"/>
      <c r="D68" s="161">
        <v>492</v>
      </c>
      <c r="E68" s="161">
        <v>2.4</v>
      </c>
      <c r="F68" s="161">
        <v>492</v>
      </c>
      <c r="G68" s="161">
        <v>492</v>
      </c>
      <c r="H68" s="161">
        <v>492</v>
      </c>
      <c r="I68" s="479" t="s">
        <v>346</v>
      </c>
      <c r="J68" s="161" t="s">
        <v>346</v>
      </c>
      <c r="K68" s="479" t="s">
        <v>346</v>
      </c>
      <c r="L68" s="161">
        <v>492</v>
      </c>
      <c r="M68" s="161">
        <v>492</v>
      </c>
      <c r="N68" s="479" t="s">
        <v>346</v>
      </c>
      <c r="O68" s="161">
        <v>492</v>
      </c>
      <c r="P68" s="161">
        <v>492</v>
      </c>
      <c r="Q68" s="479" t="s">
        <v>346</v>
      </c>
    </row>
    <row r="69" spans="1:75">
      <c r="A69" s="477" t="s">
        <v>420</v>
      </c>
      <c r="B69" s="157" t="s">
        <v>419</v>
      </c>
      <c r="C69" s="478"/>
      <c r="D69" s="161">
        <v>36</v>
      </c>
      <c r="E69" s="161">
        <v>2.4</v>
      </c>
      <c r="F69" s="161">
        <v>492</v>
      </c>
      <c r="G69" s="161">
        <v>36</v>
      </c>
      <c r="H69" s="161">
        <v>36</v>
      </c>
      <c r="I69" s="479" t="s">
        <v>346</v>
      </c>
      <c r="J69" s="161" t="s">
        <v>346</v>
      </c>
      <c r="K69" s="479" t="s">
        <v>346</v>
      </c>
      <c r="L69" s="161">
        <v>50</v>
      </c>
      <c r="M69" s="161">
        <v>15</v>
      </c>
      <c r="N69" s="479" t="s">
        <v>346</v>
      </c>
      <c r="O69" s="161">
        <v>492</v>
      </c>
      <c r="P69" s="161">
        <v>492</v>
      </c>
      <c r="Q69" s="479" t="s">
        <v>346</v>
      </c>
    </row>
    <row r="70" spans="1:75">
      <c r="A70" s="477" t="s">
        <v>421</v>
      </c>
      <c r="B70" s="157" t="s">
        <v>422</v>
      </c>
      <c r="C70" s="478"/>
      <c r="D70" s="161" t="s">
        <v>346</v>
      </c>
      <c r="E70" s="161" t="s">
        <v>346</v>
      </c>
      <c r="F70" s="161" t="s">
        <v>346</v>
      </c>
      <c r="G70" s="161" t="s">
        <v>346</v>
      </c>
      <c r="H70" s="161" t="s">
        <v>346</v>
      </c>
      <c r="I70" s="479" t="s">
        <v>346</v>
      </c>
      <c r="J70" s="161" t="s">
        <v>346</v>
      </c>
      <c r="K70" s="479" t="s">
        <v>346</v>
      </c>
      <c r="L70" s="161" t="s">
        <v>346</v>
      </c>
      <c r="M70" s="161" t="s">
        <v>346</v>
      </c>
      <c r="N70" s="479" t="s">
        <v>346</v>
      </c>
      <c r="O70" s="161" t="s">
        <v>346</v>
      </c>
      <c r="P70" s="161" t="s">
        <v>346</v>
      </c>
      <c r="Q70" s="479" t="s">
        <v>346</v>
      </c>
    </row>
    <row r="71" spans="1:75">
      <c r="A71" s="477" t="s">
        <v>423</v>
      </c>
      <c r="B71" s="157" t="s">
        <v>424</v>
      </c>
      <c r="C71" s="478"/>
      <c r="D71" s="161" t="s">
        <v>346</v>
      </c>
      <c r="E71" s="161" t="s">
        <v>346</v>
      </c>
      <c r="F71" s="161" t="s">
        <v>346</v>
      </c>
      <c r="G71" s="161" t="s">
        <v>346</v>
      </c>
      <c r="H71" s="161" t="s">
        <v>346</v>
      </c>
      <c r="I71" s="479" t="s">
        <v>346</v>
      </c>
      <c r="J71" s="161" t="s">
        <v>346</v>
      </c>
      <c r="K71" s="479" t="s">
        <v>346</v>
      </c>
      <c r="L71" s="161" t="s">
        <v>346</v>
      </c>
      <c r="M71" s="161" t="s">
        <v>346</v>
      </c>
      <c r="N71" s="479" t="s">
        <v>346</v>
      </c>
      <c r="O71" s="161" t="s">
        <v>346</v>
      </c>
      <c r="P71" s="161" t="s">
        <v>346</v>
      </c>
      <c r="Q71" s="479" t="s">
        <v>346</v>
      </c>
    </row>
    <row r="72" spans="1:75">
      <c r="A72" s="477" t="s">
        <v>425</v>
      </c>
      <c r="B72" s="157" t="s">
        <v>424</v>
      </c>
      <c r="C72" s="478"/>
      <c r="D72" s="161">
        <v>0.45</v>
      </c>
      <c r="E72" s="161">
        <v>12.5</v>
      </c>
      <c r="F72" s="161">
        <v>0.45</v>
      </c>
      <c r="G72" s="161">
        <v>0.45</v>
      </c>
      <c r="H72" s="161">
        <v>0.45</v>
      </c>
      <c r="I72" s="479" t="s">
        <v>346</v>
      </c>
      <c r="J72" s="161" t="s">
        <v>346</v>
      </c>
      <c r="K72" s="479" t="s">
        <v>346</v>
      </c>
      <c r="L72" s="161">
        <v>0.45</v>
      </c>
      <c r="M72" s="161">
        <v>0.45</v>
      </c>
      <c r="N72" s="479" t="s">
        <v>346</v>
      </c>
      <c r="O72" s="161">
        <v>0.45</v>
      </c>
      <c r="P72" s="161">
        <v>0.45</v>
      </c>
      <c r="Q72" s="479" t="s">
        <v>346</v>
      </c>
    </row>
    <row r="73" spans="1:75">
      <c r="A73" s="477" t="s">
        <v>426</v>
      </c>
      <c r="B73" s="157" t="s">
        <v>427</v>
      </c>
      <c r="C73" s="478"/>
      <c r="D73" s="161">
        <v>107.01</v>
      </c>
      <c r="E73" s="161">
        <v>9.4871999999999996</v>
      </c>
      <c r="F73" s="161">
        <v>1.0000000000000001E-30</v>
      </c>
      <c r="G73" s="161">
        <v>107.01</v>
      </c>
      <c r="H73" s="161">
        <v>107.01</v>
      </c>
      <c r="I73" s="479" t="s">
        <v>346</v>
      </c>
      <c r="J73" s="161" t="s">
        <v>346</v>
      </c>
      <c r="K73" s="479" t="s">
        <v>346</v>
      </c>
      <c r="L73" s="161">
        <v>108.98</v>
      </c>
      <c r="M73" s="161">
        <v>107.01</v>
      </c>
      <c r="N73" s="479" t="s">
        <v>346</v>
      </c>
      <c r="O73" s="161">
        <v>1.0000000000000001E-30</v>
      </c>
      <c r="P73" s="161">
        <v>1.0000000000000001E-30</v>
      </c>
      <c r="Q73" s="479" t="s">
        <v>346</v>
      </c>
    </row>
    <row r="74" spans="1:75">
      <c r="A74" s="477" t="s">
        <v>428</v>
      </c>
      <c r="B74" s="157" t="s">
        <v>422</v>
      </c>
      <c r="C74" s="478"/>
      <c r="D74" s="161">
        <v>74.88</v>
      </c>
      <c r="E74" s="161">
        <v>4.992</v>
      </c>
      <c r="F74" s="161">
        <v>1023.36</v>
      </c>
      <c r="G74" s="161">
        <v>74.88</v>
      </c>
      <c r="H74" s="161">
        <v>74.88</v>
      </c>
      <c r="I74" s="479" t="s">
        <v>346</v>
      </c>
      <c r="J74" s="161" t="s">
        <v>346</v>
      </c>
      <c r="K74" s="479" t="s">
        <v>346</v>
      </c>
      <c r="L74" s="161">
        <v>104</v>
      </c>
      <c r="M74" s="161">
        <v>31.2</v>
      </c>
      <c r="N74" s="479" t="s">
        <v>346</v>
      </c>
      <c r="O74" s="161">
        <v>1023.36</v>
      </c>
      <c r="P74" s="161">
        <v>1023.36</v>
      </c>
      <c r="Q74" s="479" t="s">
        <v>346</v>
      </c>
    </row>
    <row r="75" spans="1:75" s="400" customFormat="1">
      <c r="A75" s="477" t="s">
        <v>429</v>
      </c>
      <c r="B75" s="536" t="s">
        <v>430</v>
      </c>
      <c r="C75" s="477"/>
      <c r="D75" s="246">
        <v>5.0000000000000001E-3</v>
      </c>
      <c r="E75" s="246" t="s">
        <v>346</v>
      </c>
      <c r="F75" s="246">
        <v>5.0000000000000001E-3</v>
      </c>
      <c r="G75" s="246">
        <v>5.0000000000000001E-3</v>
      </c>
      <c r="H75" s="246">
        <v>5.0000000000000001E-3</v>
      </c>
      <c r="I75" s="537" t="s">
        <v>346</v>
      </c>
      <c r="J75" s="246" t="s">
        <v>346</v>
      </c>
      <c r="K75" s="537" t="s">
        <v>346</v>
      </c>
      <c r="L75" s="246">
        <v>5.0000000000000001E-3</v>
      </c>
      <c r="M75" s="246">
        <v>5.0000000000000001E-3</v>
      </c>
      <c r="N75" s="537" t="s">
        <v>346</v>
      </c>
      <c r="O75" s="246">
        <v>5.0000000000000001E-3</v>
      </c>
      <c r="P75" s="246">
        <v>5.0000000000000001E-3</v>
      </c>
      <c r="Q75" s="537" t="s">
        <v>346</v>
      </c>
    </row>
    <row r="76" spans="1:75">
      <c r="A76" s="513" t="s">
        <v>431</v>
      </c>
      <c r="B76" s="514"/>
      <c r="C76" s="515"/>
      <c r="D76" s="515"/>
      <c r="E76" s="515"/>
      <c r="F76" s="515"/>
      <c r="G76" s="515"/>
      <c r="H76" s="515"/>
      <c r="I76" s="515"/>
      <c r="J76" s="515"/>
      <c r="K76" s="515"/>
      <c r="L76" s="515"/>
      <c r="M76" s="515"/>
      <c r="N76" s="515"/>
      <c r="O76" s="515"/>
      <c r="P76" s="515"/>
      <c r="Q76" s="515"/>
    </row>
    <row r="77" spans="1:75" s="554" customFormat="1">
      <c r="A77" s="551" t="s">
        <v>432</v>
      </c>
      <c r="B77" s="542" t="s">
        <v>419</v>
      </c>
      <c r="C77" s="552"/>
      <c r="D77" s="553" t="s">
        <v>346</v>
      </c>
      <c r="E77" s="553" t="s">
        <v>346</v>
      </c>
      <c r="F77" s="553" t="s">
        <v>346</v>
      </c>
      <c r="G77" s="553" t="s">
        <v>346</v>
      </c>
      <c r="H77" s="553" t="s">
        <v>346</v>
      </c>
      <c r="I77" s="553" t="s">
        <v>346</v>
      </c>
      <c r="J77" s="553" t="s">
        <v>346</v>
      </c>
      <c r="K77" s="553"/>
      <c r="L77" s="553" t="s">
        <v>346</v>
      </c>
      <c r="M77" s="553" t="s">
        <v>346</v>
      </c>
      <c r="N77" s="553"/>
      <c r="O77" s="553" t="s">
        <v>346</v>
      </c>
      <c r="P77" s="553" t="s">
        <v>346</v>
      </c>
      <c r="Q77" s="553">
        <v>0</v>
      </c>
      <c r="S77" s="30"/>
      <c r="T77" s="30"/>
      <c r="U77" s="30"/>
      <c r="V77" s="30"/>
      <c r="W77" s="30"/>
      <c r="X77" s="30"/>
      <c r="Y77" s="30"/>
      <c r="Z77" s="30"/>
      <c r="AA77" s="30"/>
      <c r="AB77" s="30"/>
      <c r="AC77" s="30"/>
      <c r="AD77" s="30"/>
      <c r="AE77" s="30"/>
      <c r="AF77" s="30"/>
      <c r="AG77" s="30"/>
      <c r="AH77" s="30"/>
      <c r="AI77" s="30"/>
      <c r="AJ77" s="30"/>
      <c r="AK77" s="30"/>
      <c r="AL77" s="30"/>
      <c r="AM77" s="30"/>
      <c r="AN77" s="30"/>
      <c r="AO77" s="30"/>
      <c r="AP77" s="30"/>
      <c r="AQ77" s="30"/>
      <c r="AR77" s="30"/>
      <c r="AS77" s="30"/>
      <c r="AT77" s="30"/>
      <c r="AU77" s="30"/>
      <c r="AV77" s="30"/>
      <c r="AW77" s="30"/>
      <c r="AX77" s="30"/>
      <c r="AY77" s="30"/>
      <c r="AZ77" s="30"/>
      <c r="BA77" s="30"/>
      <c r="BB77" s="30"/>
      <c r="BC77" s="30"/>
      <c r="BD77" s="30"/>
      <c r="BE77" s="30"/>
      <c r="BF77" s="30"/>
      <c r="BG77" s="30"/>
      <c r="BH77" s="30"/>
      <c r="BI77" s="30"/>
      <c r="BJ77" s="30"/>
      <c r="BK77" s="30"/>
      <c r="BL77" s="30"/>
      <c r="BM77" s="30"/>
      <c r="BN77" s="30"/>
      <c r="BO77" s="30"/>
      <c r="BP77" s="30"/>
      <c r="BQ77" s="30"/>
      <c r="BR77" s="30"/>
      <c r="BS77" s="30"/>
      <c r="BT77" s="30"/>
      <c r="BU77" s="30"/>
      <c r="BV77" s="30"/>
      <c r="BW77" s="30"/>
    </row>
    <row r="78" spans="1:75" s="554" customFormat="1">
      <c r="A78" s="551" t="s">
        <v>433</v>
      </c>
      <c r="B78" s="542" t="s">
        <v>419</v>
      </c>
      <c r="C78" s="552"/>
      <c r="D78" s="553" t="s">
        <v>346</v>
      </c>
      <c r="E78" s="553" t="s">
        <v>346</v>
      </c>
      <c r="F78" s="553" t="s">
        <v>346</v>
      </c>
      <c r="G78" s="553" t="s">
        <v>346</v>
      </c>
      <c r="H78" s="553" t="s">
        <v>346</v>
      </c>
      <c r="I78" s="553" t="s">
        <v>346</v>
      </c>
      <c r="J78" s="553" t="s">
        <v>346</v>
      </c>
      <c r="K78" s="553"/>
      <c r="L78" s="553" t="s">
        <v>346</v>
      </c>
      <c r="M78" s="553" t="s">
        <v>346</v>
      </c>
      <c r="N78" s="553"/>
      <c r="O78" s="553" t="s">
        <v>346</v>
      </c>
      <c r="P78" s="553" t="s">
        <v>346</v>
      </c>
      <c r="Q78" s="553">
        <v>0</v>
      </c>
      <c r="S78" s="30"/>
      <c r="T78" s="30"/>
      <c r="U78" s="30"/>
      <c r="V78" s="30"/>
      <c r="W78" s="30"/>
      <c r="X78" s="30"/>
      <c r="Y78" s="30"/>
      <c r="Z78" s="30"/>
      <c r="AA78" s="30"/>
      <c r="AB78" s="30"/>
      <c r="AC78" s="30"/>
      <c r="AD78" s="30"/>
      <c r="AE78" s="30"/>
      <c r="AF78" s="30"/>
      <c r="AG78" s="30"/>
      <c r="AH78" s="30"/>
      <c r="AI78" s="30"/>
      <c r="AJ78" s="30"/>
      <c r="AK78" s="30"/>
      <c r="AL78" s="30"/>
      <c r="AM78" s="30"/>
      <c r="AN78" s="30"/>
      <c r="AO78" s="30"/>
      <c r="AP78" s="30"/>
      <c r="AQ78" s="30"/>
      <c r="AR78" s="30"/>
      <c r="AS78" s="30"/>
      <c r="AT78" s="30"/>
      <c r="AU78" s="30"/>
      <c r="AV78" s="30"/>
      <c r="AW78" s="30"/>
      <c r="AX78" s="30"/>
      <c r="AY78" s="30"/>
      <c r="AZ78" s="30"/>
      <c r="BA78" s="30"/>
      <c r="BB78" s="30"/>
      <c r="BC78" s="30"/>
      <c r="BD78" s="30"/>
      <c r="BE78" s="30"/>
      <c r="BF78" s="30"/>
      <c r="BG78" s="30"/>
      <c r="BH78" s="30"/>
      <c r="BI78" s="30"/>
      <c r="BJ78" s="30"/>
      <c r="BK78" s="30"/>
      <c r="BL78" s="30"/>
      <c r="BM78" s="30"/>
      <c r="BN78" s="30"/>
      <c r="BO78" s="30"/>
      <c r="BP78" s="30"/>
      <c r="BQ78" s="30"/>
      <c r="BR78" s="30"/>
      <c r="BS78" s="30"/>
      <c r="BT78" s="30"/>
      <c r="BU78" s="30"/>
      <c r="BV78" s="30"/>
      <c r="BW78" s="30"/>
    </row>
    <row r="79" spans="1:75" s="554" customFormat="1">
      <c r="A79" s="551" t="s">
        <v>434</v>
      </c>
      <c r="B79" s="542" t="s">
        <v>435</v>
      </c>
      <c r="C79" s="552"/>
      <c r="D79" s="553" t="s">
        <v>346</v>
      </c>
      <c r="E79" s="553" t="s">
        <v>346</v>
      </c>
      <c r="F79" s="553" t="s">
        <v>346</v>
      </c>
      <c r="G79" s="553" t="s">
        <v>346</v>
      </c>
      <c r="H79" s="553" t="s">
        <v>346</v>
      </c>
      <c r="I79" s="553" t="s">
        <v>346</v>
      </c>
      <c r="J79" s="553" t="s">
        <v>346</v>
      </c>
      <c r="K79" s="553"/>
      <c r="L79" s="553" t="s">
        <v>346</v>
      </c>
      <c r="M79" s="553" t="s">
        <v>346</v>
      </c>
      <c r="N79" s="553"/>
      <c r="O79" s="553" t="s">
        <v>346</v>
      </c>
      <c r="P79" s="553" t="s">
        <v>346</v>
      </c>
      <c r="Q79" s="553">
        <v>0</v>
      </c>
      <c r="S79" s="30"/>
      <c r="T79" s="30"/>
      <c r="U79" s="30"/>
      <c r="V79" s="30"/>
      <c r="W79" s="30"/>
      <c r="X79" s="30"/>
      <c r="Y79" s="30"/>
      <c r="Z79" s="30"/>
      <c r="AA79" s="30"/>
      <c r="AB79" s="30"/>
      <c r="AC79" s="30"/>
      <c r="AD79" s="30"/>
      <c r="AE79" s="30"/>
      <c r="AF79" s="30"/>
      <c r="AG79" s="30"/>
      <c r="AH79" s="30"/>
      <c r="AI79" s="30"/>
      <c r="AJ79" s="30"/>
      <c r="AK79" s="30"/>
      <c r="AL79" s="30"/>
      <c r="AM79" s="30"/>
      <c r="AN79" s="30"/>
      <c r="AO79" s="30"/>
      <c r="AP79" s="30"/>
      <c r="AQ79" s="30"/>
      <c r="AR79" s="30"/>
      <c r="AS79" s="30"/>
      <c r="AT79" s="30"/>
      <c r="AU79" s="30"/>
      <c r="AV79" s="30"/>
      <c r="AW79" s="30"/>
      <c r="AX79" s="30"/>
      <c r="AY79" s="30"/>
      <c r="AZ79" s="30"/>
      <c r="BA79" s="30"/>
      <c r="BB79" s="30"/>
      <c r="BC79" s="30"/>
      <c r="BD79" s="30"/>
      <c r="BE79" s="30"/>
      <c r="BF79" s="30"/>
      <c r="BG79" s="30"/>
      <c r="BH79" s="30"/>
      <c r="BI79" s="30"/>
      <c r="BJ79" s="30"/>
      <c r="BK79" s="30"/>
      <c r="BL79" s="30"/>
      <c r="BM79" s="30"/>
      <c r="BN79" s="30"/>
      <c r="BO79" s="30"/>
      <c r="BP79" s="30"/>
      <c r="BQ79" s="30"/>
      <c r="BR79" s="30"/>
      <c r="BS79" s="30"/>
      <c r="BT79" s="30"/>
      <c r="BU79" s="30"/>
      <c r="BV79" s="30"/>
      <c r="BW79" s="30"/>
    </row>
    <row r="80" spans="1:75">
      <c r="A80" s="513" t="s">
        <v>436</v>
      </c>
      <c r="B80" s="514"/>
      <c r="C80" s="515"/>
      <c r="D80" s="515"/>
      <c r="E80" s="515"/>
      <c r="F80" s="515"/>
      <c r="G80" s="515"/>
      <c r="H80" s="515"/>
      <c r="I80" s="515"/>
      <c r="J80" s="515"/>
      <c r="K80" s="515"/>
      <c r="L80" s="515"/>
      <c r="M80" s="515"/>
      <c r="N80" s="515"/>
      <c r="O80" s="515"/>
      <c r="P80" s="515"/>
      <c r="Q80" s="515"/>
    </row>
    <row r="81" spans="1:75" s="554" customFormat="1">
      <c r="A81" s="551" t="s">
        <v>437</v>
      </c>
      <c r="B81" s="542" t="s">
        <v>430</v>
      </c>
      <c r="C81" s="552"/>
      <c r="D81" s="553" t="s">
        <v>346</v>
      </c>
      <c r="E81" s="553" t="s">
        <v>346</v>
      </c>
      <c r="F81" s="553" t="s">
        <v>346</v>
      </c>
      <c r="G81" s="553" t="s">
        <v>346</v>
      </c>
      <c r="H81" s="553" t="s">
        <v>346</v>
      </c>
      <c r="I81" s="553" t="s">
        <v>346</v>
      </c>
      <c r="J81" s="553" t="s">
        <v>346</v>
      </c>
      <c r="K81" s="553"/>
      <c r="L81" s="553" t="s">
        <v>346</v>
      </c>
      <c r="M81" s="553" t="s">
        <v>346</v>
      </c>
      <c r="N81" s="553"/>
      <c r="O81" s="553" t="s">
        <v>346</v>
      </c>
      <c r="P81" s="553" t="s">
        <v>346</v>
      </c>
      <c r="Q81" s="553">
        <v>0</v>
      </c>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c r="BS81" s="30"/>
      <c r="BT81" s="30"/>
      <c r="BU81" s="30"/>
      <c r="BV81" s="30"/>
      <c r="BW81" s="30"/>
    </row>
    <row r="82" spans="1:75" s="554" customFormat="1">
      <c r="A82" s="551" t="s">
        <v>438</v>
      </c>
      <c r="B82" s="542" t="s">
        <v>439</v>
      </c>
      <c r="C82" s="552"/>
      <c r="D82" s="553" t="s">
        <v>346</v>
      </c>
      <c r="E82" s="553" t="s">
        <v>346</v>
      </c>
      <c r="F82" s="553" t="s">
        <v>346</v>
      </c>
      <c r="G82" s="553" t="s">
        <v>346</v>
      </c>
      <c r="H82" s="553" t="s">
        <v>346</v>
      </c>
      <c r="I82" s="553" t="s">
        <v>346</v>
      </c>
      <c r="J82" s="553" t="s">
        <v>346</v>
      </c>
      <c r="K82" s="553"/>
      <c r="L82" s="553" t="s">
        <v>346</v>
      </c>
      <c r="M82" s="553" t="s">
        <v>346</v>
      </c>
      <c r="N82" s="553"/>
      <c r="O82" s="553" t="s">
        <v>346</v>
      </c>
      <c r="P82" s="553" t="s">
        <v>346</v>
      </c>
      <c r="Q82" s="553">
        <v>0</v>
      </c>
      <c r="S82" s="30"/>
      <c r="T82" s="30"/>
      <c r="U82" s="30"/>
      <c r="V82" s="30"/>
      <c r="W82" s="30"/>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0"/>
      <c r="BM82" s="30"/>
      <c r="BN82" s="30"/>
      <c r="BO82" s="30"/>
      <c r="BP82" s="30"/>
      <c r="BQ82" s="30"/>
      <c r="BR82" s="30"/>
      <c r="BS82" s="30"/>
      <c r="BT82" s="30"/>
      <c r="BU82" s="30"/>
      <c r="BV82" s="30"/>
      <c r="BW82" s="30"/>
    </row>
    <row r="83" spans="1:75" s="554" customFormat="1">
      <c r="A83" s="551" t="s">
        <v>440</v>
      </c>
      <c r="B83" s="542" t="s">
        <v>345</v>
      </c>
      <c r="C83" s="552"/>
      <c r="D83" s="553" t="s">
        <v>346</v>
      </c>
      <c r="E83" s="553" t="s">
        <v>346</v>
      </c>
      <c r="F83" s="553" t="s">
        <v>346</v>
      </c>
      <c r="G83" s="553" t="s">
        <v>346</v>
      </c>
      <c r="H83" s="553" t="s">
        <v>346</v>
      </c>
      <c r="I83" s="553" t="s">
        <v>346</v>
      </c>
      <c r="J83" s="553" t="s">
        <v>346</v>
      </c>
      <c r="K83" s="553"/>
      <c r="L83" s="553" t="s">
        <v>346</v>
      </c>
      <c r="M83" s="553" t="s">
        <v>346</v>
      </c>
      <c r="N83" s="553"/>
      <c r="O83" s="553" t="s">
        <v>346</v>
      </c>
      <c r="P83" s="553" t="s">
        <v>346</v>
      </c>
      <c r="Q83" s="553">
        <v>0</v>
      </c>
      <c r="S83" s="30"/>
      <c r="T83" s="30"/>
      <c r="U83" s="30"/>
      <c r="V83" s="30"/>
      <c r="W83" s="30"/>
      <c r="X83" s="30"/>
      <c r="Y83" s="30"/>
      <c r="Z83" s="30"/>
      <c r="AA83" s="30"/>
      <c r="AB83" s="30"/>
      <c r="AC83" s="30"/>
      <c r="AD83" s="30"/>
      <c r="AE83" s="30"/>
      <c r="AF83" s="30"/>
      <c r="AG83" s="30"/>
      <c r="AH83" s="30"/>
      <c r="AI83" s="30"/>
      <c r="AJ83" s="30"/>
      <c r="AK83" s="30"/>
      <c r="AL83" s="30"/>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30"/>
      <c r="BK83" s="30"/>
      <c r="BL83" s="30"/>
      <c r="BM83" s="30"/>
      <c r="BN83" s="30"/>
      <c r="BO83" s="30"/>
      <c r="BP83" s="30"/>
      <c r="BQ83" s="30"/>
      <c r="BR83" s="30"/>
      <c r="BS83" s="30"/>
      <c r="BT83" s="30"/>
      <c r="BU83" s="30"/>
      <c r="BV83" s="30"/>
      <c r="BW83" s="30"/>
    </row>
    <row r="84" spans="1:75" s="554" customFormat="1">
      <c r="A84" s="551" t="s">
        <v>441</v>
      </c>
      <c r="B84" s="542" t="s">
        <v>442</v>
      </c>
      <c r="C84" s="552"/>
      <c r="D84" s="553" t="s">
        <v>346</v>
      </c>
      <c r="E84" s="553" t="s">
        <v>346</v>
      </c>
      <c r="F84" s="553" t="s">
        <v>346</v>
      </c>
      <c r="G84" s="553" t="s">
        <v>346</v>
      </c>
      <c r="H84" s="553" t="s">
        <v>346</v>
      </c>
      <c r="I84" s="553" t="s">
        <v>346</v>
      </c>
      <c r="J84" s="553" t="s">
        <v>346</v>
      </c>
      <c r="K84" s="553"/>
      <c r="L84" s="553" t="s">
        <v>346</v>
      </c>
      <c r="M84" s="553" t="s">
        <v>346</v>
      </c>
      <c r="N84" s="553"/>
      <c r="O84" s="553" t="s">
        <v>346</v>
      </c>
      <c r="P84" s="553" t="s">
        <v>346</v>
      </c>
      <c r="Q84" s="553">
        <v>0</v>
      </c>
      <c r="S84" s="30"/>
      <c r="T84" s="30"/>
      <c r="U84" s="30"/>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30"/>
      <c r="BL84" s="30"/>
      <c r="BM84" s="30"/>
      <c r="BN84" s="30"/>
      <c r="BO84" s="30"/>
      <c r="BP84" s="30"/>
      <c r="BQ84" s="30"/>
      <c r="BR84" s="30"/>
      <c r="BS84" s="30"/>
      <c r="BT84" s="30"/>
      <c r="BU84" s="30"/>
      <c r="BV84" s="30"/>
      <c r="BW84" s="30"/>
    </row>
    <row r="85" spans="1:75" s="554" customFormat="1">
      <c r="A85" s="551" t="s">
        <v>443</v>
      </c>
      <c r="B85" s="542" t="s">
        <v>442</v>
      </c>
      <c r="C85" s="552"/>
      <c r="D85" s="553" t="s">
        <v>346</v>
      </c>
      <c r="E85" s="553" t="s">
        <v>346</v>
      </c>
      <c r="F85" s="553" t="s">
        <v>346</v>
      </c>
      <c r="G85" s="553" t="s">
        <v>346</v>
      </c>
      <c r="H85" s="553" t="s">
        <v>346</v>
      </c>
      <c r="I85" s="553" t="s">
        <v>346</v>
      </c>
      <c r="J85" s="553" t="s">
        <v>346</v>
      </c>
      <c r="K85" s="553"/>
      <c r="L85" s="553" t="s">
        <v>346</v>
      </c>
      <c r="M85" s="553" t="s">
        <v>346</v>
      </c>
      <c r="N85" s="553"/>
      <c r="O85" s="553" t="s">
        <v>346</v>
      </c>
      <c r="P85" s="553" t="s">
        <v>346</v>
      </c>
      <c r="Q85" s="553">
        <v>0</v>
      </c>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c r="BS85" s="30"/>
      <c r="BT85" s="30"/>
      <c r="BU85" s="30"/>
      <c r="BV85" s="30"/>
      <c r="BW85" s="30"/>
    </row>
    <row r="86" spans="1:75">
      <c r="A86" s="513" t="s">
        <v>444</v>
      </c>
      <c r="B86" s="514"/>
      <c r="C86" s="515"/>
      <c r="D86" s="515"/>
      <c r="E86" s="515"/>
      <c r="F86" s="515"/>
      <c r="G86" s="515"/>
      <c r="H86" s="515"/>
      <c r="I86" s="515"/>
      <c r="J86" s="515"/>
      <c r="K86" s="515"/>
      <c r="L86" s="515"/>
      <c r="M86" s="515"/>
      <c r="N86" s="515"/>
      <c r="O86" s="515"/>
      <c r="P86" s="515"/>
      <c r="Q86" s="515"/>
    </row>
    <row r="87" spans="1:75">
      <c r="A87" s="564" t="s">
        <v>445</v>
      </c>
      <c r="B87" s="157"/>
      <c r="C87" s="478"/>
      <c r="D87" s="161"/>
      <c r="E87" s="161"/>
      <c r="F87" s="161"/>
      <c r="G87" s="161"/>
      <c r="H87" s="161"/>
      <c r="I87" s="161"/>
      <c r="J87" s="479"/>
      <c r="K87" s="479"/>
      <c r="L87" s="161"/>
      <c r="M87" s="161"/>
      <c r="N87" s="479"/>
      <c r="O87" s="161"/>
      <c r="P87" s="161"/>
      <c r="Q87" s="479"/>
    </row>
    <row r="88" spans="1:75">
      <c r="A88" s="477" t="s">
        <v>446</v>
      </c>
      <c r="B88" s="157" t="s">
        <v>435</v>
      </c>
      <c r="C88" s="478"/>
      <c r="D88" s="161">
        <v>1</v>
      </c>
      <c r="E88" s="161">
        <v>1</v>
      </c>
      <c r="F88" s="161">
        <v>1</v>
      </c>
      <c r="G88" s="161">
        <v>1</v>
      </c>
      <c r="H88" s="161">
        <v>1</v>
      </c>
      <c r="I88" s="479" t="s">
        <v>346</v>
      </c>
      <c r="J88" s="479" t="s">
        <v>346</v>
      </c>
      <c r="K88" s="479" t="s">
        <v>346</v>
      </c>
      <c r="L88" s="161">
        <v>1</v>
      </c>
      <c r="M88" s="161">
        <v>1</v>
      </c>
      <c r="N88" s="479" t="s">
        <v>346</v>
      </c>
      <c r="O88" s="161">
        <v>1</v>
      </c>
      <c r="P88" s="161">
        <v>1</v>
      </c>
      <c r="Q88" s="479" t="s">
        <v>346</v>
      </c>
    </row>
    <row r="89" spans="1:75">
      <c r="A89" s="477" t="s">
        <v>447</v>
      </c>
      <c r="B89" s="157" t="s">
        <v>435</v>
      </c>
      <c r="C89" s="478"/>
      <c r="D89" s="161">
        <v>2.5999999999999998E-5</v>
      </c>
      <c r="E89" s="161">
        <v>2.5999999999999998E-5</v>
      </c>
      <c r="F89" s="161">
        <v>2.5999999999999998E-5</v>
      </c>
      <c r="G89" s="161">
        <v>2.5999999999999998E-5</v>
      </c>
      <c r="H89" s="161">
        <v>2.5999999999999998E-5</v>
      </c>
      <c r="I89" s="479" t="s">
        <v>346</v>
      </c>
      <c r="J89" s="479" t="s">
        <v>346</v>
      </c>
      <c r="K89" s="479" t="s">
        <v>346</v>
      </c>
      <c r="L89" s="161">
        <v>2.5999999999999998E-5</v>
      </c>
      <c r="M89" s="161">
        <v>2.5999999999999998E-5</v>
      </c>
      <c r="N89" s="479" t="s">
        <v>346</v>
      </c>
      <c r="O89" s="161">
        <v>2.5999999999999998E-5</v>
      </c>
      <c r="P89" s="161">
        <v>2.5999999999999998E-5</v>
      </c>
      <c r="Q89" s="479" t="s">
        <v>346</v>
      </c>
    </row>
    <row r="90" spans="1:75">
      <c r="A90" s="477" t="s">
        <v>448</v>
      </c>
      <c r="B90" s="157" t="s">
        <v>377</v>
      </c>
      <c r="C90" s="478"/>
      <c r="D90" s="161">
        <v>14.7</v>
      </c>
      <c r="E90" s="161">
        <v>14.7</v>
      </c>
      <c r="F90" s="161">
        <v>14.7</v>
      </c>
      <c r="G90" s="161">
        <v>14.7</v>
      </c>
      <c r="H90" s="161">
        <v>14.7</v>
      </c>
      <c r="I90" s="479" t="s">
        <v>346</v>
      </c>
      <c r="J90" s="479" t="s">
        <v>346</v>
      </c>
      <c r="K90" s="479" t="s">
        <v>346</v>
      </c>
      <c r="L90" s="161">
        <v>14.7</v>
      </c>
      <c r="M90" s="161">
        <v>14.7</v>
      </c>
      <c r="N90" s="479" t="s">
        <v>346</v>
      </c>
      <c r="O90" s="161">
        <v>14.7</v>
      </c>
      <c r="P90" s="161">
        <v>14.7</v>
      </c>
      <c r="Q90" s="479" t="s">
        <v>346</v>
      </c>
    </row>
    <row r="91" spans="1:75">
      <c r="A91" s="477" t="s">
        <v>449</v>
      </c>
      <c r="B91" s="157" t="s">
        <v>377</v>
      </c>
      <c r="C91" s="478"/>
      <c r="D91" s="161">
        <v>0</v>
      </c>
      <c r="E91" s="161">
        <v>0</v>
      </c>
      <c r="F91" s="161">
        <v>0</v>
      </c>
      <c r="G91" s="161">
        <v>0</v>
      </c>
      <c r="H91" s="161">
        <v>0</v>
      </c>
      <c r="I91" s="479" t="s">
        <v>346</v>
      </c>
      <c r="J91" s="479" t="s">
        <v>346</v>
      </c>
      <c r="K91" s="479" t="s">
        <v>346</v>
      </c>
      <c r="L91" s="161">
        <v>0</v>
      </c>
      <c r="M91" s="161">
        <v>0</v>
      </c>
      <c r="N91" s="479" t="s">
        <v>346</v>
      </c>
      <c r="O91" s="161">
        <v>0</v>
      </c>
      <c r="P91" s="161">
        <v>0</v>
      </c>
      <c r="Q91" s="479" t="s">
        <v>346</v>
      </c>
    </row>
    <row r="92" spans="1:75">
      <c r="A92" s="498" t="s">
        <v>450</v>
      </c>
      <c r="B92" s="157" t="s">
        <v>430</v>
      </c>
      <c r="C92" s="478"/>
      <c r="D92" s="161">
        <v>5.0000000000000004E-6</v>
      </c>
      <c r="E92" s="161">
        <v>5.0000000000000004E-6</v>
      </c>
      <c r="F92" s="161">
        <v>5.0000000000000004E-6</v>
      </c>
      <c r="G92" s="161">
        <v>5.0000000000000004E-6</v>
      </c>
      <c r="H92" s="161">
        <v>5.0000000000000004E-6</v>
      </c>
      <c r="I92" s="479" t="s">
        <v>346</v>
      </c>
      <c r="J92" s="479" t="s">
        <v>346</v>
      </c>
      <c r="K92" s="479" t="s">
        <v>346</v>
      </c>
      <c r="L92" s="161">
        <v>5.0000000000000004E-6</v>
      </c>
      <c r="M92" s="161">
        <v>5.0000000000000004E-6</v>
      </c>
      <c r="N92" s="479" t="s">
        <v>346</v>
      </c>
      <c r="O92" s="161">
        <v>5.0000000000000004E-6</v>
      </c>
      <c r="P92" s="161">
        <v>5.0000000000000004E-6</v>
      </c>
      <c r="Q92" s="479" t="s">
        <v>346</v>
      </c>
    </row>
    <row r="93" spans="1:75">
      <c r="A93" s="477" t="s">
        <v>451</v>
      </c>
      <c r="B93" s="157" t="s">
        <v>358</v>
      </c>
      <c r="C93" s="478"/>
      <c r="D93" s="161">
        <v>1000000000</v>
      </c>
      <c r="E93" s="161">
        <v>1000000000</v>
      </c>
      <c r="F93" s="161">
        <v>1000000000</v>
      </c>
      <c r="G93" s="161">
        <v>1000000000</v>
      </c>
      <c r="H93" s="161">
        <v>1000000000</v>
      </c>
      <c r="I93" s="479" t="s">
        <v>346</v>
      </c>
      <c r="J93" s="479" t="s">
        <v>346</v>
      </c>
      <c r="K93" s="479" t="s">
        <v>346</v>
      </c>
      <c r="L93" s="161">
        <v>1000000000</v>
      </c>
      <c r="M93" s="161">
        <v>1000000000</v>
      </c>
      <c r="N93" s="479" t="s">
        <v>346</v>
      </c>
      <c r="O93" s="161">
        <v>1000000000</v>
      </c>
      <c r="P93" s="161">
        <v>1000000000</v>
      </c>
      <c r="Q93" s="479" t="s">
        <v>346</v>
      </c>
    </row>
    <row r="94" spans="1:75">
      <c r="A94" s="564" t="s">
        <v>452</v>
      </c>
      <c r="B94" s="157"/>
      <c r="C94" s="478"/>
      <c r="D94" s="161"/>
      <c r="E94" s="161"/>
      <c r="F94" s="161"/>
      <c r="G94" s="161"/>
      <c r="H94" s="161"/>
      <c r="I94" s="479"/>
      <c r="J94" s="479"/>
      <c r="K94" s="479"/>
      <c r="L94" s="161"/>
      <c r="M94" s="161"/>
      <c r="N94" s="479"/>
      <c r="O94" s="161"/>
      <c r="P94" s="161"/>
      <c r="Q94" s="479"/>
    </row>
    <row r="95" spans="1:75">
      <c r="A95" s="477" t="s">
        <v>446</v>
      </c>
      <c r="B95" s="157" t="s">
        <v>435</v>
      </c>
      <c r="C95" s="478"/>
      <c r="D95" s="161">
        <v>3.3</v>
      </c>
      <c r="E95" s="161">
        <v>3.3</v>
      </c>
      <c r="F95" s="161">
        <v>3.3</v>
      </c>
      <c r="G95" s="161">
        <v>3.3</v>
      </c>
      <c r="H95" s="161">
        <v>3.3</v>
      </c>
      <c r="I95" s="479" t="s">
        <v>346</v>
      </c>
      <c r="J95" s="479" t="s">
        <v>346</v>
      </c>
      <c r="K95" s="479" t="s">
        <v>346</v>
      </c>
      <c r="L95" s="161">
        <v>3.3</v>
      </c>
      <c r="M95" s="161">
        <v>3.3</v>
      </c>
      <c r="N95" s="479" t="s">
        <v>346</v>
      </c>
      <c r="O95" s="161">
        <v>3.3</v>
      </c>
      <c r="P95" s="161">
        <v>3.3</v>
      </c>
      <c r="Q95" s="479" t="s">
        <v>346</v>
      </c>
    </row>
    <row r="96" spans="1:75">
      <c r="A96" s="477" t="s">
        <v>447</v>
      </c>
      <c r="B96" s="157" t="s">
        <v>435</v>
      </c>
      <c r="C96" s="478"/>
      <c r="D96" s="161">
        <v>2.1000000000000001E-4</v>
      </c>
      <c r="E96" s="161">
        <v>2.1000000000000001E-4</v>
      </c>
      <c r="F96" s="161">
        <v>2.1000000000000001E-4</v>
      </c>
      <c r="G96" s="161">
        <v>2.1000000000000001E-4</v>
      </c>
      <c r="H96" s="161">
        <v>2.1000000000000001E-4</v>
      </c>
      <c r="I96" s="479" t="s">
        <v>346</v>
      </c>
      <c r="J96" s="479" t="s">
        <v>346</v>
      </c>
      <c r="K96" s="479" t="s">
        <v>346</v>
      </c>
      <c r="L96" s="161">
        <v>2.1000000000000001E-4</v>
      </c>
      <c r="M96" s="161">
        <v>2.1000000000000001E-4</v>
      </c>
      <c r="N96" s="479" t="s">
        <v>346</v>
      </c>
      <c r="O96" s="161">
        <v>2.1000000000000001E-4</v>
      </c>
      <c r="P96" s="161">
        <v>2.1000000000000001E-4</v>
      </c>
      <c r="Q96" s="479" t="s">
        <v>346</v>
      </c>
    </row>
    <row r="97" spans="1:17">
      <c r="A97" s="477" t="s">
        <v>448</v>
      </c>
      <c r="B97" s="157" t="s">
        <v>377</v>
      </c>
      <c r="C97" s="478"/>
      <c r="D97" s="161">
        <v>117.9</v>
      </c>
      <c r="E97" s="161">
        <v>117.9</v>
      </c>
      <c r="F97" s="161">
        <v>117.9</v>
      </c>
      <c r="G97" s="161">
        <v>117.9</v>
      </c>
      <c r="H97" s="161">
        <v>117.9</v>
      </c>
      <c r="I97" s="479" t="s">
        <v>346</v>
      </c>
      <c r="J97" s="479" t="s">
        <v>346</v>
      </c>
      <c r="K97" s="479" t="s">
        <v>346</v>
      </c>
      <c r="L97" s="161">
        <v>117.9</v>
      </c>
      <c r="M97" s="161">
        <v>117.9</v>
      </c>
      <c r="N97" s="479" t="s">
        <v>346</v>
      </c>
      <c r="O97" s="161">
        <v>117.9</v>
      </c>
      <c r="P97" s="161">
        <v>117.9</v>
      </c>
      <c r="Q97" s="479" t="s">
        <v>346</v>
      </c>
    </row>
    <row r="98" spans="1:17">
      <c r="A98" s="477" t="s">
        <v>449</v>
      </c>
      <c r="B98" s="157" t="s">
        <v>377</v>
      </c>
      <c r="C98" s="478"/>
      <c r="D98" s="161">
        <v>25.3</v>
      </c>
      <c r="E98" s="161">
        <v>25.3</v>
      </c>
      <c r="F98" s="161">
        <v>25.3</v>
      </c>
      <c r="G98" s="161">
        <v>25.3</v>
      </c>
      <c r="H98" s="161">
        <v>25.3</v>
      </c>
      <c r="I98" s="479" t="s">
        <v>346</v>
      </c>
      <c r="J98" s="479" t="s">
        <v>346</v>
      </c>
      <c r="K98" s="479" t="s">
        <v>346</v>
      </c>
      <c r="L98" s="161">
        <v>25.3</v>
      </c>
      <c r="M98" s="161">
        <v>25.3</v>
      </c>
      <c r="N98" s="479" t="s">
        <v>346</v>
      </c>
      <c r="O98" s="161">
        <v>25.3</v>
      </c>
      <c r="P98" s="161">
        <v>25.3</v>
      </c>
      <c r="Q98" s="479" t="s">
        <v>346</v>
      </c>
    </row>
    <row r="99" spans="1:17">
      <c r="A99" s="498" t="s">
        <v>450</v>
      </c>
      <c r="B99" s="157" t="s">
        <v>430</v>
      </c>
      <c r="C99" s="478"/>
      <c r="D99" s="161">
        <v>5.0000000000000001E-4</v>
      </c>
      <c r="E99" s="161">
        <v>5.0000000000000001E-4</v>
      </c>
      <c r="F99" s="161">
        <v>5.0000000000000001E-4</v>
      </c>
      <c r="G99" s="161">
        <v>5.0000000000000001E-4</v>
      </c>
      <c r="H99" s="161">
        <v>5.0000000000000001E-4</v>
      </c>
      <c r="I99" s="479" t="s">
        <v>346</v>
      </c>
      <c r="J99" s="479" t="s">
        <v>346</v>
      </c>
      <c r="K99" s="479" t="s">
        <v>346</v>
      </c>
      <c r="L99" s="161">
        <v>5.0000000000000001E-4</v>
      </c>
      <c r="M99" s="161">
        <v>5.0000000000000001E-4</v>
      </c>
      <c r="N99" s="479" t="s">
        <v>346</v>
      </c>
      <c r="O99" s="161">
        <v>5.0000000000000001E-4</v>
      </c>
      <c r="P99" s="161">
        <v>5.0000000000000001E-4</v>
      </c>
      <c r="Q99" s="479" t="s">
        <v>346</v>
      </c>
    </row>
    <row r="100" spans="1:17">
      <c r="A100" s="477" t="s">
        <v>451</v>
      </c>
      <c r="B100" s="157" t="s">
        <v>358</v>
      </c>
      <c r="C100" s="478"/>
      <c r="D100" s="161">
        <v>2000000000</v>
      </c>
      <c r="E100" s="161">
        <v>2000000000</v>
      </c>
      <c r="F100" s="161">
        <v>2000000000</v>
      </c>
      <c r="G100" s="161">
        <v>2000000000</v>
      </c>
      <c r="H100" s="161">
        <v>2000000000</v>
      </c>
      <c r="I100" s="479" t="s">
        <v>346</v>
      </c>
      <c r="J100" s="479" t="s">
        <v>346</v>
      </c>
      <c r="K100" s="479" t="s">
        <v>346</v>
      </c>
      <c r="L100" s="161">
        <v>2000000000</v>
      </c>
      <c r="M100" s="161">
        <v>2000000000</v>
      </c>
      <c r="N100" s="479" t="s">
        <v>346</v>
      </c>
      <c r="O100" s="161">
        <v>2000000000</v>
      </c>
      <c r="P100" s="161">
        <v>2000000000</v>
      </c>
      <c r="Q100" s="479" t="s">
        <v>346</v>
      </c>
    </row>
    <row r="101" spans="1:17">
      <c r="A101" s="564" t="s">
        <v>453</v>
      </c>
      <c r="B101" s="157"/>
      <c r="C101" s="478"/>
      <c r="D101" s="161"/>
      <c r="E101" s="161"/>
      <c r="F101" s="161"/>
      <c r="G101" s="161"/>
      <c r="H101" s="161"/>
      <c r="I101" s="479"/>
      <c r="J101" s="479"/>
      <c r="K101" s="479"/>
      <c r="L101" s="161"/>
      <c r="M101" s="161"/>
      <c r="N101" s="479"/>
      <c r="O101" s="161"/>
      <c r="P101" s="161"/>
      <c r="Q101" s="479"/>
    </row>
    <row r="102" spans="1:17">
      <c r="A102" s="477" t="s">
        <v>446</v>
      </c>
      <c r="B102" s="157" t="s">
        <v>435</v>
      </c>
      <c r="C102" s="478"/>
      <c r="D102" s="161">
        <v>2.34</v>
      </c>
      <c r="E102" s="161">
        <v>2.34</v>
      </c>
      <c r="F102" s="161">
        <v>2.34</v>
      </c>
      <c r="G102" s="161">
        <v>2.34</v>
      </c>
      <c r="H102" s="161">
        <v>2.34</v>
      </c>
      <c r="I102" s="479" t="s">
        <v>346</v>
      </c>
      <c r="J102" s="479" t="s">
        <v>346</v>
      </c>
      <c r="K102" s="479" t="s">
        <v>346</v>
      </c>
      <c r="L102" s="161">
        <v>2.34</v>
      </c>
      <c r="M102" s="161">
        <v>2.34</v>
      </c>
      <c r="N102" s="479" t="s">
        <v>346</v>
      </c>
      <c r="O102" s="161">
        <v>2.34</v>
      </c>
      <c r="P102" s="161">
        <v>2.34</v>
      </c>
      <c r="Q102" s="479" t="s">
        <v>346</v>
      </c>
    </row>
    <row r="103" spans="1:17">
      <c r="A103" s="477" t="s">
        <v>447</v>
      </c>
      <c r="B103" s="157" t="s">
        <v>435</v>
      </c>
      <c r="C103" s="478"/>
      <c r="D103" s="161">
        <v>1.2899999999999999E-4</v>
      </c>
      <c r="E103" s="161">
        <v>1.2899999999999999E-4</v>
      </c>
      <c r="F103" s="161">
        <v>1.2899999999999999E-4</v>
      </c>
      <c r="G103" s="161">
        <v>1.2899999999999999E-4</v>
      </c>
      <c r="H103" s="161">
        <v>1.2899999999999999E-4</v>
      </c>
      <c r="I103" s="479" t="s">
        <v>346</v>
      </c>
      <c r="J103" s="479" t="s">
        <v>346</v>
      </c>
      <c r="K103" s="479" t="s">
        <v>346</v>
      </c>
      <c r="L103" s="161">
        <v>1.2899999999999999E-4</v>
      </c>
      <c r="M103" s="161">
        <v>1.2899999999999999E-4</v>
      </c>
      <c r="N103" s="479" t="s">
        <v>346</v>
      </c>
      <c r="O103" s="161">
        <v>1.2899999999999999E-4</v>
      </c>
      <c r="P103" s="161">
        <v>1.2899999999999999E-4</v>
      </c>
      <c r="Q103" s="479" t="s">
        <v>346</v>
      </c>
    </row>
    <row r="104" spans="1:17">
      <c r="A104" s="477" t="s">
        <v>449</v>
      </c>
      <c r="B104" s="157" t="s">
        <v>377</v>
      </c>
      <c r="C104" s="478"/>
      <c r="D104" s="161">
        <v>5.3099999999999996E-3</v>
      </c>
      <c r="E104" s="161">
        <v>5.3099999999999996E-3</v>
      </c>
      <c r="F104" s="161">
        <v>5.3099999999999996E-3</v>
      </c>
      <c r="G104" s="161">
        <v>5.3099999999999996E-3</v>
      </c>
      <c r="H104" s="161">
        <v>5.3099999999999996E-3</v>
      </c>
      <c r="I104" s="479" t="s">
        <v>346</v>
      </c>
      <c r="J104" s="479" t="s">
        <v>346</v>
      </c>
      <c r="K104" s="479" t="s">
        <v>346</v>
      </c>
      <c r="L104" s="161">
        <v>5.3099999999999996E-3</v>
      </c>
      <c r="M104" s="161">
        <v>5.3099999999999996E-3</v>
      </c>
      <c r="N104" s="479" t="s">
        <v>346</v>
      </c>
      <c r="O104" s="161">
        <v>5.3099999999999996E-3</v>
      </c>
      <c r="P104" s="161">
        <v>5.3099999999999996E-3</v>
      </c>
      <c r="Q104" s="479" t="s">
        <v>346</v>
      </c>
    </row>
    <row r="105" spans="1:17">
      <c r="A105" s="498" t="s">
        <v>450</v>
      </c>
      <c r="B105" s="157" t="s">
        <v>430</v>
      </c>
      <c r="C105" s="478"/>
      <c r="D105" s="161">
        <v>6.9999999999999994E-5</v>
      </c>
      <c r="E105" s="161" t="s">
        <v>346</v>
      </c>
      <c r="F105" s="161">
        <v>6.9999999999999994E-5</v>
      </c>
      <c r="G105" s="161">
        <v>6.9999999999999994E-5</v>
      </c>
      <c r="H105" s="161">
        <v>6.9999999999999994E-5</v>
      </c>
      <c r="I105" s="479" t="s">
        <v>346</v>
      </c>
      <c r="J105" s="479" t="s">
        <v>346</v>
      </c>
      <c r="K105" s="479" t="s">
        <v>346</v>
      </c>
      <c r="L105" s="161">
        <v>6.9999999999999994E-5</v>
      </c>
      <c r="M105" s="161">
        <v>6.9999999999999994E-5</v>
      </c>
      <c r="N105" s="479" t="s">
        <v>346</v>
      </c>
      <c r="O105" s="161">
        <v>6.9999999999999994E-5</v>
      </c>
      <c r="P105" s="161">
        <v>6.9999999999999994E-5</v>
      </c>
      <c r="Q105" s="479" t="s">
        <v>346</v>
      </c>
    </row>
    <row r="106" spans="1:17">
      <c r="A106" s="564" t="s">
        <v>25</v>
      </c>
      <c r="B106" s="157"/>
      <c r="C106" s="478"/>
      <c r="D106" s="161"/>
      <c r="E106" s="161"/>
      <c r="F106" s="161"/>
      <c r="G106" s="161"/>
      <c r="H106" s="161"/>
      <c r="I106" s="479"/>
      <c r="J106" s="479"/>
      <c r="K106" s="479"/>
      <c r="L106" s="161"/>
      <c r="M106" s="161"/>
      <c r="N106" s="479"/>
      <c r="O106" s="161"/>
      <c r="P106" s="161"/>
      <c r="Q106" s="479"/>
    </row>
    <row r="107" spans="1:17">
      <c r="A107" s="477" t="s">
        <v>454</v>
      </c>
      <c r="B107" s="157" t="s">
        <v>358</v>
      </c>
      <c r="C107" s="478"/>
      <c r="D107" s="161">
        <v>5.1999999999999998E-2</v>
      </c>
      <c r="E107" s="161">
        <v>5.1999999999999998E-2</v>
      </c>
      <c r="F107" s="161">
        <v>5.1999999999999998E-2</v>
      </c>
      <c r="G107" s="161">
        <v>5.1999999999999998E-2</v>
      </c>
      <c r="H107" s="161">
        <v>5.1999999999999998E-2</v>
      </c>
      <c r="I107" s="479" t="s">
        <v>346</v>
      </c>
      <c r="J107" s="479" t="s">
        <v>346</v>
      </c>
      <c r="K107" s="479" t="s">
        <v>346</v>
      </c>
      <c r="L107" s="161">
        <v>5.1999999999999998E-2</v>
      </c>
      <c r="M107" s="161">
        <v>5.1999999999999998E-2</v>
      </c>
      <c r="N107" s="479" t="s">
        <v>346</v>
      </c>
      <c r="O107" s="161">
        <v>5.1999999999999998E-2</v>
      </c>
      <c r="P107" s="161">
        <v>5.1999999999999998E-2</v>
      </c>
      <c r="Q107" s="479" t="s">
        <v>346</v>
      </c>
    </row>
    <row r="108" spans="1:17">
      <c r="A108" s="565" t="s">
        <v>455</v>
      </c>
      <c r="B108" s="157" t="s">
        <v>435</v>
      </c>
      <c r="C108" s="478"/>
      <c r="D108" s="161">
        <v>6.0000000000000001E-3</v>
      </c>
      <c r="E108" s="161">
        <v>6.0000000000000001E-3</v>
      </c>
      <c r="F108" s="161">
        <v>6.0000000000000001E-3</v>
      </c>
      <c r="G108" s="161">
        <v>6.0000000000000001E-3</v>
      </c>
      <c r="H108" s="161">
        <v>6.0000000000000001E-3</v>
      </c>
      <c r="I108" s="479" t="s">
        <v>346</v>
      </c>
      <c r="J108" s="479" t="s">
        <v>346</v>
      </c>
      <c r="K108" s="479" t="s">
        <v>346</v>
      </c>
      <c r="L108" s="161">
        <v>6.0000000000000001E-3</v>
      </c>
      <c r="M108" s="161">
        <v>6.0000000000000001E-3</v>
      </c>
      <c r="N108" s="479" t="s">
        <v>346</v>
      </c>
      <c r="O108" s="161">
        <v>6.0000000000000001E-3</v>
      </c>
      <c r="P108" s="161">
        <v>6.0000000000000001E-3</v>
      </c>
      <c r="Q108" s="479" t="s">
        <v>346</v>
      </c>
    </row>
    <row r="109" spans="1:17">
      <c r="A109" s="477" t="s">
        <v>456</v>
      </c>
      <c r="B109" s="157" t="s">
        <v>345</v>
      </c>
      <c r="C109" s="478"/>
      <c r="D109" s="161">
        <v>0.46</v>
      </c>
      <c r="E109" s="161">
        <v>0.46</v>
      </c>
      <c r="F109" s="161">
        <v>0.46</v>
      </c>
      <c r="G109" s="161">
        <v>0.46</v>
      </c>
      <c r="H109" s="161">
        <v>0.46</v>
      </c>
      <c r="I109" s="479" t="s">
        <v>346</v>
      </c>
      <c r="J109" s="479" t="s">
        <v>346</v>
      </c>
      <c r="K109" s="479" t="s">
        <v>346</v>
      </c>
      <c r="L109" s="161">
        <v>0.46</v>
      </c>
      <c r="M109" s="161">
        <v>0.46</v>
      </c>
      <c r="N109" s="479" t="s">
        <v>346</v>
      </c>
      <c r="O109" s="161">
        <v>0.46</v>
      </c>
      <c r="P109" s="161">
        <v>0.46</v>
      </c>
      <c r="Q109" s="479" t="s">
        <v>346</v>
      </c>
    </row>
    <row r="110" spans="1:17">
      <c r="A110" s="477" t="s">
        <v>457</v>
      </c>
      <c r="B110" s="157" t="s">
        <v>345</v>
      </c>
      <c r="C110" s="478"/>
      <c r="D110" s="161">
        <v>0.05</v>
      </c>
      <c r="E110" s="161">
        <v>0.05</v>
      </c>
      <c r="F110" s="161">
        <v>0.05</v>
      </c>
      <c r="G110" s="161">
        <v>0.05</v>
      </c>
      <c r="H110" s="161">
        <v>0.05</v>
      </c>
      <c r="I110" s="479" t="s">
        <v>346</v>
      </c>
      <c r="J110" s="479" t="s">
        <v>346</v>
      </c>
      <c r="K110" s="479" t="s">
        <v>346</v>
      </c>
      <c r="L110" s="161">
        <v>0.05</v>
      </c>
      <c r="M110" s="161">
        <v>0.05</v>
      </c>
      <c r="N110" s="479" t="s">
        <v>346</v>
      </c>
      <c r="O110" s="161">
        <v>0.05</v>
      </c>
      <c r="P110" s="161">
        <v>0.05</v>
      </c>
      <c r="Q110" s="479" t="s">
        <v>346</v>
      </c>
    </row>
    <row r="111" spans="1:17">
      <c r="A111" s="451" t="s">
        <v>458</v>
      </c>
      <c r="B111" s="452"/>
      <c r="C111" s="453"/>
      <c r="D111" s="454"/>
      <c r="E111" s="454"/>
      <c r="F111" s="454"/>
      <c r="G111" s="454"/>
      <c r="H111" s="454"/>
      <c r="I111" s="454"/>
      <c r="J111" s="452"/>
      <c r="K111" s="452"/>
      <c r="L111" s="454"/>
      <c r="M111" s="452"/>
      <c r="N111" s="452"/>
      <c r="O111" s="454"/>
      <c r="P111" s="454"/>
      <c r="Q111" s="452"/>
    </row>
    <row r="112" spans="1:17">
      <c r="A112" s="477" t="s">
        <v>459</v>
      </c>
      <c r="B112" s="157" t="s">
        <v>460</v>
      </c>
      <c r="C112" s="478"/>
      <c r="D112" s="161">
        <v>1</v>
      </c>
      <c r="E112" s="161">
        <v>1</v>
      </c>
      <c r="F112" s="161">
        <v>1</v>
      </c>
      <c r="G112" s="161">
        <v>1</v>
      </c>
      <c r="H112" s="161">
        <v>1</v>
      </c>
      <c r="I112" s="161">
        <v>1</v>
      </c>
      <c r="J112" s="161">
        <v>1</v>
      </c>
      <c r="K112" s="161">
        <v>1</v>
      </c>
      <c r="L112" s="161">
        <v>1</v>
      </c>
      <c r="M112" s="161">
        <v>1</v>
      </c>
      <c r="N112" s="161">
        <v>1</v>
      </c>
      <c r="O112" s="161">
        <v>1</v>
      </c>
      <c r="P112" s="161">
        <v>1</v>
      </c>
      <c r="Q112" s="161">
        <v>1</v>
      </c>
    </row>
    <row r="113" spans="1:17">
      <c r="A113" s="477" t="s">
        <v>461</v>
      </c>
      <c r="B113" s="157" t="s">
        <v>411</v>
      </c>
      <c r="C113" s="478"/>
      <c r="D113" s="161">
        <v>1</v>
      </c>
      <c r="E113" s="161">
        <v>1</v>
      </c>
      <c r="F113" s="161">
        <v>1</v>
      </c>
      <c r="G113" s="161">
        <v>1</v>
      </c>
      <c r="H113" s="161">
        <v>1</v>
      </c>
      <c r="I113" s="161">
        <v>1</v>
      </c>
      <c r="J113" s="161">
        <v>1</v>
      </c>
      <c r="K113" s="161">
        <v>1</v>
      </c>
      <c r="L113" s="161">
        <v>1</v>
      </c>
      <c r="M113" s="161">
        <v>1</v>
      </c>
      <c r="N113" s="161">
        <v>1</v>
      </c>
      <c r="O113" s="161">
        <v>1</v>
      </c>
      <c r="P113" s="161">
        <v>1</v>
      </c>
      <c r="Q113" s="161">
        <v>1</v>
      </c>
    </row>
    <row r="114" spans="1:17" ht="14.65" customHeight="1">
      <c r="A114" s="521" t="s">
        <v>462</v>
      </c>
      <c r="B114" s="522" t="s">
        <v>463</v>
      </c>
      <c r="C114" s="458" t="s">
        <v>296</v>
      </c>
      <c r="D114" s="479" t="s">
        <v>346</v>
      </c>
      <c r="E114" s="479" t="s">
        <v>346</v>
      </c>
      <c r="F114" s="479" t="s">
        <v>346</v>
      </c>
      <c r="G114" s="523">
        <v>0</v>
      </c>
      <c r="H114" s="523">
        <v>0</v>
      </c>
      <c r="I114" s="479" t="s">
        <v>346</v>
      </c>
      <c r="J114" s="479" t="s">
        <v>346</v>
      </c>
      <c r="K114" s="479" t="s">
        <v>346</v>
      </c>
      <c r="L114" s="523">
        <v>0</v>
      </c>
      <c r="M114" s="479" t="s">
        <v>346</v>
      </c>
      <c r="N114" s="479" t="s">
        <v>346</v>
      </c>
      <c r="O114" s="479" t="s">
        <v>346</v>
      </c>
      <c r="P114" s="479" t="s">
        <v>346</v>
      </c>
      <c r="Q114" s="479" t="s">
        <v>346</v>
      </c>
    </row>
    <row r="115" spans="1:17" ht="14.65" customHeight="1">
      <c r="A115" s="559"/>
      <c r="B115" s="528"/>
      <c r="C115" s="458" t="s">
        <v>302</v>
      </c>
      <c r="D115" s="479" t="s">
        <v>346</v>
      </c>
      <c r="E115" s="479" t="s">
        <v>346</v>
      </c>
      <c r="F115" s="479" t="s">
        <v>346</v>
      </c>
      <c r="G115" s="523">
        <v>0</v>
      </c>
      <c r="H115" s="523">
        <v>0</v>
      </c>
      <c r="I115" s="479" t="s">
        <v>346</v>
      </c>
      <c r="J115" s="479" t="s">
        <v>346</v>
      </c>
      <c r="K115" s="479" t="s">
        <v>346</v>
      </c>
      <c r="L115" s="523">
        <v>0</v>
      </c>
      <c r="M115" s="479" t="s">
        <v>346</v>
      </c>
      <c r="N115" s="479" t="s">
        <v>346</v>
      </c>
      <c r="O115" s="479" t="s">
        <v>346</v>
      </c>
      <c r="P115" s="479" t="s">
        <v>346</v>
      </c>
      <c r="Q115" s="479" t="s">
        <v>346</v>
      </c>
    </row>
    <row r="116" spans="1:17" ht="14.65" customHeight="1">
      <c r="A116" s="560"/>
      <c r="B116" s="533"/>
      <c r="C116" s="458" t="s">
        <v>298</v>
      </c>
      <c r="D116" s="479" t="s">
        <v>346</v>
      </c>
      <c r="E116" s="479" t="s">
        <v>346</v>
      </c>
      <c r="F116" s="479" t="s">
        <v>346</v>
      </c>
      <c r="G116" s="523">
        <v>0</v>
      </c>
      <c r="H116" s="523">
        <v>0</v>
      </c>
      <c r="I116" s="479" t="s">
        <v>346</v>
      </c>
      <c r="J116" s="479" t="s">
        <v>346</v>
      </c>
      <c r="K116" s="479" t="s">
        <v>346</v>
      </c>
      <c r="L116" s="523">
        <v>0</v>
      </c>
      <c r="M116" s="479" t="s">
        <v>346</v>
      </c>
      <c r="N116" s="479" t="s">
        <v>346</v>
      </c>
      <c r="O116" s="479" t="s">
        <v>346</v>
      </c>
      <c r="P116" s="479" t="s">
        <v>346</v>
      </c>
      <c r="Q116" s="479" t="s">
        <v>346</v>
      </c>
    </row>
    <row r="117" spans="1:17" ht="14.65" customHeight="1">
      <c r="A117" s="521" t="s">
        <v>464</v>
      </c>
      <c r="B117" s="522" t="s">
        <v>463</v>
      </c>
      <c r="C117" s="458" t="s">
        <v>296</v>
      </c>
      <c r="D117" s="479" t="s">
        <v>346</v>
      </c>
      <c r="E117" s="479" t="s">
        <v>346</v>
      </c>
      <c r="F117" s="479" t="s">
        <v>346</v>
      </c>
      <c r="G117" s="523">
        <v>0</v>
      </c>
      <c r="H117" s="523">
        <v>0</v>
      </c>
      <c r="I117" s="479" t="s">
        <v>346</v>
      </c>
      <c r="J117" s="479" t="s">
        <v>346</v>
      </c>
      <c r="K117" s="479" t="s">
        <v>346</v>
      </c>
      <c r="L117" s="523">
        <v>0</v>
      </c>
      <c r="M117" s="479" t="s">
        <v>346</v>
      </c>
      <c r="N117" s="479" t="s">
        <v>346</v>
      </c>
      <c r="O117" s="479" t="s">
        <v>346</v>
      </c>
      <c r="P117" s="479" t="s">
        <v>346</v>
      </c>
      <c r="Q117" s="479" t="s">
        <v>346</v>
      </c>
    </row>
    <row r="118" spans="1:17" ht="14.65" customHeight="1">
      <c r="A118" s="527"/>
      <c r="B118" s="528"/>
      <c r="C118" s="458" t="s">
        <v>302</v>
      </c>
      <c r="D118" s="479" t="s">
        <v>346</v>
      </c>
      <c r="E118" s="479" t="s">
        <v>346</v>
      </c>
      <c r="F118" s="479" t="s">
        <v>346</v>
      </c>
      <c r="G118" s="523">
        <v>0</v>
      </c>
      <c r="H118" s="523">
        <v>0</v>
      </c>
      <c r="I118" s="479" t="s">
        <v>346</v>
      </c>
      <c r="J118" s="479" t="s">
        <v>346</v>
      </c>
      <c r="K118" s="479" t="s">
        <v>346</v>
      </c>
      <c r="L118" s="523">
        <v>0</v>
      </c>
      <c r="M118" s="479" t="s">
        <v>346</v>
      </c>
      <c r="N118" s="479" t="s">
        <v>346</v>
      </c>
      <c r="O118" s="479" t="s">
        <v>346</v>
      </c>
      <c r="P118" s="479" t="s">
        <v>346</v>
      </c>
      <c r="Q118" s="479" t="s">
        <v>346</v>
      </c>
    </row>
    <row r="119" spans="1:17" ht="14.65" customHeight="1">
      <c r="A119" s="532"/>
      <c r="B119" s="533"/>
      <c r="C119" s="458" t="s">
        <v>298</v>
      </c>
      <c r="D119" s="479" t="s">
        <v>346</v>
      </c>
      <c r="E119" s="479" t="s">
        <v>346</v>
      </c>
      <c r="F119" s="479" t="s">
        <v>346</v>
      </c>
      <c r="G119" s="523">
        <v>0</v>
      </c>
      <c r="H119" s="523">
        <v>0</v>
      </c>
      <c r="I119" s="479" t="s">
        <v>346</v>
      </c>
      <c r="J119" s="479" t="s">
        <v>346</v>
      </c>
      <c r="K119" s="479" t="s">
        <v>346</v>
      </c>
      <c r="L119" s="523">
        <v>0</v>
      </c>
      <c r="M119" s="479" t="s">
        <v>346</v>
      </c>
      <c r="N119" s="479" t="s">
        <v>346</v>
      </c>
      <c r="O119" s="479" t="s">
        <v>346</v>
      </c>
      <c r="P119" s="479" t="s">
        <v>346</v>
      </c>
      <c r="Q119" s="479" t="s">
        <v>346</v>
      </c>
    </row>
    <row r="120" spans="1:17" ht="14.65" customHeight="1">
      <c r="A120" s="566" t="s">
        <v>465</v>
      </c>
      <c r="B120" s="458" t="s">
        <v>463</v>
      </c>
      <c r="C120" s="458"/>
      <c r="D120" s="479" t="s">
        <v>346</v>
      </c>
      <c r="E120" s="479" t="s">
        <v>346</v>
      </c>
      <c r="F120" s="479" t="s">
        <v>346</v>
      </c>
      <c r="G120" s="523">
        <v>0</v>
      </c>
      <c r="H120" s="523">
        <v>0</v>
      </c>
      <c r="I120" s="479" t="s">
        <v>346</v>
      </c>
      <c r="J120" s="479" t="s">
        <v>346</v>
      </c>
      <c r="K120" s="479" t="s">
        <v>346</v>
      </c>
      <c r="L120" s="523">
        <v>0</v>
      </c>
      <c r="M120" s="479" t="s">
        <v>346</v>
      </c>
      <c r="N120" s="479" t="s">
        <v>346</v>
      </c>
      <c r="O120" s="479" t="s">
        <v>346</v>
      </c>
      <c r="P120" s="479" t="s">
        <v>346</v>
      </c>
      <c r="Q120" s="479" t="s">
        <v>346</v>
      </c>
    </row>
    <row r="121" spans="1:17" ht="14.65" customHeight="1">
      <c r="A121" s="521" t="s">
        <v>466</v>
      </c>
      <c r="B121" s="522" t="s">
        <v>463</v>
      </c>
      <c r="C121" s="458" t="s">
        <v>296</v>
      </c>
      <c r="D121" s="479" t="s">
        <v>346</v>
      </c>
      <c r="E121" s="479" t="s">
        <v>346</v>
      </c>
      <c r="F121" s="479" t="s">
        <v>346</v>
      </c>
      <c r="G121" s="523">
        <v>0</v>
      </c>
      <c r="H121" s="523">
        <v>0</v>
      </c>
      <c r="I121" s="479" t="s">
        <v>346</v>
      </c>
      <c r="J121" s="479" t="s">
        <v>346</v>
      </c>
      <c r="K121" s="479" t="s">
        <v>346</v>
      </c>
      <c r="L121" s="523">
        <v>0</v>
      </c>
      <c r="M121" s="479" t="s">
        <v>346</v>
      </c>
      <c r="N121" s="479" t="s">
        <v>346</v>
      </c>
      <c r="O121" s="479" t="s">
        <v>346</v>
      </c>
      <c r="P121" s="479" t="s">
        <v>346</v>
      </c>
      <c r="Q121" s="479" t="s">
        <v>346</v>
      </c>
    </row>
    <row r="122" spans="1:17" ht="14.65" customHeight="1">
      <c r="A122" s="527"/>
      <c r="B122" s="528"/>
      <c r="C122" s="458" t="s">
        <v>302</v>
      </c>
      <c r="D122" s="479" t="s">
        <v>346</v>
      </c>
      <c r="E122" s="479" t="s">
        <v>346</v>
      </c>
      <c r="F122" s="479" t="s">
        <v>346</v>
      </c>
      <c r="G122" s="523">
        <v>0</v>
      </c>
      <c r="H122" s="523">
        <v>0</v>
      </c>
      <c r="I122" s="479" t="s">
        <v>346</v>
      </c>
      <c r="J122" s="479" t="s">
        <v>346</v>
      </c>
      <c r="K122" s="479" t="s">
        <v>346</v>
      </c>
      <c r="L122" s="523">
        <v>0</v>
      </c>
      <c r="M122" s="479" t="s">
        <v>346</v>
      </c>
      <c r="N122" s="479" t="s">
        <v>346</v>
      </c>
      <c r="O122" s="479" t="s">
        <v>346</v>
      </c>
      <c r="P122" s="479" t="s">
        <v>346</v>
      </c>
      <c r="Q122" s="479" t="s">
        <v>346</v>
      </c>
    </row>
    <row r="123" spans="1:17" ht="14.65" customHeight="1">
      <c r="A123" s="532"/>
      <c r="B123" s="533"/>
      <c r="C123" s="458" t="s">
        <v>298</v>
      </c>
      <c r="D123" s="479" t="s">
        <v>346</v>
      </c>
      <c r="E123" s="479" t="s">
        <v>346</v>
      </c>
      <c r="F123" s="479" t="s">
        <v>346</v>
      </c>
      <c r="G123" s="523">
        <v>0</v>
      </c>
      <c r="H123" s="523">
        <v>0</v>
      </c>
      <c r="I123" s="479" t="s">
        <v>346</v>
      </c>
      <c r="J123" s="479" t="s">
        <v>346</v>
      </c>
      <c r="K123" s="479" t="s">
        <v>346</v>
      </c>
      <c r="L123" s="523">
        <v>0</v>
      </c>
      <c r="M123" s="479" t="s">
        <v>346</v>
      </c>
      <c r="N123" s="479" t="s">
        <v>346</v>
      </c>
      <c r="O123" s="479" t="s">
        <v>346</v>
      </c>
      <c r="P123" s="479" t="s">
        <v>346</v>
      </c>
      <c r="Q123" s="479" t="s">
        <v>346</v>
      </c>
    </row>
    <row r="124" spans="1:17" ht="14.65" customHeight="1">
      <c r="A124" s="521" t="s">
        <v>467</v>
      </c>
      <c r="B124" s="522" t="s">
        <v>463</v>
      </c>
      <c r="C124" s="458" t="s">
        <v>296</v>
      </c>
      <c r="D124" s="479" t="s">
        <v>346</v>
      </c>
      <c r="E124" s="479" t="s">
        <v>346</v>
      </c>
      <c r="F124" s="479" t="s">
        <v>346</v>
      </c>
      <c r="G124" s="523">
        <v>0.52</v>
      </c>
      <c r="H124" s="523">
        <v>0.52</v>
      </c>
      <c r="I124" s="479" t="s">
        <v>346</v>
      </c>
      <c r="J124" s="479" t="s">
        <v>346</v>
      </c>
      <c r="K124" s="479" t="s">
        <v>346</v>
      </c>
      <c r="L124" s="523">
        <v>0.91</v>
      </c>
      <c r="M124" s="479" t="s">
        <v>346</v>
      </c>
      <c r="N124" s="479" t="s">
        <v>346</v>
      </c>
      <c r="O124" s="479" t="s">
        <v>346</v>
      </c>
      <c r="P124" s="479" t="s">
        <v>346</v>
      </c>
      <c r="Q124" s="479" t="s">
        <v>346</v>
      </c>
    </row>
    <row r="125" spans="1:17" ht="14.65" customHeight="1">
      <c r="A125" s="527"/>
      <c r="B125" s="528"/>
      <c r="C125" s="458" t="s">
        <v>302</v>
      </c>
      <c r="D125" s="479" t="s">
        <v>346</v>
      </c>
      <c r="E125" s="479" t="s">
        <v>346</v>
      </c>
      <c r="F125" s="479" t="s">
        <v>346</v>
      </c>
      <c r="G125" s="523">
        <v>0.3</v>
      </c>
      <c r="H125" s="523">
        <v>0.3</v>
      </c>
      <c r="I125" s="479" t="s">
        <v>346</v>
      </c>
      <c r="J125" s="479" t="s">
        <v>346</v>
      </c>
      <c r="K125" s="479" t="s">
        <v>346</v>
      </c>
      <c r="L125" s="523">
        <v>0.6</v>
      </c>
      <c r="M125" s="479" t="s">
        <v>346</v>
      </c>
      <c r="N125" s="479" t="s">
        <v>346</v>
      </c>
      <c r="O125" s="479" t="s">
        <v>346</v>
      </c>
      <c r="P125" s="479" t="s">
        <v>346</v>
      </c>
      <c r="Q125" s="479" t="s">
        <v>346</v>
      </c>
    </row>
    <row r="126" spans="1:17" ht="14.65" customHeight="1">
      <c r="A126" s="532"/>
      <c r="B126" s="533"/>
      <c r="C126" s="458" t="s">
        <v>298</v>
      </c>
      <c r="D126" s="479" t="s">
        <v>346</v>
      </c>
      <c r="E126" s="479" t="s">
        <v>346</v>
      </c>
      <c r="F126" s="479" t="s">
        <v>346</v>
      </c>
      <c r="G126" s="523">
        <v>0.08</v>
      </c>
      <c r="H126" s="523">
        <v>0.08</v>
      </c>
      <c r="I126" s="479" t="s">
        <v>346</v>
      </c>
      <c r="J126" s="479" t="s">
        <v>346</v>
      </c>
      <c r="K126" s="479" t="s">
        <v>346</v>
      </c>
      <c r="L126" s="523">
        <v>0.42</v>
      </c>
      <c r="M126" s="479" t="s">
        <v>346</v>
      </c>
      <c r="N126" s="479" t="s">
        <v>346</v>
      </c>
      <c r="O126" s="479" t="s">
        <v>346</v>
      </c>
      <c r="P126" s="479" t="s">
        <v>346</v>
      </c>
      <c r="Q126" s="479" t="s">
        <v>346</v>
      </c>
    </row>
    <row r="127" spans="1:17" ht="14.65" customHeight="1">
      <c r="A127" s="521" t="s">
        <v>468</v>
      </c>
      <c r="B127" s="522" t="s">
        <v>463</v>
      </c>
      <c r="C127" s="458" t="s">
        <v>296</v>
      </c>
      <c r="D127" s="479" t="s">
        <v>346</v>
      </c>
      <c r="E127" s="479" t="s">
        <v>346</v>
      </c>
      <c r="F127" s="479" t="s">
        <v>346</v>
      </c>
      <c r="G127" s="523">
        <v>0.69</v>
      </c>
      <c r="H127" s="523">
        <v>0.69</v>
      </c>
      <c r="I127" s="479" t="s">
        <v>346</v>
      </c>
      <c r="J127" s="479" t="s">
        <v>346</v>
      </c>
      <c r="K127" s="479" t="s">
        <v>346</v>
      </c>
      <c r="L127" s="523">
        <v>0.96</v>
      </c>
      <c r="M127" s="479" t="s">
        <v>346</v>
      </c>
      <c r="N127" s="479" t="s">
        <v>346</v>
      </c>
      <c r="O127" s="479" t="s">
        <v>346</v>
      </c>
      <c r="P127" s="479" t="s">
        <v>346</v>
      </c>
      <c r="Q127" s="479" t="s">
        <v>346</v>
      </c>
    </row>
    <row r="128" spans="1:17" ht="14.65" customHeight="1">
      <c r="A128" s="527"/>
      <c r="B128" s="528"/>
      <c r="C128" s="458" t="s">
        <v>302</v>
      </c>
      <c r="D128" s="479" t="s">
        <v>346</v>
      </c>
      <c r="E128" s="479" t="s">
        <v>346</v>
      </c>
      <c r="F128" s="479" t="s">
        <v>346</v>
      </c>
      <c r="G128" s="523">
        <v>0.61</v>
      </c>
      <c r="H128" s="523">
        <v>0.61</v>
      </c>
      <c r="I128" s="479" t="s">
        <v>346</v>
      </c>
      <c r="J128" s="479" t="s">
        <v>346</v>
      </c>
      <c r="K128" s="479" t="s">
        <v>346</v>
      </c>
      <c r="L128" s="523">
        <v>0.71</v>
      </c>
      <c r="M128" s="479" t="s">
        <v>346</v>
      </c>
      <c r="N128" s="479" t="s">
        <v>346</v>
      </c>
      <c r="O128" s="479" t="s">
        <v>346</v>
      </c>
      <c r="P128" s="479" t="s">
        <v>346</v>
      </c>
      <c r="Q128" s="479" t="s">
        <v>346</v>
      </c>
    </row>
    <row r="129" spans="1:17" ht="14.65" customHeight="1">
      <c r="A129" s="532"/>
      <c r="B129" s="533"/>
      <c r="C129" s="458" t="s">
        <v>298</v>
      </c>
      <c r="D129" s="479" t="s">
        <v>346</v>
      </c>
      <c r="E129" s="479" t="s">
        <v>346</v>
      </c>
      <c r="F129" s="479" t="s">
        <v>346</v>
      </c>
      <c r="G129" s="523">
        <v>0.4</v>
      </c>
      <c r="H129" s="523">
        <v>0.4</v>
      </c>
      <c r="I129" s="479" t="s">
        <v>346</v>
      </c>
      <c r="J129" s="479" t="s">
        <v>346</v>
      </c>
      <c r="K129" s="479" t="s">
        <v>346</v>
      </c>
      <c r="L129" s="523">
        <v>0.51</v>
      </c>
      <c r="M129" s="479" t="s">
        <v>346</v>
      </c>
      <c r="N129" s="479" t="s">
        <v>346</v>
      </c>
      <c r="O129" s="479" t="s">
        <v>346</v>
      </c>
      <c r="P129" s="479" t="s">
        <v>346</v>
      </c>
      <c r="Q129" s="479" t="s">
        <v>346</v>
      </c>
    </row>
    <row r="130" spans="1:17" ht="14.65" customHeight="1">
      <c r="A130" s="521" t="s">
        <v>469</v>
      </c>
      <c r="B130" s="522" t="s">
        <v>463</v>
      </c>
      <c r="C130" s="458" t="s">
        <v>296</v>
      </c>
      <c r="D130" s="479" t="s">
        <v>346</v>
      </c>
      <c r="E130" s="479" t="s">
        <v>346</v>
      </c>
      <c r="F130" s="479" t="s">
        <v>346</v>
      </c>
      <c r="G130" s="523">
        <v>1.63</v>
      </c>
      <c r="H130" s="523">
        <v>1.63</v>
      </c>
      <c r="I130" s="479" t="s">
        <v>346</v>
      </c>
      <c r="J130" s="479" t="s">
        <v>346</v>
      </c>
      <c r="K130" s="479" t="s">
        <v>346</v>
      </c>
      <c r="L130" s="523">
        <v>1.02</v>
      </c>
      <c r="M130" s="479" t="s">
        <v>346</v>
      </c>
      <c r="N130" s="479" t="s">
        <v>346</v>
      </c>
      <c r="O130" s="479" t="s">
        <v>346</v>
      </c>
      <c r="P130" s="479" t="s">
        <v>346</v>
      </c>
      <c r="Q130" s="479" t="s">
        <v>346</v>
      </c>
    </row>
    <row r="131" spans="1:17" ht="14.65" customHeight="1">
      <c r="A131" s="527"/>
      <c r="B131" s="528"/>
      <c r="C131" s="458" t="s">
        <v>302</v>
      </c>
      <c r="D131" s="479" t="s">
        <v>346</v>
      </c>
      <c r="E131" s="479" t="s">
        <v>346</v>
      </c>
      <c r="F131" s="479" t="s">
        <v>346</v>
      </c>
      <c r="G131" s="523">
        <v>0.95</v>
      </c>
      <c r="H131" s="523">
        <v>0.95</v>
      </c>
      <c r="I131" s="479" t="s">
        <v>346</v>
      </c>
      <c r="J131" s="479" t="s">
        <v>346</v>
      </c>
      <c r="K131" s="479" t="s">
        <v>346</v>
      </c>
      <c r="L131" s="523">
        <v>0.61</v>
      </c>
      <c r="M131" s="479" t="s">
        <v>346</v>
      </c>
      <c r="N131" s="479" t="s">
        <v>346</v>
      </c>
      <c r="O131" s="479" t="s">
        <v>346</v>
      </c>
      <c r="P131" s="479" t="s">
        <v>346</v>
      </c>
      <c r="Q131" s="479" t="s">
        <v>346</v>
      </c>
    </row>
    <row r="132" spans="1:17" ht="14.65" customHeight="1">
      <c r="A132" s="532"/>
      <c r="B132" s="533"/>
      <c r="C132" s="458" t="s">
        <v>298</v>
      </c>
      <c r="D132" s="479" t="s">
        <v>346</v>
      </c>
      <c r="E132" s="479" t="s">
        <v>346</v>
      </c>
      <c r="F132" s="479" t="s">
        <v>346</v>
      </c>
      <c r="G132" s="523">
        <v>0.04</v>
      </c>
      <c r="H132" s="523">
        <v>0.04</v>
      </c>
      <c r="I132" s="479" t="s">
        <v>346</v>
      </c>
      <c r="J132" s="479" t="s">
        <v>346</v>
      </c>
      <c r="K132" s="479" t="s">
        <v>346</v>
      </c>
      <c r="L132" s="523">
        <v>0.22</v>
      </c>
      <c r="M132" s="479" t="s">
        <v>346</v>
      </c>
      <c r="N132" s="479" t="s">
        <v>346</v>
      </c>
      <c r="O132" s="479" t="s">
        <v>346</v>
      </c>
      <c r="P132" s="479" t="s">
        <v>346</v>
      </c>
      <c r="Q132" s="479" t="s">
        <v>346</v>
      </c>
    </row>
    <row r="133" spans="1:17">
      <c r="E133" s="30"/>
      <c r="H133" s="30"/>
    </row>
  </sheetData>
  <sheetProtection sheet="1" objects="1" scenarios="1" formatCells="0" formatColumns="0" formatRows="0" sort="0" autoFilter="0"/>
  <autoFilter ref="A18:R130" xr:uid="{69106680-0B38-4163-8870-02034BC131B3}"/>
  <sortState xmlns:xlrd2="http://schemas.microsoft.com/office/spreadsheetml/2017/richdata2" ref="AD37:AJ38">
    <sortCondition descending="1" ref="AD35:AD37"/>
  </sortState>
  <mergeCells count="170">
    <mergeCell ref="AH38:AH40"/>
    <mergeCell ref="AI38:AI40"/>
    <mergeCell ref="AJ38:AJ40"/>
    <mergeCell ref="AH41:AH43"/>
    <mergeCell ref="AI41:AI43"/>
    <mergeCell ref="AJ41:AJ43"/>
    <mergeCell ref="J16:J17"/>
    <mergeCell ref="AI23:AI25"/>
    <mergeCell ref="AJ23:AJ25"/>
    <mergeCell ref="AF35:AF37"/>
    <mergeCell ref="AH35:AH37"/>
    <mergeCell ref="AI35:AI37"/>
    <mergeCell ref="AJ26:AJ28"/>
    <mergeCell ref="AI26:AI28"/>
    <mergeCell ref="AH29:AH31"/>
    <mergeCell ref="AI29:AI31"/>
    <mergeCell ref="AJ29:AJ31"/>
    <mergeCell ref="AH32:AH34"/>
    <mergeCell ref="AI32:AI34"/>
    <mergeCell ref="AJ32:AJ34"/>
    <mergeCell ref="AJ35:AJ37"/>
    <mergeCell ref="AH26:AH28"/>
    <mergeCell ref="AB29:AB31"/>
    <mergeCell ref="AF29:AF31"/>
    <mergeCell ref="AF32:AF34"/>
    <mergeCell ref="AB35:AB37"/>
    <mergeCell ref="AE35:AE37"/>
    <mergeCell ref="AB32:AB34"/>
    <mergeCell ref="AB23:AB25"/>
    <mergeCell ref="AH23:AH25"/>
    <mergeCell ref="A6:B6"/>
    <mergeCell ref="K16:K17"/>
    <mergeCell ref="I16:I17"/>
    <mergeCell ref="A9:B9"/>
    <mergeCell ref="A12:A14"/>
    <mergeCell ref="B12:B14"/>
    <mergeCell ref="N16:N17"/>
    <mergeCell ref="AB26:AB28"/>
    <mergeCell ref="AF26:AF28"/>
    <mergeCell ref="A48:A50"/>
    <mergeCell ref="B48:B50"/>
    <mergeCell ref="A16:C16"/>
    <mergeCell ref="A17:C17"/>
    <mergeCell ref="A20:A22"/>
    <mergeCell ref="B20:B22"/>
    <mergeCell ref="B38:B40"/>
    <mergeCell ref="A38:A40"/>
    <mergeCell ref="Q16:Q17"/>
    <mergeCell ref="A127:A129"/>
    <mergeCell ref="A130:A132"/>
    <mergeCell ref="B117:B119"/>
    <mergeCell ref="B121:B123"/>
    <mergeCell ref="B124:B126"/>
    <mergeCell ref="B127:B129"/>
    <mergeCell ref="B130:B132"/>
    <mergeCell ref="A114:A116"/>
    <mergeCell ref="B114:B116"/>
    <mergeCell ref="A117:A119"/>
    <mergeCell ref="A121:A123"/>
    <mergeCell ref="A124:A126"/>
    <mergeCell ref="AF38:AF40"/>
    <mergeCell ref="AF41:AF43"/>
    <mergeCell ref="AF44:AF46"/>
    <mergeCell ref="AF47:AF49"/>
    <mergeCell ref="AF50:AF52"/>
    <mergeCell ref="AF53:AF55"/>
    <mergeCell ref="AF56:AF58"/>
    <mergeCell ref="AF59:AF61"/>
    <mergeCell ref="AF62:AF64"/>
    <mergeCell ref="AH44:AH46"/>
    <mergeCell ref="AI44:AI46"/>
    <mergeCell ref="AJ44:AJ46"/>
    <mergeCell ref="AH47:AH49"/>
    <mergeCell ref="AI47:AI49"/>
    <mergeCell ref="AJ47:AJ49"/>
    <mergeCell ref="AB59:AB61"/>
    <mergeCell ref="AB62:AB64"/>
    <mergeCell ref="AB65:AB67"/>
    <mergeCell ref="AF65:AF67"/>
    <mergeCell ref="AB44:AB46"/>
    <mergeCell ref="AB47:AB49"/>
    <mergeCell ref="AB50:AB52"/>
    <mergeCell ref="AB53:AB55"/>
    <mergeCell ref="AB56:AB58"/>
    <mergeCell ref="AH59:AH61"/>
    <mergeCell ref="AI59:AI61"/>
    <mergeCell ref="AJ59:AJ61"/>
    <mergeCell ref="AH50:AH52"/>
    <mergeCell ref="AI50:AI52"/>
    <mergeCell ref="AJ50:AJ52"/>
    <mergeCell ref="AH53:AH55"/>
    <mergeCell ref="AI53:AI55"/>
    <mergeCell ref="AJ53:AJ55"/>
    <mergeCell ref="AV29:AV31"/>
    <mergeCell ref="AW29:AW31"/>
    <mergeCell ref="AX29:AX31"/>
    <mergeCell ref="AP26:AP28"/>
    <mergeCell ref="AT26:AT28"/>
    <mergeCell ref="AV26:AV28"/>
    <mergeCell ref="AW26:AW28"/>
    <mergeCell ref="AX26:AX28"/>
    <mergeCell ref="AP23:AP25"/>
    <mergeCell ref="AT23:AT25"/>
    <mergeCell ref="AV23:AV25"/>
    <mergeCell ref="AW23:AW25"/>
    <mergeCell ref="AX23:AX25"/>
    <mergeCell ref="AV35:AV37"/>
    <mergeCell ref="AW35:AW37"/>
    <mergeCell ref="AX35:AX37"/>
    <mergeCell ref="AW32:AW34"/>
    <mergeCell ref="AX32:AX34"/>
    <mergeCell ref="AP32:AP34"/>
    <mergeCell ref="AS32:AS34"/>
    <mergeCell ref="AT32:AT34"/>
    <mergeCell ref="AV32:AV34"/>
    <mergeCell ref="AV41:AV43"/>
    <mergeCell ref="AW41:AW43"/>
    <mergeCell ref="AX41:AX43"/>
    <mergeCell ref="AP50:AP52"/>
    <mergeCell ref="AT50:AT52"/>
    <mergeCell ref="AV50:AV52"/>
    <mergeCell ref="AW50:AW52"/>
    <mergeCell ref="AX50:AX52"/>
    <mergeCell ref="AP38:AP40"/>
    <mergeCell ref="AT38:AT40"/>
    <mergeCell ref="AV38:AV40"/>
    <mergeCell ref="AW38:AW40"/>
    <mergeCell ref="AX38:AX40"/>
    <mergeCell ref="AV65:AV67"/>
    <mergeCell ref="AW65:AW67"/>
    <mergeCell ref="AX65:AX67"/>
    <mergeCell ref="AP47:AP49"/>
    <mergeCell ref="AT47:AT49"/>
    <mergeCell ref="AV47:AV49"/>
    <mergeCell ref="AW47:AW49"/>
    <mergeCell ref="AX47:AX49"/>
    <mergeCell ref="AP44:AP46"/>
    <mergeCell ref="AT44:AT46"/>
    <mergeCell ref="AV44:AV46"/>
    <mergeCell ref="AW44:AW46"/>
    <mergeCell ref="AX44:AX46"/>
    <mergeCell ref="AP56:AP58"/>
    <mergeCell ref="AT56:AT58"/>
    <mergeCell ref="AV56:AV58"/>
    <mergeCell ref="AW56:AW58"/>
    <mergeCell ref="AX56:AX58"/>
    <mergeCell ref="AB38:AB40"/>
    <mergeCell ref="AB41:AB43"/>
    <mergeCell ref="AU26:AU28"/>
    <mergeCell ref="AR32:AR34"/>
    <mergeCell ref="AR38:AR40"/>
    <mergeCell ref="AS38:AS40"/>
    <mergeCell ref="AU41:AU43"/>
    <mergeCell ref="AP65:AP67"/>
    <mergeCell ref="AT65:AT67"/>
    <mergeCell ref="AP41:AP43"/>
    <mergeCell ref="AT41:AT43"/>
    <mergeCell ref="AP35:AP37"/>
    <mergeCell ref="AT35:AT37"/>
    <mergeCell ref="AP29:AP31"/>
    <mergeCell ref="AT29:AT31"/>
    <mergeCell ref="AH62:AH64"/>
    <mergeCell ref="AI62:AI64"/>
    <mergeCell ref="AJ62:AJ64"/>
    <mergeCell ref="AH65:AH67"/>
    <mergeCell ref="AI65:AI67"/>
    <mergeCell ref="AJ65:AJ67"/>
    <mergeCell ref="AH56:AH58"/>
    <mergeCell ref="AI56:AI58"/>
    <mergeCell ref="AJ56:AJ58"/>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9B7D2C-200E-4AE6-AAF8-9BFB20DC87E8}">
  <sheetPr codeName="Sheet13"/>
  <dimension ref="A1:BW146"/>
  <sheetViews>
    <sheetView zoomScale="93" zoomScaleNormal="120" workbookViewId="0">
      <pane ySplit="1" topLeftCell="A2" activePane="bottomLeft" state="frozen"/>
      <selection activeCell="O16" sqref="N16:P17"/>
      <selection pane="bottomLeft"/>
    </sheetView>
  </sheetViews>
  <sheetFormatPr defaultRowHeight="14.5"/>
  <cols>
    <col min="1" max="1" width="35" style="30" customWidth="1"/>
    <col min="2" max="3" width="14.7265625" style="30" customWidth="1"/>
    <col min="4" max="4" width="25.54296875" style="30" customWidth="1"/>
    <col min="5" max="5" width="25.54296875" style="152" customWidth="1"/>
    <col min="6" max="6" width="25.54296875" style="209" customWidth="1"/>
    <col min="7" max="16384" width="8.7265625" style="30"/>
  </cols>
  <sheetData>
    <row r="1" spans="1:75" ht="26.15" customHeight="1">
      <c r="A1" s="567" t="s">
        <v>478</v>
      </c>
      <c r="B1" s="568"/>
      <c r="C1" s="568"/>
      <c r="D1" s="569" t="str">
        <f>Crosswalk!AE2</f>
        <v>Sealants for Small Home Repairs</v>
      </c>
      <c r="E1" s="570" t="str">
        <f>Crosswalk!AF2</f>
        <v>Concrete Adhesive</v>
      </c>
      <c r="F1" s="570" t="str">
        <f>Crosswalk!AG2</f>
        <v>Flooring Adhesive</v>
      </c>
    </row>
    <row r="2" spans="1:75" s="74" customFormat="1">
      <c r="A2" s="418" t="s">
        <v>314</v>
      </c>
      <c r="B2" s="418"/>
      <c r="C2" s="418"/>
      <c r="D2" s="418" t="s">
        <v>215</v>
      </c>
      <c r="E2" s="418" t="s">
        <v>231</v>
      </c>
      <c r="F2" s="418" t="s">
        <v>215</v>
      </c>
      <c r="G2" s="418"/>
      <c r="H2" s="418"/>
      <c r="I2" s="418"/>
      <c r="J2" s="418"/>
      <c r="K2" s="418"/>
      <c r="L2" s="418"/>
      <c r="M2" s="418"/>
      <c r="N2" s="418"/>
      <c r="O2" s="418"/>
      <c r="P2" s="418"/>
      <c r="Q2" s="418"/>
      <c r="R2" s="418"/>
    </row>
    <row r="3" spans="1:75" s="421" customFormat="1">
      <c r="A3" s="419" t="s">
        <v>318</v>
      </c>
      <c r="B3" s="420" t="s">
        <v>319</v>
      </c>
      <c r="C3" s="420" t="s">
        <v>320</v>
      </c>
      <c r="D3" s="420" t="s">
        <v>321</v>
      </c>
      <c r="E3" s="420" t="s">
        <v>321</v>
      </c>
      <c r="F3" s="420" t="s">
        <v>321</v>
      </c>
      <c r="G3" s="571"/>
      <c r="H3" s="571"/>
      <c r="I3" s="571"/>
      <c r="J3" s="571"/>
      <c r="K3" s="571"/>
      <c r="L3" s="571"/>
      <c r="M3" s="571"/>
      <c r="N3" s="571"/>
      <c r="O3" s="571"/>
      <c r="P3" s="571"/>
      <c r="Q3" s="571"/>
      <c r="R3" s="571"/>
      <c r="S3" s="30"/>
      <c r="T3" s="30"/>
      <c r="U3" s="30"/>
      <c r="V3" s="30"/>
      <c r="W3" s="30"/>
      <c r="X3" s="30"/>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0"/>
      <c r="BH3" s="30"/>
      <c r="BI3" s="30"/>
      <c r="BJ3" s="30"/>
      <c r="BK3" s="30"/>
      <c r="BL3" s="30"/>
      <c r="BM3" s="30"/>
      <c r="BN3" s="30"/>
      <c r="BO3" s="30"/>
      <c r="BP3" s="30"/>
      <c r="BQ3" s="30"/>
      <c r="BR3" s="30"/>
      <c r="BS3" s="30"/>
      <c r="BT3" s="30"/>
      <c r="BU3" s="30"/>
      <c r="BV3" s="30"/>
      <c r="BW3" s="30"/>
    </row>
    <row r="4" spans="1:75" s="74" customFormat="1" ht="40.5" customHeight="1">
      <c r="A4" s="422" t="s">
        <v>322</v>
      </c>
      <c r="B4" s="423"/>
      <c r="C4" s="572"/>
      <c r="D4" s="573" t="s">
        <v>479</v>
      </c>
      <c r="E4" s="573" t="s">
        <v>479</v>
      </c>
      <c r="F4" s="573" t="s">
        <v>479</v>
      </c>
      <c r="G4" s="241"/>
      <c r="H4" s="241"/>
      <c r="I4" s="241"/>
      <c r="J4" s="241"/>
      <c r="K4" s="241"/>
      <c r="L4" s="241"/>
      <c r="M4" s="241"/>
      <c r="N4" s="241"/>
      <c r="O4" s="241"/>
      <c r="P4" s="241"/>
      <c r="Q4" s="241"/>
      <c r="R4" s="241"/>
    </row>
    <row r="5" spans="1:75" s="74" customFormat="1" ht="17.649999999999999" customHeight="1">
      <c r="A5" s="425" t="s">
        <v>480</v>
      </c>
      <c r="B5" s="426" t="s">
        <v>327</v>
      </c>
      <c r="C5" s="426"/>
      <c r="D5" s="246">
        <v>1</v>
      </c>
      <c r="E5" s="246">
        <v>1</v>
      </c>
      <c r="F5" s="246">
        <v>1</v>
      </c>
      <c r="G5" s="241"/>
      <c r="H5" s="241"/>
      <c r="I5" s="241"/>
      <c r="J5" s="241"/>
      <c r="K5" s="241"/>
      <c r="L5" s="241"/>
      <c r="M5" s="241"/>
      <c r="N5" s="241"/>
      <c r="O5" s="241"/>
      <c r="P5" s="241"/>
      <c r="Q5" s="241"/>
      <c r="R5" s="241"/>
    </row>
    <row r="6" spans="1:75" s="74" customFormat="1" ht="23.15" customHeight="1">
      <c r="A6" s="425" t="s">
        <v>480</v>
      </c>
      <c r="B6" s="426" t="s">
        <v>328</v>
      </c>
      <c r="C6" s="426"/>
      <c r="D6" s="246">
        <v>52</v>
      </c>
      <c r="E6" s="246">
        <v>2</v>
      </c>
      <c r="F6" s="246">
        <v>2</v>
      </c>
      <c r="G6" s="241"/>
      <c r="H6" s="241"/>
      <c r="I6" s="241"/>
      <c r="J6" s="241"/>
      <c r="K6" s="241"/>
      <c r="L6" s="241"/>
      <c r="M6" s="241"/>
      <c r="N6" s="241"/>
      <c r="O6" s="241"/>
      <c r="P6" s="241"/>
      <c r="Q6" s="241"/>
      <c r="R6" s="241"/>
    </row>
    <row r="7" spans="1:75" s="74" customFormat="1" ht="19.5" customHeight="1">
      <c r="A7" s="427" t="s">
        <v>481</v>
      </c>
      <c r="B7" s="428" t="s">
        <v>330</v>
      </c>
      <c r="C7" s="432" t="s">
        <v>296</v>
      </c>
      <c r="D7" s="432">
        <v>120</v>
      </c>
      <c r="E7" s="432">
        <v>120</v>
      </c>
      <c r="F7" s="432">
        <v>480</v>
      </c>
      <c r="G7" s="241"/>
      <c r="H7" s="241"/>
      <c r="I7" s="241"/>
      <c r="J7" s="241"/>
      <c r="K7" s="241"/>
      <c r="L7" s="241"/>
      <c r="M7" s="241"/>
      <c r="N7" s="241"/>
      <c r="O7" s="241"/>
      <c r="P7" s="241"/>
      <c r="Q7" s="241"/>
      <c r="R7" s="241"/>
    </row>
    <row r="8" spans="1:75" s="74" customFormat="1" ht="18.649999999999999" customHeight="1">
      <c r="A8" s="433"/>
      <c r="B8" s="434"/>
      <c r="C8" s="432" t="s">
        <v>302</v>
      </c>
      <c r="D8" s="432">
        <v>60</v>
      </c>
      <c r="E8" s="432">
        <v>60</v>
      </c>
      <c r="F8" s="432">
        <v>240</v>
      </c>
      <c r="G8" s="241"/>
      <c r="H8" s="241"/>
      <c r="I8" s="241"/>
      <c r="J8" s="241"/>
      <c r="K8" s="241"/>
      <c r="L8" s="241"/>
      <c r="M8" s="241"/>
      <c r="N8" s="241"/>
      <c r="O8" s="241"/>
      <c r="P8" s="241"/>
      <c r="Q8" s="241"/>
      <c r="R8" s="241"/>
    </row>
    <row r="9" spans="1:75" s="74" customFormat="1" ht="15" customHeight="1">
      <c r="A9" s="433"/>
      <c r="B9" s="434"/>
      <c r="C9" s="432" t="s">
        <v>298</v>
      </c>
      <c r="D9" s="432">
        <v>30</v>
      </c>
      <c r="E9" s="432">
        <v>30</v>
      </c>
      <c r="F9" s="432">
        <v>120</v>
      </c>
      <c r="G9" s="241"/>
      <c r="H9" s="241"/>
      <c r="I9" s="241"/>
      <c r="J9" s="241"/>
      <c r="K9" s="241"/>
      <c r="L9" s="241"/>
      <c r="M9" s="241"/>
      <c r="N9" s="241"/>
      <c r="O9" s="241"/>
      <c r="P9" s="241"/>
      <c r="Q9" s="241"/>
      <c r="R9" s="241"/>
    </row>
    <row r="10" spans="1:75" s="441" customFormat="1" ht="20.149999999999999" customHeight="1">
      <c r="A10" s="436" t="s">
        <v>331</v>
      </c>
      <c r="B10" s="437"/>
      <c r="C10" s="437"/>
      <c r="D10" s="439"/>
      <c r="E10" s="439"/>
      <c r="F10" s="439"/>
      <c r="G10" s="241"/>
      <c r="H10" s="241"/>
      <c r="I10" s="241"/>
      <c r="J10" s="241"/>
      <c r="K10" s="241"/>
      <c r="L10" s="241"/>
      <c r="M10" s="241"/>
      <c r="N10" s="241"/>
      <c r="O10" s="241"/>
      <c r="P10" s="241"/>
      <c r="Q10" s="241"/>
      <c r="R10" s="241"/>
      <c r="S10" s="74"/>
      <c r="T10" s="74"/>
      <c r="U10" s="74"/>
      <c r="V10" s="74"/>
      <c r="W10" s="74"/>
      <c r="X10" s="74"/>
      <c r="Y10" s="74"/>
      <c r="Z10" s="74"/>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row>
    <row r="11" spans="1:75" s="74" customFormat="1" ht="32.65" customHeight="1">
      <c r="A11" s="574" t="s">
        <v>332</v>
      </c>
      <c r="B11" s="575"/>
      <c r="C11" s="576"/>
      <c r="D11" s="246" t="s">
        <v>482</v>
      </c>
      <c r="E11" s="446" t="s">
        <v>483</v>
      </c>
      <c r="F11" s="246" t="s">
        <v>484</v>
      </c>
    </row>
    <row r="12" spans="1:75" s="74" customFormat="1" ht="44.65" customHeight="1">
      <c r="A12" s="574" t="s">
        <v>336</v>
      </c>
      <c r="B12" s="575"/>
      <c r="C12" s="576"/>
      <c r="D12" s="246" t="s">
        <v>485</v>
      </c>
      <c r="E12" s="450"/>
      <c r="F12" s="246" t="s">
        <v>485</v>
      </c>
    </row>
    <row r="13" spans="1:75" s="74" customFormat="1" ht="14.65" customHeight="1">
      <c r="A13" s="577" t="s">
        <v>486</v>
      </c>
      <c r="B13" s="577" t="s">
        <v>319</v>
      </c>
      <c r="C13" s="577"/>
      <c r="D13" s="420" t="s">
        <v>321</v>
      </c>
      <c r="E13" s="420" t="s">
        <v>321</v>
      </c>
      <c r="F13" s="420" t="s">
        <v>321</v>
      </c>
    </row>
    <row r="14" spans="1:75">
      <c r="A14" s="578" t="s">
        <v>343</v>
      </c>
      <c r="B14" s="579"/>
      <c r="C14" s="579"/>
      <c r="D14" s="452"/>
      <c r="E14" s="452"/>
      <c r="F14" s="454"/>
    </row>
    <row r="15" spans="1:75">
      <c r="A15" s="580" t="s">
        <v>487</v>
      </c>
      <c r="B15" s="522" t="s">
        <v>345</v>
      </c>
      <c r="C15" s="432" t="s">
        <v>296</v>
      </c>
      <c r="D15" s="523">
        <f>Crosswalk!AE3</f>
        <v>0.4</v>
      </c>
      <c r="E15" s="479">
        <f>Crosswalk!AF3</f>
        <v>0.3</v>
      </c>
      <c r="F15" s="523">
        <f>Crosswalk!AG3</f>
        <v>0.05</v>
      </c>
    </row>
    <row r="16" spans="1:75">
      <c r="A16" s="581"/>
      <c r="B16" s="528"/>
      <c r="C16" s="432" t="s">
        <v>302</v>
      </c>
      <c r="D16" s="523">
        <f>Crosswalk!AE4</f>
        <v>0.17500000000000002</v>
      </c>
      <c r="E16" s="479">
        <f>Crosswalk!AF4</f>
        <v>0.25</v>
      </c>
      <c r="F16" s="523">
        <f>Crosswalk!AG4</f>
        <v>3.7500000000000006E-2</v>
      </c>
    </row>
    <row r="17" spans="1:45">
      <c r="A17" s="582"/>
      <c r="B17" s="533"/>
      <c r="C17" s="432" t="s">
        <v>298</v>
      </c>
      <c r="D17" s="523">
        <f>Crosswalk!AE5</f>
        <v>0.05</v>
      </c>
      <c r="E17" s="479">
        <f>Crosswalk!AF5</f>
        <v>0.2</v>
      </c>
      <c r="F17" s="523">
        <f>Crosswalk!AG5</f>
        <v>2.5000000000000001E-2</v>
      </c>
    </row>
    <row r="18" spans="1:45" s="508" customFormat="1">
      <c r="A18" s="583" t="s">
        <v>355</v>
      </c>
      <c r="B18" s="584" t="s">
        <v>356</v>
      </c>
      <c r="C18" s="584"/>
      <c r="D18" s="467" t="s">
        <v>346</v>
      </c>
      <c r="E18" s="467" t="s">
        <v>346</v>
      </c>
      <c r="F18" s="479" t="s">
        <v>346</v>
      </c>
      <c r="G18" s="30"/>
      <c r="H18" s="30"/>
      <c r="I18" s="30"/>
      <c r="J18" s="30"/>
      <c r="K18" s="30"/>
      <c r="L18" s="30"/>
      <c r="M18" s="30"/>
      <c r="N18" s="30"/>
      <c r="O18" s="30"/>
      <c r="P18" s="30"/>
      <c r="Q18" s="30"/>
      <c r="R18" s="30"/>
      <c r="S18" s="30"/>
      <c r="T18" s="30"/>
      <c r="U18" s="30"/>
      <c r="V18" s="30"/>
      <c r="W18" s="30"/>
      <c r="X18" s="30"/>
      <c r="Y18" s="30"/>
      <c r="Z18" s="30"/>
      <c r="AA18" s="30"/>
      <c r="AB18" s="30"/>
      <c r="AC18" s="30"/>
      <c r="AD18" s="30"/>
      <c r="AE18" s="30"/>
      <c r="AF18" s="30"/>
      <c r="AG18" s="30"/>
      <c r="AH18" s="30"/>
      <c r="AI18" s="30"/>
      <c r="AJ18" s="30"/>
      <c r="AK18" s="30"/>
      <c r="AL18" s="30"/>
      <c r="AM18" s="30"/>
      <c r="AN18" s="30"/>
      <c r="AO18" s="30"/>
      <c r="AP18" s="30"/>
      <c r="AQ18" s="30"/>
      <c r="AR18" s="30"/>
      <c r="AS18" s="30"/>
    </row>
    <row r="19" spans="1:45">
      <c r="A19" s="585" t="s">
        <v>357</v>
      </c>
      <c r="B19" s="158" t="s">
        <v>358</v>
      </c>
      <c r="C19" s="158"/>
      <c r="D19" s="157">
        <v>0</v>
      </c>
      <c r="E19" s="467" t="s">
        <v>346</v>
      </c>
      <c r="F19" s="161">
        <v>0</v>
      </c>
    </row>
    <row r="20" spans="1:45">
      <c r="A20" s="585" t="s">
        <v>359</v>
      </c>
      <c r="B20" s="158" t="s">
        <v>360</v>
      </c>
      <c r="C20" s="158"/>
      <c r="D20" s="157">
        <v>0</v>
      </c>
      <c r="E20" s="467" t="s">
        <v>346</v>
      </c>
      <c r="F20" s="161">
        <v>0</v>
      </c>
    </row>
    <row r="21" spans="1:45">
      <c r="A21" s="585" t="s">
        <v>361</v>
      </c>
      <c r="B21" s="158" t="s">
        <v>48</v>
      </c>
      <c r="C21" s="158"/>
      <c r="D21" s="157" t="s">
        <v>488</v>
      </c>
      <c r="E21" s="467" t="s">
        <v>346</v>
      </c>
      <c r="F21" s="161" t="s">
        <v>489</v>
      </c>
    </row>
    <row r="22" spans="1:45">
      <c r="A22" s="585" t="s">
        <v>363</v>
      </c>
      <c r="B22" s="158" t="s">
        <v>48</v>
      </c>
      <c r="C22" s="158"/>
      <c r="D22" s="157" t="s">
        <v>292</v>
      </c>
      <c r="E22" s="467" t="s">
        <v>346</v>
      </c>
      <c r="F22" s="161" t="s">
        <v>292</v>
      </c>
    </row>
    <row r="23" spans="1:45">
      <c r="A23" s="585" t="s">
        <v>490</v>
      </c>
      <c r="B23" s="158" t="s">
        <v>48</v>
      </c>
      <c r="C23" s="158"/>
      <c r="D23" s="157" t="s">
        <v>479</v>
      </c>
      <c r="E23" s="467" t="s">
        <v>346</v>
      </c>
      <c r="F23" s="161" t="s">
        <v>479</v>
      </c>
    </row>
    <row r="24" spans="1:45">
      <c r="A24" s="585" t="s">
        <v>368</v>
      </c>
      <c r="B24" s="158" t="s">
        <v>48</v>
      </c>
      <c r="C24" s="158"/>
      <c r="D24" s="157" t="s">
        <v>491</v>
      </c>
      <c r="E24" s="467" t="s">
        <v>346</v>
      </c>
      <c r="F24" s="161" t="s">
        <v>491</v>
      </c>
    </row>
    <row r="25" spans="1:45" ht="29">
      <c r="A25" s="585" t="s">
        <v>370</v>
      </c>
      <c r="B25" s="158" t="s">
        <v>48</v>
      </c>
      <c r="C25" s="158"/>
      <c r="D25" s="161" t="s">
        <v>492</v>
      </c>
      <c r="E25" s="467" t="s">
        <v>346</v>
      </c>
      <c r="F25" s="161" t="s">
        <v>492</v>
      </c>
    </row>
    <row r="26" spans="1:45" ht="29">
      <c r="A26" s="585" t="s">
        <v>371</v>
      </c>
      <c r="B26" s="158" t="s">
        <v>48</v>
      </c>
      <c r="C26" s="158"/>
      <c r="D26" s="161" t="s">
        <v>493</v>
      </c>
      <c r="E26" s="467" t="s">
        <v>346</v>
      </c>
      <c r="F26" s="161" t="s">
        <v>493</v>
      </c>
    </row>
    <row r="27" spans="1:45" s="508" customFormat="1">
      <c r="A27" s="583" t="s">
        <v>372</v>
      </c>
      <c r="B27" s="584" t="s">
        <v>48</v>
      </c>
      <c r="C27" s="584"/>
      <c r="D27" s="467" t="s">
        <v>346</v>
      </c>
      <c r="E27" s="467" t="s">
        <v>346</v>
      </c>
      <c r="F27" s="479" t="s">
        <v>346</v>
      </c>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row>
    <row r="28" spans="1:45">
      <c r="A28" s="585" t="s">
        <v>373</v>
      </c>
      <c r="B28" s="158" t="s">
        <v>48</v>
      </c>
      <c r="C28" s="158"/>
      <c r="D28" s="161" t="s">
        <v>494</v>
      </c>
      <c r="E28" s="157" t="s">
        <v>346</v>
      </c>
      <c r="F28" s="161" t="s">
        <v>494</v>
      </c>
    </row>
    <row r="29" spans="1:45">
      <c r="A29" s="578" t="s">
        <v>374</v>
      </c>
      <c r="B29" s="579"/>
      <c r="C29" s="579"/>
      <c r="D29" s="452"/>
      <c r="E29" s="452"/>
      <c r="F29" s="454"/>
    </row>
    <row r="30" spans="1:45">
      <c r="A30" s="586" t="s">
        <v>375</v>
      </c>
      <c r="B30" s="587"/>
      <c r="C30" s="587"/>
      <c r="D30" s="514"/>
      <c r="E30" s="514"/>
      <c r="F30" s="588"/>
    </row>
    <row r="31" spans="1:45">
      <c r="A31" s="585" t="s">
        <v>376</v>
      </c>
      <c r="B31" s="589" t="s">
        <v>377</v>
      </c>
      <c r="C31" s="589"/>
      <c r="D31" s="157" t="s">
        <v>346</v>
      </c>
      <c r="E31" s="157" t="s">
        <v>346</v>
      </c>
      <c r="F31" s="161" t="s">
        <v>346</v>
      </c>
    </row>
    <row r="32" spans="1:45">
      <c r="A32" s="585" t="s">
        <v>378</v>
      </c>
      <c r="B32" s="589" t="s">
        <v>379</v>
      </c>
      <c r="C32" s="589"/>
      <c r="D32" s="157">
        <f>AVERAGE(Crosswalk!AM3,Crosswalk!AM5)</f>
        <v>4.9450000000000003</v>
      </c>
      <c r="E32" s="157">
        <f>Crosswalk!AM6</f>
        <v>1.1000000000000001</v>
      </c>
      <c r="F32" s="161">
        <f>Crosswalk!AM4</f>
        <v>1.05</v>
      </c>
    </row>
    <row r="33" spans="1:45" s="508" customFormat="1">
      <c r="A33" s="583" t="s">
        <v>380</v>
      </c>
      <c r="B33" s="590" t="s">
        <v>422</v>
      </c>
      <c r="C33" s="590"/>
      <c r="D33" s="467" t="s">
        <v>346</v>
      </c>
      <c r="E33" s="467" t="s">
        <v>346</v>
      </c>
      <c r="F33" s="479" t="s">
        <v>346</v>
      </c>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row>
    <row r="34" spans="1:45" s="508" customFormat="1">
      <c r="A34" s="583" t="s">
        <v>383</v>
      </c>
      <c r="B34" s="590" t="s">
        <v>384</v>
      </c>
      <c r="C34" s="590"/>
      <c r="D34" s="467" t="s">
        <v>346</v>
      </c>
      <c r="E34" s="467" t="s">
        <v>346</v>
      </c>
      <c r="F34" s="479" t="s">
        <v>346</v>
      </c>
      <c r="G34" s="30"/>
      <c r="H34" s="30"/>
      <c r="I34" s="30"/>
      <c r="J34" s="30"/>
      <c r="K34" s="30"/>
      <c r="L34" s="30"/>
      <c r="M34" s="30"/>
      <c r="N34" s="30"/>
      <c r="O34" s="30"/>
      <c r="P34" s="30"/>
      <c r="Q34" s="30"/>
      <c r="R34" s="30"/>
      <c r="S34" s="30"/>
      <c r="T34" s="30"/>
      <c r="U34" s="30"/>
      <c r="V34" s="30"/>
      <c r="W34" s="30"/>
      <c r="X34" s="30"/>
      <c r="Y34" s="30"/>
      <c r="Z34" s="30"/>
      <c r="AA34" s="30"/>
      <c r="AB34" s="30"/>
      <c r="AC34" s="30"/>
      <c r="AD34" s="30"/>
      <c r="AE34" s="30"/>
      <c r="AF34" s="30"/>
      <c r="AG34" s="30"/>
      <c r="AH34" s="30"/>
      <c r="AI34" s="30"/>
      <c r="AJ34" s="30"/>
      <c r="AK34" s="30"/>
      <c r="AL34" s="30"/>
      <c r="AM34" s="30"/>
      <c r="AN34" s="30"/>
      <c r="AO34" s="30"/>
      <c r="AP34" s="30"/>
      <c r="AQ34" s="30"/>
      <c r="AR34" s="30"/>
      <c r="AS34" s="30"/>
    </row>
    <row r="35" spans="1:45" s="508" customFormat="1">
      <c r="A35" s="583" t="s">
        <v>329</v>
      </c>
      <c r="B35" s="590" t="s">
        <v>385</v>
      </c>
      <c r="C35" s="590"/>
      <c r="D35" s="467" t="s">
        <v>346</v>
      </c>
      <c r="E35" s="467" t="s">
        <v>346</v>
      </c>
      <c r="F35" s="479" t="s">
        <v>346</v>
      </c>
      <c r="G35" s="30"/>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row>
    <row r="36" spans="1:45" s="508" customFormat="1">
      <c r="A36" s="583" t="s">
        <v>386</v>
      </c>
      <c r="B36" s="590" t="s">
        <v>387</v>
      </c>
      <c r="C36" s="590"/>
      <c r="D36" s="467" t="s">
        <v>346</v>
      </c>
      <c r="E36" s="467" t="s">
        <v>346</v>
      </c>
      <c r="F36" s="479" t="s">
        <v>346</v>
      </c>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row>
    <row r="37" spans="1:45">
      <c r="A37" s="586" t="s">
        <v>495</v>
      </c>
      <c r="B37" s="587"/>
      <c r="C37" s="587"/>
      <c r="D37" s="514"/>
      <c r="E37" s="514"/>
      <c r="F37" s="588"/>
    </row>
    <row r="38" spans="1:45">
      <c r="A38" s="522" t="s">
        <v>496</v>
      </c>
      <c r="B38" s="522" t="s">
        <v>330</v>
      </c>
      <c r="C38" s="432" t="s">
        <v>296</v>
      </c>
      <c r="D38" s="432">
        <v>120</v>
      </c>
      <c r="E38" s="467" t="s">
        <v>346</v>
      </c>
      <c r="F38" s="432">
        <v>480</v>
      </c>
    </row>
    <row r="39" spans="1:45">
      <c r="A39" s="528"/>
      <c r="B39" s="528"/>
      <c r="C39" s="432" t="s">
        <v>302</v>
      </c>
      <c r="D39" s="432">
        <v>60</v>
      </c>
      <c r="E39" s="467" t="s">
        <v>346</v>
      </c>
      <c r="F39" s="432">
        <v>240</v>
      </c>
    </row>
    <row r="40" spans="1:45">
      <c r="A40" s="533"/>
      <c r="B40" s="533"/>
      <c r="C40" s="432" t="s">
        <v>298</v>
      </c>
      <c r="D40" s="432">
        <v>30</v>
      </c>
      <c r="E40" s="467" t="s">
        <v>346</v>
      </c>
      <c r="F40" s="432">
        <v>120</v>
      </c>
    </row>
    <row r="41" spans="1:45" s="508" customFormat="1">
      <c r="A41" s="591" t="s">
        <v>497</v>
      </c>
      <c r="B41" s="590" t="s">
        <v>498</v>
      </c>
      <c r="C41" s="590"/>
      <c r="D41" s="479" t="s">
        <v>346</v>
      </c>
      <c r="E41" s="467" t="s">
        <v>346</v>
      </c>
      <c r="F41" s="479" t="s">
        <v>346</v>
      </c>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row>
    <row r="42" spans="1:45">
      <c r="A42" s="522" t="s">
        <v>499</v>
      </c>
      <c r="B42" s="522" t="s">
        <v>500</v>
      </c>
      <c r="C42" s="432" t="s">
        <v>296</v>
      </c>
      <c r="D42" s="592">
        <f>MAX(Crosswalk!AN3, AN5)</f>
        <v>2062.5</v>
      </c>
      <c r="E42" s="467" t="s">
        <v>346</v>
      </c>
      <c r="F42" s="592">
        <f>Crosswalk!AN4</f>
        <v>19873.4025</v>
      </c>
    </row>
    <row r="43" spans="1:45">
      <c r="A43" s="528"/>
      <c r="B43" s="528"/>
      <c r="C43" s="432" t="s">
        <v>302</v>
      </c>
      <c r="D43" s="592">
        <f>AVERAGE(Crosswalk!AN3,Crosswalk!AN5)</f>
        <v>1285.877835</v>
      </c>
      <c r="E43" s="467" t="s">
        <v>346</v>
      </c>
      <c r="F43" s="592">
        <f>0.5*F42</f>
        <v>9936.7012500000001</v>
      </c>
    </row>
    <row r="44" spans="1:45">
      <c r="A44" s="533"/>
      <c r="B44" s="533"/>
      <c r="C44" s="432" t="s">
        <v>298</v>
      </c>
      <c r="D44" s="592">
        <f>MIN(Crosswalk!AN3,Crosswalk!AN5)</f>
        <v>509.25566999999995</v>
      </c>
      <c r="E44" s="467" t="s">
        <v>346</v>
      </c>
      <c r="F44" s="592">
        <f>0.5*F43</f>
        <v>4968.350625</v>
      </c>
    </row>
    <row r="45" spans="1:45">
      <c r="A45" s="593" t="s">
        <v>501</v>
      </c>
      <c r="B45" s="589" t="s">
        <v>502</v>
      </c>
      <c r="C45" s="589"/>
      <c r="D45" s="246">
        <v>2</v>
      </c>
      <c r="E45" s="246">
        <v>2</v>
      </c>
      <c r="F45" s="246">
        <v>2</v>
      </c>
    </row>
    <row r="46" spans="1:45">
      <c r="A46" s="593" t="s">
        <v>503</v>
      </c>
      <c r="B46" s="589" t="s">
        <v>327</v>
      </c>
      <c r="C46" s="589"/>
      <c r="D46" s="246">
        <v>1</v>
      </c>
      <c r="E46" s="246">
        <v>1</v>
      </c>
      <c r="F46" s="246">
        <v>1</v>
      </c>
    </row>
    <row r="47" spans="1:45">
      <c r="A47" s="586" t="s">
        <v>504</v>
      </c>
      <c r="B47" s="587"/>
      <c r="C47" s="587"/>
      <c r="D47" s="514"/>
      <c r="E47" s="514"/>
      <c r="F47" s="588"/>
    </row>
    <row r="48" spans="1:45">
      <c r="A48" s="585" t="s">
        <v>505</v>
      </c>
      <c r="B48" s="589" t="s">
        <v>506</v>
      </c>
      <c r="C48" s="589"/>
      <c r="D48" s="157" t="s">
        <v>346</v>
      </c>
      <c r="E48" s="157" t="s">
        <v>346</v>
      </c>
      <c r="F48" s="161" t="s">
        <v>346</v>
      </c>
    </row>
    <row r="49" spans="1:45">
      <c r="A49" s="585" t="s">
        <v>507</v>
      </c>
      <c r="B49" s="589" t="s">
        <v>506</v>
      </c>
      <c r="C49" s="589"/>
      <c r="D49" s="157" t="s">
        <v>346</v>
      </c>
      <c r="E49" s="157" t="s">
        <v>346</v>
      </c>
      <c r="F49" s="161" t="s">
        <v>346</v>
      </c>
    </row>
    <row r="50" spans="1:45">
      <c r="A50" s="586" t="s">
        <v>388</v>
      </c>
      <c r="B50" s="587"/>
      <c r="C50" s="587"/>
      <c r="D50" s="514"/>
      <c r="E50" s="514"/>
      <c r="F50" s="588"/>
    </row>
    <row r="51" spans="1:45" s="508" customFormat="1">
      <c r="A51" s="583" t="s">
        <v>389</v>
      </c>
      <c r="B51" s="590" t="s">
        <v>384</v>
      </c>
      <c r="C51" s="590"/>
      <c r="D51" s="467" t="s">
        <v>346</v>
      </c>
      <c r="E51" s="467" t="s">
        <v>346</v>
      </c>
      <c r="F51" s="479" t="s">
        <v>346</v>
      </c>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row>
    <row r="52" spans="1:45" s="508" customFormat="1">
      <c r="A52" s="583" t="s">
        <v>390</v>
      </c>
      <c r="B52" s="590" t="s">
        <v>391</v>
      </c>
      <c r="C52" s="590"/>
      <c r="D52" s="467" t="s">
        <v>346</v>
      </c>
      <c r="E52" s="467" t="s">
        <v>346</v>
      </c>
      <c r="F52" s="479" t="s">
        <v>346</v>
      </c>
      <c r="G52" s="30"/>
      <c r="H52" s="30"/>
      <c r="I52" s="30"/>
      <c r="J52" s="30"/>
      <c r="K52" s="30"/>
      <c r="L52" s="30"/>
      <c r="M52" s="30"/>
      <c r="N52" s="30"/>
      <c r="O52" s="30"/>
      <c r="P52" s="30"/>
      <c r="Q52" s="30"/>
      <c r="R52" s="30"/>
      <c r="S52" s="30"/>
      <c r="T52" s="30"/>
      <c r="U52" s="30"/>
      <c r="V52" s="30"/>
      <c r="W52" s="30"/>
      <c r="X52" s="30"/>
      <c r="Y52" s="30"/>
      <c r="Z52" s="30"/>
      <c r="AA52" s="30"/>
      <c r="AB52" s="30"/>
      <c r="AC52" s="30"/>
      <c r="AD52" s="30"/>
      <c r="AE52" s="30"/>
      <c r="AF52" s="30"/>
      <c r="AG52" s="30"/>
      <c r="AH52" s="30"/>
      <c r="AI52" s="30"/>
      <c r="AJ52" s="30"/>
      <c r="AK52" s="30"/>
      <c r="AL52" s="30"/>
      <c r="AM52" s="30"/>
      <c r="AN52" s="30"/>
      <c r="AO52" s="30"/>
      <c r="AP52" s="30"/>
      <c r="AQ52" s="30"/>
      <c r="AR52" s="30"/>
      <c r="AS52" s="30"/>
    </row>
    <row r="53" spans="1:45" s="508" customFormat="1">
      <c r="A53" s="583" t="s">
        <v>392</v>
      </c>
      <c r="B53" s="590" t="s">
        <v>393</v>
      </c>
      <c r="C53" s="590"/>
      <c r="D53" s="467" t="s">
        <v>346</v>
      </c>
      <c r="E53" s="467" t="s">
        <v>346</v>
      </c>
      <c r="F53" s="479" t="s">
        <v>346</v>
      </c>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30"/>
      <c r="AS53" s="30"/>
    </row>
    <row r="54" spans="1:45" s="508" customFormat="1">
      <c r="A54" s="583" t="s">
        <v>394</v>
      </c>
      <c r="B54" s="590" t="s">
        <v>395</v>
      </c>
      <c r="C54" s="590"/>
      <c r="D54" s="467" t="s">
        <v>346</v>
      </c>
      <c r="E54" s="467" t="s">
        <v>346</v>
      </c>
      <c r="F54" s="479" t="s">
        <v>346</v>
      </c>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c r="AG54" s="30"/>
      <c r="AH54" s="30"/>
      <c r="AI54" s="30"/>
      <c r="AJ54" s="30"/>
      <c r="AK54" s="30"/>
      <c r="AL54" s="30"/>
      <c r="AM54" s="30"/>
      <c r="AN54" s="30"/>
      <c r="AO54" s="30"/>
      <c r="AP54" s="30"/>
      <c r="AQ54" s="30"/>
      <c r="AR54" s="30"/>
      <c r="AS54" s="30"/>
    </row>
    <row r="55" spans="1:45" s="508" customFormat="1">
      <c r="A55" s="583" t="s">
        <v>396</v>
      </c>
      <c r="B55" s="590" t="s">
        <v>384</v>
      </c>
      <c r="C55" s="590"/>
      <c r="D55" s="467" t="s">
        <v>346</v>
      </c>
      <c r="E55" s="467" t="s">
        <v>346</v>
      </c>
      <c r="F55" s="479" t="s">
        <v>346</v>
      </c>
      <c r="G55" s="30"/>
      <c r="H55" s="30"/>
      <c r="I55" s="30"/>
      <c r="J55" s="30"/>
      <c r="K55" s="30"/>
      <c r="L55" s="30"/>
      <c r="M55" s="30"/>
      <c r="N55" s="30"/>
      <c r="O55" s="30"/>
      <c r="P55" s="30"/>
      <c r="Q55" s="30"/>
      <c r="R55" s="30"/>
      <c r="S55" s="30"/>
      <c r="T55" s="30"/>
      <c r="U55" s="30"/>
      <c r="V55" s="30"/>
      <c r="W55" s="30"/>
      <c r="X55" s="30"/>
      <c r="Y55" s="30"/>
      <c r="Z55" s="30"/>
      <c r="AA55" s="30"/>
      <c r="AB55" s="30"/>
      <c r="AC55" s="30"/>
      <c r="AD55" s="30"/>
      <c r="AE55" s="30"/>
      <c r="AF55" s="30"/>
      <c r="AG55" s="30"/>
      <c r="AH55" s="30"/>
      <c r="AI55" s="30"/>
      <c r="AJ55" s="30"/>
      <c r="AK55" s="30"/>
      <c r="AL55" s="30"/>
      <c r="AM55" s="30"/>
      <c r="AN55" s="30"/>
      <c r="AO55" s="30"/>
      <c r="AP55" s="30"/>
      <c r="AQ55" s="30"/>
      <c r="AR55" s="30"/>
      <c r="AS55" s="30"/>
    </row>
    <row r="56" spans="1:45" s="508" customFormat="1">
      <c r="A56" s="583" t="s">
        <v>397</v>
      </c>
      <c r="B56" s="590" t="s">
        <v>398</v>
      </c>
      <c r="C56" s="590"/>
      <c r="D56" s="467" t="s">
        <v>346</v>
      </c>
      <c r="E56" s="467" t="s">
        <v>346</v>
      </c>
      <c r="F56" s="479" t="s">
        <v>346</v>
      </c>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row>
    <row r="57" spans="1:45" s="508" customFormat="1">
      <c r="A57" s="583" t="s">
        <v>399</v>
      </c>
      <c r="B57" s="590" t="s">
        <v>400</v>
      </c>
      <c r="C57" s="590"/>
      <c r="D57" s="467" t="s">
        <v>346</v>
      </c>
      <c r="E57" s="467" t="s">
        <v>346</v>
      </c>
      <c r="F57" s="479" t="s">
        <v>346</v>
      </c>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row>
    <row r="58" spans="1:45" s="508" customFormat="1">
      <c r="A58" s="583" t="s">
        <v>401</v>
      </c>
      <c r="B58" s="590" t="s">
        <v>345</v>
      </c>
      <c r="C58" s="590"/>
      <c r="D58" s="467" t="s">
        <v>346</v>
      </c>
      <c r="E58" s="467" t="s">
        <v>346</v>
      </c>
      <c r="F58" s="479" t="s">
        <v>346</v>
      </c>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0"/>
      <c r="AG58" s="30"/>
      <c r="AH58" s="30"/>
      <c r="AI58" s="30"/>
      <c r="AJ58" s="30"/>
      <c r="AK58" s="30"/>
      <c r="AL58" s="30"/>
      <c r="AM58" s="30"/>
      <c r="AN58" s="30"/>
      <c r="AO58" s="30"/>
      <c r="AP58" s="30"/>
      <c r="AQ58" s="30"/>
      <c r="AR58" s="30"/>
      <c r="AS58" s="30"/>
    </row>
    <row r="59" spans="1:45" s="508" customFormat="1">
      <c r="A59" s="583" t="s">
        <v>402</v>
      </c>
      <c r="B59" s="590" t="s">
        <v>345</v>
      </c>
      <c r="C59" s="590"/>
      <c r="D59" s="479" t="s">
        <v>346</v>
      </c>
      <c r="E59" s="479" t="s">
        <v>346</v>
      </c>
      <c r="F59" s="479" t="s">
        <v>346</v>
      </c>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30"/>
      <c r="AN59" s="30"/>
      <c r="AO59" s="30"/>
      <c r="AP59" s="30"/>
      <c r="AQ59" s="30"/>
      <c r="AR59" s="30"/>
      <c r="AS59" s="30"/>
    </row>
    <row r="60" spans="1:45" s="508" customFormat="1">
      <c r="A60" s="583" t="s">
        <v>403</v>
      </c>
      <c r="B60" s="590" t="s">
        <v>404</v>
      </c>
      <c r="C60" s="590"/>
      <c r="D60" s="467" t="s">
        <v>346</v>
      </c>
      <c r="E60" s="467" t="s">
        <v>346</v>
      </c>
      <c r="F60" s="479" t="s">
        <v>346</v>
      </c>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c r="AG60" s="30"/>
      <c r="AH60" s="30"/>
      <c r="AI60" s="30"/>
      <c r="AJ60" s="30"/>
      <c r="AK60" s="30"/>
      <c r="AL60" s="30"/>
      <c r="AM60" s="30"/>
      <c r="AN60" s="30"/>
      <c r="AO60" s="30"/>
      <c r="AP60" s="30"/>
      <c r="AQ60" s="30"/>
      <c r="AR60" s="30"/>
      <c r="AS60" s="30"/>
    </row>
    <row r="61" spans="1:45" s="508" customFormat="1">
      <c r="A61" s="583" t="s">
        <v>405</v>
      </c>
      <c r="B61" s="590" t="s">
        <v>345</v>
      </c>
      <c r="C61" s="590"/>
      <c r="D61" s="467" t="s">
        <v>346</v>
      </c>
      <c r="E61" s="467" t="s">
        <v>346</v>
      </c>
      <c r="F61" s="479" t="s">
        <v>346</v>
      </c>
      <c r="G61" s="30"/>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0"/>
      <c r="AG61" s="30"/>
      <c r="AH61" s="30"/>
      <c r="AI61" s="30"/>
      <c r="AJ61" s="30"/>
      <c r="AK61" s="30"/>
      <c r="AL61" s="30"/>
      <c r="AM61" s="30"/>
      <c r="AN61" s="30"/>
      <c r="AO61" s="30"/>
      <c r="AP61" s="30"/>
      <c r="AQ61" s="30"/>
      <c r="AR61" s="30"/>
      <c r="AS61" s="30"/>
    </row>
    <row r="62" spans="1:45" s="508" customFormat="1">
      <c r="A62" s="583" t="s">
        <v>406</v>
      </c>
      <c r="B62" s="590" t="s">
        <v>345</v>
      </c>
      <c r="C62" s="590"/>
      <c r="D62" s="467" t="s">
        <v>346</v>
      </c>
      <c r="E62" s="467" t="s">
        <v>346</v>
      </c>
      <c r="F62" s="479" t="s">
        <v>346</v>
      </c>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row>
    <row r="63" spans="1:45" s="508" customFormat="1">
      <c r="A63" s="583" t="s">
        <v>407</v>
      </c>
      <c r="B63" s="590" t="s">
        <v>345</v>
      </c>
      <c r="C63" s="590"/>
      <c r="D63" s="467" t="s">
        <v>346</v>
      </c>
      <c r="E63" s="467" t="s">
        <v>346</v>
      </c>
      <c r="F63" s="479" t="s">
        <v>346</v>
      </c>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row>
    <row r="64" spans="1:45" s="508" customFormat="1">
      <c r="A64" s="583" t="s">
        <v>408</v>
      </c>
      <c r="B64" s="590" t="s">
        <v>345</v>
      </c>
      <c r="C64" s="590"/>
      <c r="D64" s="467" t="s">
        <v>346</v>
      </c>
      <c r="E64" s="467" t="s">
        <v>346</v>
      </c>
      <c r="F64" s="479" t="s">
        <v>346</v>
      </c>
      <c r="G64" s="30"/>
      <c r="H64" s="30"/>
      <c r="I64" s="30"/>
      <c r="J64" s="30"/>
      <c r="K64" s="30"/>
      <c r="L64" s="30"/>
      <c r="M64" s="30"/>
      <c r="N64" s="30"/>
      <c r="O64" s="30"/>
      <c r="P64" s="30"/>
      <c r="Q64" s="30"/>
      <c r="R64" s="30"/>
      <c r="S64" s="30"/>
      <c r="T64" s="30"/>
      <c r="U64" s="30"/>
      <c r="V64" s="30"/>
      <c r="W64" s="30"/>
      <c r="X64" s="30"/>
      <c r="Y64" s="30"/>
      <c r="Z64" s="30"/>
      <c r="AA64" s="30"/>
      <c r="AB64" s="30"/>
      <c r="AC64" s="30"/>
      <c r="AD64" s="30"/>
      <c r="AE64" s="30"/>
      <c r="AF64" s="30"/>
      <c r="AG64" s="30"/>
      <c r="AH64" s="30"/>
      <c r="AI64" s="30"/>
      <c r="AJ64" s="30"/>
      <c r="AK64" s="30"/>
      <c r="AL64" s="30"/>
      <c r="AM64" s="30"/>
      <c r="AN64" s="30"/>
      <c r="AO64" s="30"/>
      <c r="AP64" s="30"/>
      <c r="AQ64" s="30"/>
      <c r="AR64" s="30"/>
      <c r="AS64" s="30"/>
    </row>
    <row r="65" spans="1:45" s="508" customFormat="1">
      <c r="A65" s="583" t="s">
        <v>409</v>
      </c>
      <c r="B65" s="590" t="s">
        <v>345</v>
      </c>
      <c r="C65" s="590"/>
      <c r="D65" s="467" t="s">
        <v>346</v>
      </c>
      <c r="E65" s="467" t="s">
        <v>346</v>
      </c>
      <c r="F65" s="479" t="s">
        <v>346</v>
      </c>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c r="AG65" s="30"/>
      <c r="AH65" s="30"/>
      <c r="AI65" s="30"/>
      <c r="AJ65" s="30"/>
      <c r="AK65" s="30"/>
      <c r="AL65" s="30"/>
      <c r="AM65" s="30"/>
      <c r="AN65" s="30"/>
      <c r="AO65" s="30"/>
      <c r="AP65" s="30"/>
      <c r="AQ65" s="30"/>
      <c r="AR65" s="30"/>
      <c r="AS65" s="30"/>
    </row>
    <row r="66" spans="1:45" s="508" customFormat="1">
      <c r="A66" s="583" t="s">
        <v>410</v>
      </c>
      <c r="B66" s="590" t="s">
        <v>411</v>
      </c>
      <c r="C66" s="590"/>
      <c r="D66" s="467" t="s">
        <v>346</v>
      </c>
      <c r="E66" s="467" t="s">
        <v>346</v>
      </c>
      <c r="F66" s="479" t="s">
        <v>346</v>
      </c>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row>
    <row r="67" spans="1:45" s="508" customFormat="1">
      <c r="A67" s="583" t="s">
        <v>412</v>
      </c>
      <c r="B67" s="590" t="s">
        <v>413</v>
      </c>
      <c r="C67" s="590"/>
      <c r="D67" s="467" t="s">
        <v>346</v>
      </c>
      <c r="E67" s="467" t="s">
        <v>346</v>
      </c>
      <c r="F67" s="479" t="s">
        <v>346</v>
      </c>
      <c r="G67" s="30"/>
      <c r="H67" s="30"/>
      <c r="I67" s="30"/>
      <c r="J67" s="30"/>
      <c r="K67" s="30"/>
      <c r="L67" s="30"/>
      <c r="M67" s="30"/>
      <c r="N67" s="30"/>
      <c r="O67" s="30"/>
      <c r="P67" s="30"/>
      <c r="Q67" s="30"/>
      <c r="R67" s="30"/>
      <c r="S67" s="30"/>
      <c r="T67" s="30"/>
      <c r="U67" s="30"/>
      <c r="V67" s="30"/>
      <c r="W67" s="30"/>
      <c r="X67" s="30"/>
      <c r="Y67" s="30"/>
      <c r="Z67" s="30"/>
      <c r="AA67" s="30"/>
      <c r="AB67" s="30"/>
      <c r="AC67" s="30"/>
      <c r="AD67" s="30"/>
      <c r="AE67" s="30"/>
      <c r="AF67" s="30"/>
      <c r="AG67" s="30"/>
      <c r="AH67" s="30"/>
      <c r="AI67" s="30"/>
      <c r="AJ67" s="30"/>
      <c r="AK67" s="30"/>
      <c r="AL67" s="30"/>
      <c r="AM67" s="30"/>
      <c r="AN67" s="30"/>
      <c r="AO67" s="30"/>
      <c r="AP67" s="30"/>
      <c r="AQ67" s="30"/>
      <c r="AR67" s="30"/>
      <c r="AS67" s="30"/>
    </row>
    <row r="68" spans="1:45" s="508" customFormat="1">
      <c r="A68" s="583" t="s">
        <v>326</v>
      </c>
      <c r="B68" s="590" t="s">
        <v>327</v>
      </c>
      <c r="C68" s="590"/>
      <c r="D68" s="467" t="s">
        <v>346</v>
      </c>
      <c r="E68" s="467" t="s">
        <v>346</v>
      </c>
      <c r="F68" s="479" t="s">
        <v>346</v>
      </c>
      <c r="G68" s="30"/>
      <c r="H68" s="30"/>
      <c r="I68" s="30"/>
      <c r="J68" s="30"/>
      <c r="K68" s="30"/>
      <c r="L68" s="30"/>
      <c r="M68" s="30"/>
      <c r="N68" s="30"/>
      <c r="O68" s="30"/>
      <c r="P68" s="30"/>
      <c r="Q68" s="30"/>
      <c r="R68" s="30"/>
      <c r="S68" s="30"/>
      <c r="T68" s="30"/>
      <c r="U68" s="30"/>
      <c r="V68" s="30"/>
      <c r="W68" s="30"/>
      <c r="X68" s="30"/>
      <c r="Y68" s="30"/>
      <c r="Z68" s="30"/>
      <c r="AA68" s="30"/>
      <c r="AB68" s="30"/>
      <c r="AC68" s="30"/>
      <c r="AD68" s="30"/>
      <c r="AE68" s="30"/>
      <c r="AF68" s="30"/>
      <c r="AG68" s="30"/>
      <c r="AH68" s="30"/>
      <c r="AI68" s="30"/>
      <c r="AJ68" s="30"/>
      <c r="AK68" s="30"/>
      <c r="AL68" s="30"/>
      <c r="AM68" s="30"/>
      <c r="AN68" s="30"/>
      <c r="AO68" s="30"/>
      <c r="AP68" s="30"/>
      <c r="AQ68" s="30"/>
      <c r="AR68" s="30"/>
      <c r="AS68" s="30"/>
    </row>
    <row r="69" spans="1:45" s="508" customFormat="1">
      <c r="A69" s="583" t="s">
        <v>414</v>
      </c>
      <c r="B69" s="590" t="s">
        <v>415</v>
      </c>
      <c r="C69" s="590"/>
      <c r="D69" s="467" t="s">
        <v>346</v>
      </c>
      <c r="E69" s="467" t="s">
        <v>346</v>
      </c>
      <c r="F69" s="479" t="s">
        <v>346</v>
      </c>
      <c r="G69" s="30"/>
      <c r="H69" s="30"/>
      <c r="I69" s="30"/>
      <c r="J69" s="30"/>
      <c r="K69" s="30"/>
      <c r="L69" s="30"/>
      <c r="M69" s="30"/>
      <c r="N69" s="30"/>
      <c r="O69" s="30"/>
      <c r="P69" s="30"/>
      <c r="Q69" s="30"/>
      <c r="R69" s="30"/>
      <c r="S69" s="30"/>
      <c r="T69" s="30"/>
      <c r="U69" s="30"/>
      <c r="V69" s="30"/>
      <c r="W69" s="30"/>
      <c r="X69" s="30"/>
      <c r="Y69" s="30"/>
      <c r="Z69" s="30"/>
      <c r="AA69" s="30"/>
      <c r="AB69" s="30"/>
      <c r="AC69" s="30"/>
      <c r="AD69" s="30"/>
      <c r="AE69" s="30"/>
      <c r="AF69" s="30"/>
      <c r="AG69" s="30"/>
      <c r="AH69" s="30"/>
      <c r="AI69" s="30"/>
      <c r="AJ69" s="30"/>
      <c r="AK69" s="30"/>
      <c r="AL69" s="30"/>
      <c r="AM69" s="30"/>
      <c r="AN69" s="30"/>
      <c r="AO69" s="30"/>
      <c r="AP69" s="30"/>
      <c r="AQ69" s="30"/>
      <c r="AR69" s="30"/>
      <c r="AS69" s="30"/>
    </row>
    <row r="70" spans="1:45">
      <c r="A70" s="578" t="s">
        <v>416</v>
      </c>
      <c r="B70" s="579"/>
      <c r="C70" s="579"/>
      <c r="D70" s="452"/>
      <c r="E70" s="452"/>
      <c r="F70" s="454"/>
    </row>
    <row r="71" spans="1:45">
      <c r="A71" s="586" t="s">
        <v>417</v>
      </c>
      <c r="B71" s="587"/>
      <c r="C71" s="587"/>
      <c r="D71" s="514"/>
      <c r="E71" s="514"/>
      <c r="F71" s="588"/>
    </row>
    <row r="72" spans="1:45">
      <c r="A72" s="585" t="s">
        <v>418</v>
      </c>
      <c r="B72" s="589" t="s">
        <v>419</v>
      </c>
      <c r="C72" s="589"/>
      <c r="D72" s="161">
        <v>492</v>
      </c>
      <c r="E72" s="467" t="s">
        <v>346</v>
      </c>
      <c r="F72" s="161">
        <v>492</v>
      </c>
    </row>
    <row r="73" spans="1:45">
      <c r="A73" s="585" t="s">
        <v>420</v>
      </c>
      <c r="B73" s="589" t="s">
        <v>419</v>
      </c>
      <c r="C73" s="589"/>
      <c r="D73" s="161">
        <f>C141</f>
        <v>24</v>
      </c>
      <c r="E73" s="467" t="s">
        <v>346</v>
      </c>
      <c r="F73" s="161">
        <v>492</v>
      </c>
    </row>
    <row r="74" spans="1:45">
      <c r="A74" s="585" t="s">
        <v>421</v>
      </c>
      <c r="B74" s="589" t="s">
        <v>422</v>
      </c>
      <c r="C74" s="589"/>
      <c r="D74" s="161" t="s">
        <v>346</v>
      </c>
      <c r="E74" s="467" t="s">
        <v>346</v>
      </c>
      <c r="F74" s="161" t="s">
        <v>346</v>
      </c>
    </row>
    <row r="75" spans="1:45">
      <c r="A75" s="585" t="s">
        <v>423</v>
      </c>
      <c r="B75" s="589" t="s">
        <v>424</v>
      </c>
      <c r="C75" s="589"/>
      <c r="D75" s="161">
        <v>0.45</v>
      </c>
      <c r="E75" s="467" t="s">
        <v>346</v>
      </c>
      <c r="F75" s="161">
        <v>0.45</v>
      </c>
    </row>
    <row r="76" spans="1:45">
      <c r="A76" s="585" t="s">
        <v>425</v>
      </c>
      <c r="B76" s="589" t="s">
        <v>424</v>
      </c>
      <c r="C76" s="589"/>
      <c r="D76" s="161">
        <v>0.45</v>
      </c>
      <c r="E76" s="467" t="s">
        <v>346</v>
      </c>
      <c r="F76" s="161">
        <v>0.45</v>
      </c>
    </row>
    <row r="77" spans="1:45">
      <c r="A77" s="585" t="s">
        <v>426</v>
      </c>
      <c r="B77" s="589" t="s">
        <v>427</v>
      </c>
      <c r="C77" s="589"/>
      <c r="D77" s="161">
        <v>108.97799999999999</v>
      </c>
      <c r="E77" s="467" t="s">
        <v>346</v>
      </c>
      <c r="F77" s="161">
        <v>1.0000000000000001E-30</v>
      </c>
    </row>
    <row r="78" spans="1:45">
      <c r="A78" s="585" t="s">
        <v>428</v>
      </c>
      <c r="B78" s="589" t="s">
        <v>422</v>
      </c>
      <c r="C78" s="589"/>
      <c r="D78" s="161">
        <v>187.2</v>
      </c>
      <c r="E78" s="467" t="s">
        <v>346</v>
      </c>
      <c r="F78" s="161">
        <v>187.2</v>
      </c>
    </row>
    <row r="79" spans="1:45" s="508" customFormat="1">
      <c r="A79" s="583" t="s">
        <v>429</v>
      </c>
      <c r="B79" s="590" t="s">
        <v>430</v>
      </c>
      <c r="C79" s="590"/>
      <c r="D79" s="479" t="s">
        <v>346</v>
      </c>
      <c r="E79" s="479" t="s">
        <v>346</v>
      </c>
      <c r="F79" s="479" t="s">
        <v>346</v>
      </c>
      <c r="G79" s="30"/>
      <c r="H79" s="30"/>
      <c r="I79" s="30"/>
      <c r="J79" s="30"/>
      <c r="K79" s="30"/>
      <c r="L79" s="30"/>
      <c r="M79" s="30"/>
      <c r="N79" s="30"/>
      <c r="O79" s="30"/>
      <c r="P79" s="30"/>
      <c r="Q79" s="30"/>
      <c r="R79" s="30"/>
      <c r="S79" s="30"/>
      <c r="T79" s="30"/>
      <c r="U79" s="30"/>
      <c r="V79" s="30"/>
      <c r="W79" s="30"/>
      <c r="X79" s="30"/>
      <c r="Y79" s="30"/>
      <c r="Z79" s="30"/>
      <c r="AA79" s="30"/>
      <c r="AB79" s="30"/>
      <c r="AC79" s="30"/>
      <c r="AD79" s="30"/>
      <c r="AE79" s="30"/>
      <c r="AF79" s="30"/>
      <c r="AG79" s="30"/>
      <c r="AH79" s="30"/>
      <c r="AI79" s="30"/>
      <c r="AJ79" s="30"/>
      <c r="AK79" s="30"/>
      <c r="AL79" s="30"/>
      <c r="AM79" s="30"/>
      <c r="AN79" s="30"/>
      <c r="AO79" s="30"/>
      <c r="AP79" s="30"/>
      <c r="AQ79" s="30"/>
      <c r="AR79" s="30"/>
      <c r="AS79" s="30"/>
    </row>
    <row r="80" spans="1:45">
      <c r="A80" s="586" t="s">
        <v>431</v>
      </c>
      <c r="B80" s="587"/>
      <c r="C80" s="587"/>
      <c r="D80" s="514"/>
      <c r="E80" s="514"/>
      <c r="F80" s="588"/>
    </row>
    <row r="81" spans="1:6">
      <c r="A81" s="585" t="s">
        <v>432</v>
      </c>
      <c r="B81" s="589" t="s">
        <v>419</v>
      </c>
      <c r="C81" s="589"/>
      <c r="D81" s="157">
        <v>1</v>
      </c>
      <c r="E81" s="479" t="s">
        <v>346</v>
      </c>
      <c r="F81" s="161">
        <v>1</v>
      </c>
    </row>
    <row r="82" spans="1:6">
      <c r="A82" s="585" t="s">
        <v>433</v>
      </c>
      <c r="B82" s="589" t="s">
        <v>419</v>
      </c>
      <c r="C82" s="589"/>
      <c r="D82" s="161">
        <f>D73-D81</f>
        <v>23</v>
      </c>
      <c r="E82" s="479" t="s">
        <v>346</v>
      </c>
      <c r="F82" s="161">
        <f>F73-1</f>
        <v>491</v>
      </c>
    </row>
    <row r="83" spans="1:6">
      <c r="A83" s="585" t="s">
        <v>434</v>
      </c>
      <c r="B83" s="589" t="s">
        <v>435</v>
      </c>
      <c r="C83" s="589"/>
      <c r="D83" s="157">
        <v>402</v>
      </c>
      <c r="E83" s="479" t="s">
        <v>346</v>
      </c>
      <c r="F83" s="161">
        <v>402</v>
      </c>
    </row>
    <row r="84" spans="1:6">
      <c r="A84" s="586" t="s">
        <v>436</v>
      </c>
      <c r="B84" s="587"/>
      <c r="C84" s="587"/>
      <c r="D84" s="514"/>
      <c r="E84" s="514"/>
      <c r="F84" s="588"/>
    </row>
    <row r="85" spans="1:6">
      <c r="A85" s="583" t="s">
        <v>437</v>
      </c>
      <c r="B85" s="590" t="s">
        <v>430</v>
      </c>
      <c r="C85" s="590"/>
      <c r="D85" s="467" t="s">
        <v>346</v>
      </c>
      <c r="E85" s="467" t="s">
        <v>346</v>
      </c>
      <c r="F85" s="479" t="s">
        <v>346</v>
      </c>
    </row>
    <row r="86" spans="1:6">
      <c r="A86" s="583" t="s">
        <v>438</v>
      </c>
      <c r="B86" s="590" t="s">
        <v>439</v>
      </c>
      <c r="C86" s="590"/>
      <c r="D86" s="467" t="s">
        <v>346</v>
      </c>
      <c r="E86" s="467" t="s">
        <v>346</v>
      </c>
      <c r="F86" s="479" t="s">
        <v>346</v>
      </c>
    </row>
    <row r="87" spans="1:6">
      <c r="A87" s="583" t="s">
        <v>440</v>
      </c>
      <c r="B87" s="590" t="s">
        <v>345</v>
      </c>
      <c r="C87" s="590"/>
      <c r="D87" s="467" t="s">
        <v>346</v>
      </c>
      <c r="E87" s="467" t="s">
        <v>346</v>
      </c>
      <c r="F87" s="479" t="s">
        <v>346</v>
      </c>
    </row>
    <row r="88" spans="1:6">
      <c r="A88" s="583" t="s">
        <v>441</v>
      </c>
      <c r="B88" s="590" t="s">
        <v>442</v>
      </c>
      <c r="C88" s="590"/>
      <c r="D88" s="467" t="s">
        <v>346</v>
      </c>
      <c r="E88" s="467" t="s">
        <v>346</v>
      </c>
      <c r="F88" s="479" t="s">
        <v>346</v>
      </c>
    </row>
    <row r="89" spans="1:6">
      <c r="A89" s="583" t="s">
        <v>443</v>
      </c>
      <c r="B89" s="590" t="s">
        <v>442</v>
      </c>
      <c r="C89" s="590"/>
      <c r="D89" s="467" t="s">
        <v>346</v>
      </c>
      <c r="E89" s="467" t="s">
        <v>346</v>
      </c>
      <c r="F89" s="479" t="s">
        <v>346</v>
      </c>
    </row>
    <row r="90" spans="1:6">
      <c r="A90" s="586" t="s">
        <v>444</v>
      </c>
      <c r="B90" s="587"/>
      <c r="C90" s="587"/>
      <c r="D90" s="514"/>
      <c r="E90" s="514"/>
      <c r="F90" s="588"/>
    </row>
    <row r="91" spans="1:6">
      <c r="A91" s="594" t="s">
        <v>445</v>
      </c>
      <c r="B91" s="590"/>
      <c r="C91" s="590"/>
      <c r="D91" s="467" t="s">
        <v>346</v>
      </c>
      <c r="E91" s="467" t="s">
        <v>346</v>
      </c>
      <c r="F91" s="479" t="s">
        <v>346</v>
      </c>
    </row>
    <row r="92" spans="1:6">
      <c r="A92" s="583" t="s">
        <v>446</v>
      </c>
      <c r="B92" s="590" t="s">
        <v>435</v>
      </c>
      <c r="C92" s="590"/>
      <c r="D92" s="467" t="s">
        <v>346</v>
      </c>
      <c r="E92" s="467" t="s">
        <v>346</v>
      </c>
      <c r="F92" s="479" t="s">
        <v>346</v>
      </c>
    </row>
    <row r="93" spans="1:6">
      <c r="A93" s="583" t="s">
        <v>447</v>
      </c>
      <c r="B93" s="590" t="s">
        <v>435</v>
      </c>
      <c r="C93" s="590"/>
      <c r="D93" s="467" t="s">
        <v>346</v>
      </c>
      <c r="E93" s="467" t="s">
        <v>346</v>
      </c>
      <c r="F93" s="479" t="s">
        <v>346</v>
      </c>
    </row>
    <row r="94" spans="1:6">
      <c r="A94" s="583" t="s">
        <v>448</v>
      </c>
      <c r="B94" s="590" t="s">
        <v>377</v>
      </c>
      <c r="C94" s="590"/>
      <c r="D94" s="467" t="s">
        <v>346</v>
      </c>
      <c r="E94" s="467" t="s">
        <v>346</v>
      </c>
      <c r="F94" s="479" t="s">
        <v>346</v>
      </c>
    </row>
    <row r="95" spans="1:6">
      <c r="A95" s="583" t="s">
        <v>449</v>
      </c>
      <c r="B95" s="590" t="s">
        <v>377</v>
      </c>
      <c r="C95" s="590"/>
      <c r="D95" s="467" t="s">
        <v>346</v>
      </c>
      <c r="E95" s="467" t="s">
        <v>346</v>
      </c>
      <c r="F95" s="479" t="s">
        <v>346</v>
      </c>
    </row>
    <row r="96" spans="1:6">
      <c r="A96" s="595" t="s">
        <v>450</v>
      </c>
      <c r="B96" s="590" t="s">
        <v>430</v>
      </c>
      <c r="C96" s="590"/>
      <c r="D96" s="467" t="s">
        <v>346</v>
      </c>
      <c r="E96" s="467" t="s">
        <v>346</v>
      </c>
      <c r="F96" s="479" t="s">
        <v>346</v>
      </c>
    </row>
    <row r="97" spans="1:6">
      <c r="A97" s="583" t="s">
        <v>451</v>
      </c>
      <c r="B97" s="590" t="s">
        <v>358</v>
      </c>
      <c r="C97" s="590"/>
      <c r="D97" s="467" t="s">
        <v>346</v>
      </c>
      <c r="E97" s="467" t="s">
        <v>346</v>
      </c>
      <c r="F97" s="479" t="s">
        <v>346</v>
      </c>
    </row>
    <row r="98" spans="1:6">
      <c r="A98" s="594" t="s">
        <v>452</v>
      </c>
      <c r="B98" s="590"/>
      <c r="C98" s="590"/>
      <c r="D98" s="467" t="s">
        <v>346</v>
      </c>
      <c r="E98" s="467" t="s">
        <v>346</v>
      </c>
      <c r="F98" s="479" t="s">
        <v>346</v>
      </c>
    </row>
    <row r="99" spans="1:6">
      <c r="A99" s="583" t="s">
        <v>446</v>
      </c>
      <c r="B99" s="590" t="s">
        <v>435</v>
      </c>
      <c r="C99" s="590"/>
      <c r="D99" s="467" t="s">
        <v>346</v>
      </c>
      <c r="E99" s="467" t="s">
        <v>346</v>
      </c>
      <c r="F99" s="479" t="s">
        <v>346</v>
      </c>
    </row>
    <row r="100" spans="1:6">
      <c r="A100" s="583" t="s">
        <v>447</v>
      </c>
      <c r="B100" s="590" t="s">
        <v>435</v>
      </c>
      <c r="C100" s="590"/>
      <c r="D100" s="467" t="s">
        <v>346</v>
      </c>
      <c r="E100" s="467" t="s">
        <v>346</v>
      </c>
      <c r="F100" s="479" t="s">
        <v>346</v>
      </c>
    </row>
    <row r="101" spans="1:6">
      <c r="A101" s="583" t="s">
        <v>448</v>
      </c>
      <c r="B101" s="590" t="s">
        <v>377</v>
      </c>
      <c r="C101" s="590"/>
      <c r="D101" s="467" t="s">
        <v>346</v>
      </c>
      <c r="E101" s="467" t="s">
        <v>346</v>
      </c>
      <c r="F101" s="479" t="s">
        <v>346</v>
      </c>
    </row>
    <row r="102" spans="1:6">
      <c r="A102" s="583" t="s">
        <v>449</v>
      </c>
      <c r="B102" s="590" t="s">
        <v>377</v>
      </c>
      <c r="C102" s="590"/>
      <c r="D102" s="467" t="s">
        <v>346</v>
      </c>
      <c r="E102" s="467" t="s">
        <v>346</v>
      </c>
      <c r="F102" s="479" t="s">
        <v>346</v>
      </c>
    </row>
    <row r="103" spans="1:6">
      <c r="A103" s="595" t="s">
        <v>450</v>
      </c>
      <c r="B103" s="590" t="s">
        <v>430</v>
      </c>
      <c r="C103" s="590"/>
      <c r="D103" s="467" t="s">
        <v>346</v>
      </c>
      <c r="E103" s="467" t="s">
        <v>346</v>
      </c>
      <c r="F103" s="479" t="s">
        <v>346</v>
      </c>
    </row>
    <row r="104" spans="1:6">
      <c r="A104" s="583" t="s">
        <v>451</v>
      </c>
      <c r="B104" s="590" t="s">
        <v>358</v>
      </c>
      <c r="C104" s="590"/>
      <c r="D104" s="467" t="s">
        <v>346</v>
      </c>
      <c r="E104" s="467" t="s">
        <v>346</v>
      </c>
      <c r="F104" s="479" t="s">
        <v>346</v>
      </c>
    </row>
    <row r="105" spans="1:6">
      <c r="A105" s="594" t="s">
        <v>453</v>
      </c>
      <c r="B105" s="590"/>
      <c r="C105" s="590"/>
      <c r="D105" s="467" t="s">
        <v>346</v>
      </c>
      <c r="E105" s="467" t="s">
        <v>346</v>
      </c>
      <c r="F105" s="479" t="s">
        <v>346</v>
      </c>
    </row>
    <row r="106" spans="1:6">
      <c r="A106" s="583" t="s">
        <v>446</v>
      </c>
      <c r="B106" s="590" t="s">
        <v>435</v>
      </c>
      <c r="C106" s="590"/>
      <c r="D106" s="467" t="s">
        <v>346</v>
      </c>
      <c r="E106" s="467" t="s">
        <v>346</v>
      </c>
      <c r="F106" s="479" t="s">
        <v>346</v>
      </c>
    </row>
    <row r="107" spans="1:6">
      <c r="A107" s="583" t="s">
        <v>447</v>
      </c>
      <c r="B107" s="590" t="s">
        <v>435</v>
      </c>
      <c r="C107" s="590"/>
      <c r="D107" s="467" t="s">
        <v>346</v>
      </c>
      <c r="E107" s="467" t="s">
        <v>346</v>
      </c>
      <c r="F107" s="479" t="s">
        <v>346</v>
      </c>
    </row>
    <row r="108" spans="1:6">
      <c r="A108" s="583" t="s">
        <v>449</v>
      </c>
      <c r="B108" s="590" t="s">
        <v>377</v>
      </c>
      <c r="C108" s="590"/>
      <c r="D108" s="467" t="s">
        <v>346</v>
      </c>
      <c r="E108" s="467" t="s">
        <v>346</v>
      </c>
      <c r="F108" s="479" t="s">
        <v>346</v>
      </c>
    </row>
    <row r="109" spans="1:6">
      <c r="A109" s="595" t="s">
        <v>450</v>
      </c>
      <c r="B109" s="590" t="s">
        <v>430</v>
      </c>
      <c r="C109" s="590"/>
      <c r="D109" s="467" t="s">
        <v>346</v>
      </c>
      <c r="E109" s="467" t="s">
        <v>346</v>
      </c>
      <c r="F109" s="479" t="s">
        <v>346</v>
      </c>
    </row>
    <row r="110" spans="1:6">
      <c r="A110" s="594" t="s">
        <v>25</v>
      </c>
      <c r="B110" s="590"/>
      <c r="C110" s="590"/>
      <c r="D110" s="467" t="s">
        <v>346</v>
      </c>
      <c r="E110" s="467" t="s">
        <v>346</v>
      </c>
      <c r="F110" s="479" t="s">
        <v>346</v>
      </c>
    </row>
    <row r="111" spans="1:6">
      <c r="A111" s="583" t="s">
        <v>454</v>
      </c>
      <c r="B111" s="590" t="s">
        <v>358</v>
      </c>
      <c r="C111" s="590"/>
      <c r="D111" s="467" t="s">
        <v>346</v>
      </c>
      <c r="E111" s="467" t="s">
        <v>346</v>
      </c>
      <c r="F111" s="479" t="s">
        <v>346</v>
      </c>
    </row>
    <row r="112" spans="1:6">
      <c r="A112" s="596" t="s">
        <v>455</v>
      </c>
      <c r="B112" s="590" t="s">
        <v>435</v>
      </c>
      <c r="C112" s="590"/>
      <c r="D112" s="467" t="s">
        <v>346</v>
      </c>
      <c r="E112" s="467" t="s">
        <v>346</v>
      </c>
      <c r="F112" s="479" t="s">
        <v>346</v>
      </c>
    </row>
    <row r="113" spans="1:6">
      <c r="A113" s="583" t="s">
        <v>456</v>
      </c>
      <c r="B113" s="590" t="s">
        <v>345</v>
      </c>
      <c r="C113" s="590"/>
      <c r="D113" s="467" t="s">
        <v>346</v>
      </c>
      <c r="E113" s="467" t="s">
        <v>346</v>
      </c>
      <c r="F113" s="479" t="s">
        <v>346</v>
      </c>
    </row>
    <row r="114" spans="1:6">
      <c r="A114" s="583" t="s">
        <v>457</v>
      </c>
      <c r="B114" s="590" t="s">
        <v>345</v>
      </c>
      <c r="C114" s="590"/>
      <c r="D114" s="467" t="s">
        <v>346</v>
      </c>
      <c r="E114" s="467" t="s">
        <v>346</v>
      </c>
      <c r="F114" s="479" t="s">
        <v>346</v>
      </c>
    </row>
    <row r="115" spans="1:6">
      <c r="A115" s="578" t="s">
        <v>458</v>
      </c>
      <c r="B115" s="578"/>
      <c r="C115" s="578"/>
      <c r="D115" s="578"/>
      <c r="E115" s="578"/>
      <c r="F115" s="578"/>
    </row>
    <row r="116" spans="1:6">
      <c r="A116" s="585" t="s">
        <v>459</v>
      </c>
      <c r="B116" s="589" t="s">
        <v>460</v>
      </c>
      <c r="C116" s="589"/>
      <c r="D116" s="157">
        <v>1</v>
      </c>
      <c r="E116" s="157">
        <v>1</v>
      </c>
      <c r="F116" s="161">
        <v>1</v>
      </c>
    </row>
    <row r="117" spans="1:6">
      <c r="A117" s="585" t="s">
        <v>461</v>
      </c>
      <c r="B117" s="589" t="s">
        <v>411</v>
      </c>
      <c r="C117" s="589"/>
      <c r="D117" s="157">
        <v>1</v>
      </c>
      <c r="E117" s="157">
        <v>1</v>
      </c>
      <c r="F117" s="161">
        <v>1</v>
      </c>
    </row>
    <row r="118" spans="1:6">
      <c r="A118" s="583" t="s">
        <v>462</v>
      </c>
      <c r="B118" s="590" t="s">
        <v>463</v>
      </c>
      <c r="C118" s="590"/>
      <c r="D118" s="467" t="s">
        <v>346</v>
      </c>
      <c r="E118" s="467" t="s">
        <v>346</v>
      </c>
      <c r="F118" s="479" t="s">
        <v>346</v>
      </c>
    </row>
    <row r="119" spans="1:6">
      <c r="A119" s="583" t="s">
        <v>464</v>
      </c>
      <c r="B119" s="590" t="s">
        <v>463</v>
      </c>
      <c r="C119" s="590"/>
      <c r="D119" s="467" t="s">
        <v>346</v>
      </c>
      <c r="E119" s="467" t="s">
        <v>346</v>
      </c>
      <c r="F119" s="479" t="s">
        <v>346</v>
      </c>
    </row>
    <row r="120" spans="1:6">
      <c r="A120" s="583" t="s">
        <v>465</v>
      </c>
      <c r="B120" s="590" t="s">
        <v>463</v>
      </c>
      <c r="C120" s="590"/>
      <c r="D120" s="467" t="s">
        <v>346</v>
      </c>
      <c r="E120" s="467" t="s">
        <v>346</v>
      </c>
      <c r="F120" s="479" t="s">
        <v>346</v>
      </c>
    </row>
    <row r="121" spans="1:6">
      <c r="A121" s="583" t="s">
        <v>466</v>
      </c>
      <c r="B121" s="590" t="s">
        <v>463</v>
      </c>
      <c r="C121" s="590"/>
      <c r="D121" s="467" t="s">
        <v>346</v>
      </c>
      <c r="E121" s="467" t="s">
        <v>346</v>
      </c>
      <c r="F121" s="479" t="s">
        <v>346</v>
      </c>
    </row>
    <row r="122" spans="1:6">
      <c r="A122" s="583" t="s">
        <v>467</v>
      </c>
      <c r="B122" s="590" t="s">
        <v>463</v>
      </c>
      <c r="C122" s="590"/>
      <c r="D122" s="467" t="s">
        <v>346</v>
      </c>
      <c r="E122" s="467" t="s">
        <v>346</v>
      </c>
      <c r="F122" s="479" t="s">
        <v>346</v>
      </c>
    </row>
    <row r="123" spans="1:6">
      <c r="A123" s="583" t="s">
        <v>468</v>
      </c>
      <c r="B123" s="590" t="s">
        <v>463</v>
      </c>
      <c r="C123" s="590"/>
      <c r="D123" s="467" t="s">
        <v>346</v>
      </c>
      <c r="E123" s="467" t="s">
        <v>346</v>
      </c>
      <c r="F123" s="479" t="s">
        <v>346</v>
      </c>
    </row>
    <row r="124" spans="1:6">
      <c r="A124" s="583" t="s">
        <v>469</v>
      </c>
      <c r="B124" s="590" t="s">
        <v>463</v>
      </c>
      <c r="C124" s="590"/>
      <c r="D124" s="467" t="s">
        <v>346</v>
      </c>
      <c r="E124" s="467" t="s">
        <v>346</v>
      </c>
      <c r="F124" s="479" t="s">
        <v>346</v>
      </c>
    </row>
    <row r="134" spans="1:4">
      <c r="A134" s="30" t="s">
        <v>508</v>
      </c>
      <c r="B134" s="30" t="s">
        <v>509</v>
      </c>
      <c r="C134" s="30" t="s">
        <v>510</v>
      </c>
      <c r="D134" s="30" t="s">
        <v>511</v>
      </c>
    </row>
    <row r="135" spans="1:4">
      <c r="A135" s="30" t="s">
        <v>512</v>
      </c>
      <c r="B135" s="30">
        <v>2.4</v>
      </c>
      <c r="C135" s="30">
        <v>2.4</v>
      </c>
      <c r="D135" s="30">
        <v>12.5</v>
      </c>
    </row>
    <row r="136" spans="1:4">
      <c r="A136" s="30" t="s">
        <v>513</v>
      </c>
      <c r="B136" s="30">
        <v>1400</v>
      </c>
      <c r="C136" s="30">
        <v>50</v>
      </c>
      <c r="D136" s="30">
        <v>1.5</v>
      </c>
    </row>
    <row r="137" spans="1:4">
      <c r="A137" s="30" t="s">
        <v>232</v>
      </c>
      <c r="B137" s="30">
        <v>1E+100</v>
      </c>
      <c r="C137" s="30">
        <v>492</v>
      </c>
      <c r="D137" s="30">
        <v>0.45</v>
      </c>
    </row>
    <row r="138" spans="1:4">
      <c r="A138" s="30" t="s">
        <v>514</v>
      </c>
      <c r="B138" s="30">
        <v>492</v>
      </c>
      <c r="C138" s="30">
        <v>15</v>
      </c>
      <c r="D138" s="30">
        <v>0.45</v>
      </c>
    </row>
    <row r="139" spans="1:4">
      <c r="A139" s="30" t="s">
        <v>515</v>
      </c>
      <c r="B139" s="30">
        <v>492</v>
      </c>
      <c r="C139" s="30">
        <v>36</v>
      </c>
      <c r="D139" s="30">
        <v>0.45</v>
      </c>
    </row>
    <row r="140" spans="1:4">
      <c r="A140" s="30" t="s">
        <v>516</v>
      </c>
      <c r="B140" s="30">
        <v>492</v>
      </c>
      <c r="C140" s="30">
        <v>90</v>
      </c>
      <c r="D140" s="30">
        <v>0.45</v>
      </c>
    </row>
    <row r="141" spans="1:4">
      <c r="A141" s="30" t="s">
        <v>488</v>
      </c>
      <c r="B141" s="30">
        <v>492</v>
      </c>
      <c r="C141" s="30">
        <v>24</v>
      </c>
      <c r="D141" s="30">
        <v>0.45</v>
      </c>
    </row>
    <row r="142" spans="1:4">
      <c r="A142" s="30" t="s">
        <v>517</v>
      </c>
      <c r="B142" s="30">
        <v>492</v>
      </c>
      <c r="C142" s="30">
        <v>8</v>
      </c>
      <c r="D142" s="30">
        <v>0.45</v>
      </c>
    </row>
    <row r="143" spans="1:4">
      <c r="A143" s="30" t="s">
        <v>518</v>
      </c>
      <c r="B143" s="30">
        <v>492</v>
      </c>
      <c r="C143" s="30">
        <v>50</v>
      </c>
      <c r="D143" s="30">
        <v>0.45</v>
      </c>
    </row>
    <row r="144" spans="1:4">
      <c r="A144" s="30" t="s">
        <v>519</v>
      </c>
      <c r="B144" s="30">
        <v>492</v>
      </c>
      <c r="C144" s="30">
        <v>20</v>
      </c>
      <c r="D144" s="30">
        <v>0.45</v>
      </c>
    </row>
    <row r="145" spans="1:4">
      <c r="A145" s="30" t="s">
        <v>489</v>
      </c>
      <c r="B145" s="30">
        <v>492</v>
      </c>
      <c r="C145" s="30">
        <v>492</v>
      </c>
      <c r="D145" s="30">
        <v>0.45</v>
      </c>
    </row>
    <row r="146" spans="1:4">
      <c r="A146" s="30" t="s">
        <v>520</v>
      </c>
      <c r="B146" s="30">
        <v>2800</v>
      </c>
      <c r="C146" s="30">
        <v>50</v>
      </c>
      <c r="D146" s="30">
        <v>1.5</v>
      </c>
    </row>
  </sheetData>
  <sheetProtection sheet="1" objects="1" scenarios="1" formatCells="0" formatColumns="0" formatRows="0" sort="0" autoFilter="0"/>
  <sortState xmlns:xlrd2="http://schemas.microsoft.com/office/spreadsheetml/2017/richdata2" ref="A135:F146">
    <sortCondition ref="A135:A146"/>
  </sortState>
  <mergeCells count="12">
    <mergeCell ref="A4:B4"/>
    <mergeCell ref="A7:A9"/>
    <mergeCell ref="B7:B9"/>
    <mergeCell ref="A15:A17"/>
    <mergeCell ref="B15:B17"/>
    <mergeCell ref="E11:E12"/>
    <mergeCell ref="B42:B44"/>
    <mergeCell ref="A42:A44"/>
    <mergeCell ref="A11:B11"/>
    <mergeCell ref="A12:B12"/>
    <mergeCell ref="B38:B40"/>
    <mergeCell ref="A38:A40"/>
  </mergeCells>
  <dataValidations count="1">
    <dataValidation type="list" allowBlank="1" showInputMessage="1" showErrorMessage="1" sqref="D21 F21" xr:uid="{DAC60287-66F6-4A5E-8B31-00D60E06F79C}">
      <formula1>$A$134:$A$146</formula1>
    </dataValidation>
  </dataValidation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815607-14D3-4744-8BF3-F2AAA2682A92}">
  <sheetPr codeName="Sheet14"/>
  <dimension ref="A1:BO129"/>
  <sheetViews>
    <sheetView zoomScaleNormal="100" workbookViewId="0">
      <pane xSplit="3" ySplit="3" topLeftCell="D4" activePane="bottomRight" state="frozen"/>
      <selection pane="topRight" activeCell="N16" sqref="N16:P17"/>
      <selection pane="bottomLeft" activeCell="N16" sqref="N16:P17"/>
      <selection pane="bottomRight"/>
    </sheetView>
  </sheetViews>
  <sheetFormatPr defaultRowHeight="14.5"/>
  <cols>
    <col min="1" max="1" width="22.453125" style="30" customWidth="1"/>
    <col min="2" max="2" width="9.26953125" style="30" bestFit="1" customWidth="1"/>
    <col min="3" max="3" width="17.7265625" style="30" customWidth="1"/>
    <col min="4" max="4" width="9.26953125" style="30" bestFit="1" customWidth="1"/>
    <col min="5" max="5" width="11" style="30" customWidth="1"/>
    <col min="6" max="6" width="10.7265625" style="30" customWidth="1"/>
    <col min="7" max="7" width="9.26953125" style="86" bestFit="1" customWidth="1"/>
    <col min="8" max="8" width="10" style="86" customWidth="1"/>
    <col min="9" max="9" width="10.26953125" style="86" customWidth="1"/>
    <col min="10" max="10" width="14.54296875" style="86" customWidth="1"/>
    <col min="11" max="11" width="11.7265625" style="86" customWidth="1"/>
    <col min="12" max="12" width="31" style="86" customWidth="1"/>
    <col min="13" max="15" width="9.26953125" style="30" customWidth="1"/>
    <col min="16" max="16" width="9.54296875" style="30" customWidth="1"/>
    <col min="17" max="17" width="10.54296875" style="30" customWidth="1"/>
    <col min="18" max="18" width="9.453125" style="30" customWidth="1"/>
    <col min="19" max="19" width="9.54296875" style="30" customWidth="1"/>
    <col min="20" max="22" width="9.26953125" style="30" customWidth="1"/>
    <col min="23" max="25" width="8.7265625" style="30" customWidth="1"/>
    <col min="26" max="26" width="9.7265625" style="30" customWidth="1"/>
    <col min="27" max="43" width="9.26953125" style="30" customWidth="1"/>
    <col min="44" max="44" width="10.7265625" style="30" customWidth="1"/>
    <col min="45" max="45" width="11" style="30" customWidth="1"/>
    <col min="46" max="49" width="9.26953125" style="30" customWidth="1"/>
    <col min="50" max="50" width="11.26953125" style="30" customWidth="1"/>
    <col min="51" max="53" width="9.26953125" style="30" customWidth="1"/>
    <col min="54" max="56" width="12.26953125" style="30" bestFit="1" customWidth="1"/>
    <col min="57" max="57" width="9.81640625" style="30" bestFit="1" customWidth="1"/>
    <col min="58" max="60" width="8.90625" style="30" bestFit="1" customWidth="1"/>
    <col min="61" max="64" width="9.81640625" style="30" bestFit="1" customWidth="1"/>
    <col min="65" max="67" width="8.90625" style="30" bestFit="1" customWidth="1"/>
    <col min="68" max="16384" width="8.7265625" style="30"/>
  </cols>
  <sheetData>
    <row r="1" spans="1:67" s="152" customFormat="1" ht="18.5">
      <c r="A1" s="597" t="s">
        <v>652</v>
      </c>
      <c r="C1" s="209"/>
      <c r="D1" s="598"/>
      <c r="AH1" s="152">
        <f t="shared" ref="AH1:AN1" si="0">AI1-1</f>
        <v>35</v>
      </c>
      <c r="AI1" s="152">
        <f t="shared" si="0"/>
        <v>36</v>
      </c>
      <c r="AJ1" s="152">
        <f t="shared" si="0"/>
        <v>37</v>
      </c>
      <c r="AK1" s="152">
        <f t="shared" si="0"/>
        <v>38</v>
      </c>
      <c r="AL1" s="152">
        <f t="shared" si="0"/>
        <v>39</v>
      </c>
      <c r="AM1" s="152">
        <f t="shared" si="0"/>
        <v>40</v>
      </c>
      <c r="AN1" s="152">
        <f t="shared" si="0"/>
        <v>41</v>
      </c>
      <c r="AO1" s="152">
        <v>42</v>
      </c>
      <c r="AP1" s="152">
        <v>43</v>
      </c>
      <c r="AQ1" s="152">
        <v>44</v>
      </c>
      <c r="AR1" s="152">
        <f>AQ1+1</f>
        <v>45</v>
      </c>
      <c r="AS1" s="152">
        <f>AR1+1</f>
        <v>46</v>
      </c>
      <c r="AT1" s="152">
        <f>AS1+1</f>
        <v>47</v>
      </c>
      <c r="AU1" s="152">
        <f>AT1+1</f>
        <v>48</v>
      </c>
      <c r="AV1" s="599"/>
      <c r="AW1" s="599"/>
      <c r="AX1" s="600"/>
    </row>
    <row r="2" spans="1:67" s="152" customFormat="1" ht="48" customHeight="1">
      <c r="A2" s="601" t="s">
        <v>653</v>
      </c>
      <c r="B2" s="602" t="s">
        <v>320</v>
      </c>
      <c r="C2" s="603" t="s">
        <v>654</v>
      </c>
      <c r="D2" s="604" t="s">
        <v>655</v>
      </c>
      <c r="E2" s="605"/>
      <c r="F2" s="606"/>
      <c r="G2" s="607" t="s">
        <v>656</v>
      </c>
      <c r="H2" s="605"/>
      <c r="I2" s="605"/>
      <c r="J2" s="605"/>
      <c r="K2" s="605"/>
      <c r="L2" s="606"/>
      <c r="M2" s="604" t="s">
        <v>657</v>
      </c>
      <c r="N2" s="603"/>
      <c r="O2" s="603"/>
      <c r="P2" s="603"/>
      <c r="Q2" s="603"/>
      <c r="R2" s="603"/>
      <c r="S2" s="608"/>
      <c r="T2" s="604" t="s">
        <v>658</v>
      </c>
      <c r="U2" s="603"/>
      <c r="V2" s="603"/>
      <c r="W2" s="603"/>
      <c r="X2" s="603"/>
      <c r="Y2" s="603"/>
      <c r="Z2" s="603"/>
      <c r="AA2" s="604" t="s">
        <v>659</v>
      </c>
      <c r="AB2" s="603"/>
      <c r="AC2" s="603"/>
      <c r="AD2" s="603"/>
      <c r="AE2" s="603"/>
      <c r="AF2" s="603"/>
      <c r="AG2" s="603"/>
      <c r="AH2" s="609" t="s">
        <v>660</v>
      </c>
      <c r="AI2" s="610"/>
      <c r="AJ2" s="610"/>
      <c r="AK2" s="610"/>
      <c r="AL2" s="610"/>
      <c r="AM2" s="610"/>
      <c r="AN2" s="611"/>
      <c r="AO2" s="610" t="s">
        <v>661</v>
      </c>
      <c r="AP2" s="610"/>
      <c r="AQ2" s="610"/>
      <c r="AR2" s="610"/>
      <c r="AS2" s="610"/>
      <c r="AT2" s="610"/>
      <c r="AU2" s="611"/>
      <c r="AV2" s="604" t="s">
        <v>662</v>
      </c>
      <c r="AW2" s="603"/>
      <c r="AX2" s="603"/>
      <c r="AY2" s="604" t="s">
        <v>663</v>
      </c>
      <c r="AZ2" s="603"/>
      <c r="BA2" s="612"/>
      <c r="BB2" s="609" t="s">
        <v>1460</v>
      </c>
      <c r="BC2" s="610"/>
      <c r="BD2" s="610"/>
      <c r="BE2" s="610"/>
      <c r="BF2" s="610"/>
      <c r="BG2" s="610"/>
      <c r="BH2" s="611"/>
      <c r="BI2" s="610" t="s">
        <v>1461</v>
      </c>
      <c r="BJ2" s="610"/>
      <c r="BK2" s="610"/>
      <c r="BL2" s="610"/>
      <c r="BM2" s="610"/>
      <c r="BN2" s="610"/>
      <c r="BO2" s="611"/>
    </row>
    <row r="3" spans="1:67" s="152" customFormat="1" ht="53.65" customHeight="1">
      <c r="A3" s="613"/>
      <c r="B3" s="614"/>
      <c r="C3" s="187"/>
      <c r="D3" s="615" t="s">
        <v>664</v>
      </c>
      <c r="E3" s="149" t="s">
        <v>665</v>
      </c>
      <c r="F3" s="616" t="s">
        <v>666</v>
      </c>
      <c r="G3" s="617" t="s">
        <v>667</v>
      </c>
      <c r="H3" s="418" t="s">
        <v>668</v>
      </c>
      <c r="I3" s="418" t="s">
        <v>669</v>
      </c>
      <c r="J3" s="149" t="s">
        <v>670</v>
      </c>
      <c r="K3" s="149" t="s">
        <v>671</v>
      </c>
      <c r="L3" s="616" t="s">
        <v>672</v>
      </c>
      <c r="M3" s="618" t="s">
        <v>673</v>
      </c>
      <c r="N3" s="619" t="s">
        <v>674</v>
      </c>
      <c r="O3" s="619" t="s">
        <v>675</v>
      </c>
      <c r="P3" s="619" t="s">
        <v>676</v>
      </c>
      <c r="Q3" s="619" t="s">
        <v>677</v>
      </c>
      <c r="R3" s="619" t="s">
        <v>678</v>
      </c>
      <c r="S3" s="620" t="s">
        <v>679</v>
      </c>
      <c r="T3" s="618" t="s">
        <v>673</v>
      </c>
      <c r="U3" s="619" t="s">
        <v>674</v>
      </c>
      <c r="V3" s="619" t="s">
        <v>675</v>
      </c>
      <c r="W3" s="619" t="s">
        <v>676</v>
      </c>
      <c r="X3" s="619" t="s">
        <v>677</v>
      </c>
      <c r="Y3" s="619" t="s">
        <v>678</v>
      </c>
      <c r="Z3" s="619" t="s">
        <v>679</v>
      </c>
      <c r="AA3" s="618" t="s">
        <v>673</v>
      </c>
      <c r="AB3" s="619" t="s">
        <v>674</v>
      </c>
      <c r="AC3" s="619" t="s">
        <v>675</v>
      </c>
      <c r="AD3" s="619" t="s">
        <v>676</v>
      </c>
      <c r="AE3" s="619" t="s">
        <v>677</v>
      </c>
      <c r="AF3" s="619" t="s">
        <v>678</v>
      </c>
      <c r="AG3" s="619" t="s">
        <v>679</v>
      </c>
      <c r="AH3" s="615" t="s">
        <v>673</v>
      </c>
      <c r="AI3" s="149" t="s">
        <v>674</v>
      </c>
      <c r="AJ3" s="149" t="s">
        <v>675</v>
      </c>
      <c r="AK3" s="149" t="s">
        <v>676</v>
      </c>
      <c r="AL3" s="149" t="s">
        <v>677</v>
      </c>
      <c r="AM3" s="149" t="s">
        <v>678</v>
      </c>
      <c r="AN3" s="616" t="s">
        <v>679</v>
      </c>
      <c r="AO3" s="149" t="s">
        <v>673</v>
      </c>
      <c r="AP3" s="149" t="s">
        <v>674</v>
      </c>
      <c r="AQ3" s="149" t="s">
        <v>675</v>
      </c>
      <c r="AR3" s="149" t="s">
        <v>676</v>
      </c>
      <c r="AS3" s="149" t="s">
        <v>677</v>
      </c>
      <c r="AT3" s="149" t="s">
        <v>678</v>
      </c>
      <c r="AU3" s="149" t="s">
        <v>679</v>
      </c>
      <c r="AV3" s="618" t="s">
        <v>680</v>
      </c>
      <c r="AW3" s="619" t="s">
        <v>681</v>
      </c>
      <c r="AX3" s="621" t="s">
        <v>682</v>
      </c>
      <c r="AY3" s="618" t="s">
        <v>680</v>
      </c>
      <c r="AZ3" s="619" t="s">
        <v>681</v>
      </c>
      <c r="BA3" s="622" t="s">
        <v>682</v>
      </c>
      <c r="BB3" s="615" t="s">
        <v>673</v>
      </c>
      <c r="BC3" s="149" t="s">
        <v>674</v>
      </c>
      <c r="BD3" s="149" t="s">
        <v>675</v>
      </c>
      <c r="BE3" s="149" t="s">
        <v>676</v>
      </c>
      <c r="BF3" s="149" t="s">
        <v>677</v>
      </c>
      <c r="BG3" s="149" t="s">
        <v>678</v>
      </c>
      <c r="BH3" s="616" t="s">
        <v>679</v>
      </c>
      <c r="BI3" s="149" t="s">
        <v>673</v>
      </c>
      <c r="BJ3" s="149" t="s">
        <v>674</v>
      </c>
      <c r="BK3" s="149" t="s">
        <v>675</v>
      </c>
      <c r="BL3" s="149" t="s">
        <v>676</v>
      </c>
      <c r="BM3" s="149" t="s">
        <v>677</v>
      </c>
      <c r="BN3" s="149" t="s">
        <v>678</v>
      </c>
      <c r="BO3" s="149" t="s">
        <v>679</v>
      </c>
    </row>
    <row r="4" spans="1:67" s="152" customFormat="1" ht="14.65" customHeight="1">
      <c r="A4" s="623" t="str">
        <f>'Compiled Articles'!D6</f>
        <v>Air Beds</v>
      </c>
      <c r="B4" s="402" t="s">
        <v>296</v>
      </c>
      <c r="C4" s="623" t="s">
        <v>197</v>
      </c>
      <c r="D4" s="615">
        <v>1</v>
      </c>
      <c r="E4" s="149">
        <v>1</v>
      </c>
      <c r="F4" s="149">
        <v>1</v>
      </c>
      <c r="G4" s="246">
        <f>'Compiled Articles'!D12</f>
        <v>857</v>
      </c>
      <c r="H4" s="246">
        <f>'Compiled Articles'!$D$11</f>
        <v>36</v>
      </c>
      <c r="I4" s="246">
        <v>1</v>
      </c>
      <c r="J4" s="624">
        <f t="shared" ref="J4:J6" si="1">$B$71</f>
        <v>6.9999999999999994E-5</v>
      </c>
      <c r="K4" s="625">
        <f>J4*G4/60</f>
        <v>9.9983333333333326E-4</v>
      </c>
      <c r="L4" s="626" t="s">
        <v>686</v>
      </c>
      <c r="M4" s="627">
        <f>(INDEX('Dermal Calcs'!$B$61:$H$67, MATCH($L4,'Dermal Calcs'!$A$61:$A$67, 0), MATCH(M$3, 'Dermal Calcs'!$B$60:$H$60, 0)))*$K4*$D4</f>
        <v>1.5750726949217746E-2</v>
      </c>
      <c r="N4" s="628">
        <f>(INDEX('Dermal Calcs'!$B$61:$H$67, MATCH($L4,'Dermal Calcs'!$A$61:$A$67, 0), MATCH(N$3, 'Dermal Calcs'!$B$60:$H$60, 0)))*$K4*$E4</f>
        <v>1.4906733007448788E-2</v>
      </c>
      <c r="O4" s="629">
        <f>(INDEX('Dermal Calcs'!$B$61:$H$67, MATCH($L4,'Dermal Calcs'!$A$61:$A$67, 0), MATCH(O$3, 'Dermal Calcs'!$B$60:$H$60, 0)))*$K4*E4</f>
        <v>1.6370510563380281E-2</v>
      </c>
      <c r="P4" s="630">
        <f>(INDEX('Dermal Calcs'!$B$61:$H$67, MATCH($L4,'Dermal Calcs'!$A$61:$A$67, 0), MATCH(P$3, 'Dermal Calcs'!$B$60:$H$60, 0)))*$K4*$F4</f>
        <v>2.1065670859538782E-2</v>
      </c>
      <c r="Q4" s="630">
        <f>(INDEX('Dermal Calcs'!$B$61:$H$67, MATCH($L4,'Dermal Calcs'!$A$61:$A$67, 0), MATCH(Q$3, 'Dermal Calcs'!$B$60:$H$60, 0)))*$K4*$F4</f>
        <v>2.7414784946236555E-2</v>
      </c>
      <c r="R4" s="630">
        <f>(INDEX('Dermal Calcs'!$B$61:$H$67, MATCH($L4,'Dermal Calcs'!$A$61:$A$67, 0), MATCH(R$3, 'Dermal Calcs'!$B$60:$H$60, 0)))*$K4*$F4</f>
        <v>3.5014004629629621E-2</v>
      </c>
      <c r="S4" s="631">
        <f>(INDEX('Dermal Calcs'!$B$61:$H$67, MATCH($L4,'Dermal Calcs'!$A$61:$A$67, 0), MATCH(S$3, 'Dermal Calcs'!$B$60:$H$60, 0)))*$K4*$F4</f>
        <v>8.1927832446808499E-2</v>
      </c>
      <c r="T4" s="627">
        <f t="shared" ref="T4:Z35" si="2">M4*$H4</f>
        <v>0.56702617017183887</v>
      </c>
      <c r="U4" s="628">
        <f t="shared" si="2"/>
        <v>0.53664238826815636</v>
      </c>
      <c r="V4" s="628">
        <f t="shared" si="2"/>
        <v>0.58933838028169017</v>
      </c>
      <c r="W4" s="632">
        <f t="shared" si="2"/>
        <v>0.75836415094339615</v>
      </c>
      <c r="X4" s="632">
        <f t="shared" si="2"/>
        <v>0.98693225806451601</v>
      </c>
      <c r="Y4" s="632">
        <f t="shared" si="2"/>
        <v>1.2605041666666663</v>
      </c>
      <c r="Z4" s="632">
        <f t="shared" si="2"/>
        <v>2.9494019680851058</v>
      </c>
      <c r="AA4" s="627">
        <f t="shared" ref="AA4:AG35" si="3">M4*$I4</f>
        <v>1.5750726949217746E-2</v>
      </c>
      <c r="AB4" s="628">
        <f t="shared" si="3"/>
        <v>1.4906733007448788E-2</v>
      </c>
      <c r="AC4" s="628">
        <f t="shared" si="3"/>
        <v>1.6370510563380281E-2</v>
      </c>
      <c r="AD4" s="632">
        <f t="shared" si="3"/>
        <v>2.1065670859538782E-2</v>
      </c>
      <c r="AE4" s="632">
        <f t="shared" si="3"/>
        <v>2.7414784946236555E-2</v>
      </c>
      <c r="AF4" s="632">
        <f t="shared" si="3"/>
        <v>3.5014004629629621E-2</v>
      </c>
      <c r="AG4" s="632">
        <f t="shared" si="3"/>
        <v>8.1927832446808499E-2</v>
      </c>
      <c r="AH4" s="633">
        <f t="shared" ref="AH4:AN21" si="4">(T4*1000)/365</f>
        <v>1.5534963566351749</v>
      </c>
      <c r="AI4" s="634">
        <f t="shared" si="4"/>
        <v>1.470253118542894</v>
      </c>
      <c r="AJ4" s="634">
        <f t="shared" si="4"/>
        <v>1.614625699401891</v>
      </c>
      <c r="AK4" s="634">
        <f t="shared" si="4"/>
        <v>2.0777100025846469</v>
      </c>
      <c r="AL4" s="634">
        <f t="shared" si="4"/>
        <v>2.7039239946973042</v>
      </c>
      <c r="AM4" s="634">
        <f t="shared" si="4"/>
        <v>3.4534360730593598</v>
      </c>
      <c r="AN4" s="635">
        <f t="shared" si="4"/>
        <v>8.0805533372194667</v>
      </c>
      <c r="AO4" s="634">
        <f t="shared" ref="AO4:AU21" si="5">AA4*1000</f>
        <v>15.750726949217746</v>
      </c>
      <c r="AP4" s="634">
        <f t="shared" si="5"/>
        <v>14.906733007448787</v>
      </c>
      <c r="AQ4" s="634">
        <f t="shared" si="5"/>
        <v>16.370510563380282</v>
      </c>
      <c r="AR4" s="634">
        <f t="shared" si="5"/>
        <v>21.06567085953878</v>
      </c>
      <c r="AS4" s="634">
        <f t="shared" si="5"/>
        <v>27.414784946236555</v>
      </c>
      <c r="AT4" s="634">
        <f t="shared" si="5"/>
        <v>35.014004629629618</v>
      </c>
      <c r="AU4" s="635">
        <f t="shared" si="5"/>
        <v>81.927832446808495</v>
      </c>
      <c r="AV4" s="627">
        <f t="shared" ref="AV4:AV21" si="6">(T4*1000)/365</f>
        <v>1.5534963566351749</v>
      </c>
      <c r="AW4" s="628">
        <f t="shared" ref="AW4:AW54" si="7">(AVERAGE(U4:V4)*1000)/365</f>
        <v>1.5424394089723927</v>
      </c>
      <c r="AX4" s="632">
        <f t="shared" ref="AX4:AX54" si="8">(AVERAGE(W4:Z4)*1000)/365</f>
        <v>4.0789058518901946</v>
      </c>
      <c r="AY4" s="627">
        <f t="shared" ref="AY4:AY54" si="9">AA4*1000</f>
        <v>15.750726949217746</v>
      </c>
      <c r="AZ4" s="628">
        <f t="shared" ref="AZ4:AZ54" si="10">AVERAGE(AB4:AC4)*1000</f>
        <v>15.638621785414534</v>
      </c>
      <c r="BA4" s="632">
        <f t="shared" ref="BA4:BA54" si="11">AVERAGE(AD4:AG4)*1000</f>
        <v>41.35557322055336</v>
      </c>
      <c r="BB4" s="636">
        <f>5700/AH4</f>
        <v>3669.142818169219</v>
      </c>
      <c r="BC4" s="636">
        <f t="shared" ref="BC4:BO19" si="12">5700/AI4</f>
        <v>3876.8834618416113</v>
      </c>
      <c r="BD4" s="636">
        <f t="shared" si="12"/>
        <v>3530.2299487190512</v>
      </c>
      <c r="BE4" s="636">
        <f t="shared" si="12"/>
        <v>2743.4049953599238</v>
      </c>
      <c r="BF4" s="636">
        <f t="shared" si="12"/>
        <v>2108.0474196679843</v>
      </c>
      <c r="BG4" s="636">
        <f t="shared" si="12"/>
        <v>1650.5300458480572</v>
      </c>
      <c r="BH4" s="636">
        <f t="shared" si="12"/>
        <v>705.39723730867422</v>
      </c>
      <c r="BI4" s="636">
        <f t="shared" si="12"/>
        <v>361.88805877833391</v>
      </c>
      <c r="BJ4" s="636">
        <f t="shared" si="12"/>
        <v>382.3775469213644</v>
      </c>
      <c r="BK4" s="636">
        <f t="shared" si="12"/>
        <v>348.18706343530374</v>
      </c>
      <c r="BL4" s="636">
        <f t="shared" si="12"/>
        <v>270.58241050125275</v>
      </c>
      <c r="BM4" s="636">
        <f t="shared" si="12"/>
        <v>207.9170057754724</v>
      </c>
      <c r="BN4" s="636">
        <f t="shared" si="12"/>
        <v>162.79200452200018</v>
      </c>
      <c r="BO4" s="636">
        <f t="shared" si="12"/>
        <v>69.573426145513068</v>
      </c>
    </row>
    <row r="5" spans="1:67" s="152" customFormat="1" ht="14.65" customHeight="1">
      <c r="A5" s="637"/>
      <c r="B5" s="402" t="s">
        <v>297</v>
      </c>
      <c r="C5" s="637"/>
      <c r="D5" s="615">
        <v>1</v>
      </c>
      <c r="E5" s="149">
        <v>1</v>
      </c>
      <c r="F5" s="149">
        <v>1</v>
      </c>
      <c r="G5" s="246">
        <f>'Compiled Articles'!D13</f>
        <v>480</v>
      </c>
      <c r="H5" s="246">
        <f>'Compiled Articles'!$D$11</f>
        <v>36</v>
      </c>
      <c r="I5" s="246">
        <v>1</v>
      </c>
      <c r="J5" s="624">
        <f t="shared" si="1"/>
        <v>6.9999999999999994E-5</v>
      </c>
      <c r="K5" s="625">
        <f t="shared" ref="K5:K6" si="13">J5*G5/60</f>
        <v>5.5999999999999995E-4</v>
      </c>
      <c r="L5" s="638" t="s">
        <v>686</v>
      </c>
      <c r="M5" s="627">
        <f>(INDEX('Dermal Calcs'!$B$61:$H$67, MATCH($L5,'Dermal Calcs'!$A$61:$A$67, 0), MATCH(M$3, 'Dermal Calcs'!$B$60:$H$60, 0)))*$K5*$D5</f>
        <v>8.8218774044626809E-3</v>
      </c>
      <c r="N5" s="628">
        <f>(INDEX('Dermal Calcs'!$B$61:$H$67, MATCH($L5,'Dermal Calcs'!$A$61:$A$67, 0), MATCH(N$3, 'Dermal Calcs'!$B$60:$H$60, 0)))*$K5*$E5</f>
        <v>8.3491620111731842E-3</v>
      </c>
      <c r="O5" s="629">
        <f>(INDEX('Dermal Calcs'!$B$61:$H$67, MATCH($L5,'Dermal Calcs'!$A$61:$A$67, 0), MATCH(O$3, 'Dermal Calcs'!$B$60:$H$60, 0)))*$K5*E5</f>
        <v>9.1690140845070416E-3</v>
      </c>
      <c r="P5" s="630">
        <f>(INDEX('Dermal Calcs'!$B$61:$H$67, MATCH($L5,'Dermal Calcs'!$A$61:$A$67, 0), MATCH(P$3, 'Dermal Calcs'!$B$60:$H$60, 0)))*$K5*$F5</f>
        <v>1.1798742138364779E-2</v>
      </c>
      <c r="Q5" s="630">
        <f>(INDEX('Dermal Calcs'!$B$61:$H$67, MATCH($L5,'Dermal Calcs'!$A$61:$A$67, 0), MATCH(Q$3, 'Dermal Calcs'!$B$60:$H$60, 0)))*$K5*$F5</f>
        <v>1.5354838709677417E-2</v>
      </c>
      <c r="R5" s="630">
        <f>(INDEX('Dermal Calcs'!$B$61:$H$67, MATCH($L5,'Dermal Calcs'!$A$61:$A$67, 0), MATCH(R$3, 'Dermal Calcs'!$B$60:$H$60, 0)))*$K5*$F5</f>
        <v>1.9611111111111107E-2</v>
      </c>
      <c r="S5" s="631">
        <f>(INDEX('Dermal Calcs'!$B$61:$H$67, MATCH($L5,'Dermal Calcs'!$A$61:$A$67, 0), MATCH(S$3, 'Dermal Calcs'!$B$60:$H$60, 0)))*$K5*$F5</f>
        <v>4.5887234042553189E-2</v>
      </c>
      <c r="T5" s="639">
        <f t="shared" si="2"/>
        <v>0.3175875865606565</v>
      </c>
      <c r="U5" s="640">
        <f t="shared" si="2"/>
        <v>0.30056983240223462</v>
      </c>
      <c r="V5" s="640">
        <f t="shared" si="2"/>
        <v>0.33008450704225351</v>
      </c>
      <c r="W5" s="641">
        <f t="shared" si="2"/>
        <v>0.42475471698113204</v>
      </c>
      <c r="X5" s="641">
        <f t="shared" si="2"/>
        <v>0.55277419354838697</v>
      </c>
      <c r="Y5" s="641">
        <f t="shared" si="2"/>
        <v>0.70599999999999985</v>
      </c>
      <c r="Z5" s="641">
        <f t="shared" si="2"/>
        <v>1.6519404255319148</v>
      </c>
      <c r="AA5" s="639">
        <f t="shared" si="3"/>
        <v>8.8218774044626809E-3</v>
      </c>
      <c r="AB5" s="640">
        <f t="shared" si="3"/>
        <v>8.3491620111731842E-3</v>
      </c>
      <c r="AC5" s="640">
        <f t="shared" si="3"/>
        <v>9.1690140845070416E-3</v>
      </c>
      <c r="AD5" s="641">
        <f t="shared" si="3"/>
        <v>1.1798742138364779E-2</v>
      </c>
      <c r="AE5" s="641">
        <f t="shared" si="3"/>
        <v>1.5354838709677417E-2</v>
      </c>
      <c r="AF5" s="641">
        <f t="shared" si="3"/>
        <v>1.9611111111111107E-2</v>
      </c>
      <c r="AG5" s="641">
        <f t="shared" si="3"/>
        <v>4.5887234042553189E-2</v>
      </c>
      <c r="AH5" s="633">
        <f t="shared" si="4"/>
        <v>0.87010297687851101</v>
      </c>
      <c r="AI5" s="634">
        <f t="shared" si="4"/>
        <v>0.82347899288283455</v>
      </c>
      <c r="AJ5" s="634">
        <f t="shared" si="4"/>
        <v>0.90434111518425619</v>
      </c>
      <c r="AK5" s="634">
        <f t="shared" si="4"/>
        <v>1.1637115533729645</v>
      </c>
      <c r="AL5" s="634">
        <f t="shared" si="4"/>
        <v>1.5144498453380464</v>
      </c>
      <c r="AM5" s="634">
        <f t="shared" si="4"/>
        <v>1.9342465753424654</v>
      </c>
      <c r="AN5" s="635">
        <f t="shared" si="4"/>
        <v>4.5258641795394929</v>
      </c>
      <c r="AO5" s="634">
        <f t="shared" si="5"/>
        <v>8.8218774044626809</v>
      </c>
      <c r="AP5" s="634">
        <f t="shared" si="5"/>
        <v>8.3491620111731848</v>
      </c>
      <c r="AQ5" s="634">
        <f t="shared" si="5"/>
        <v>9.169014084507042</v>
      </c>
      <c r="AR5" s="634">
        <f t="shared" si="5"/>
        <v>11.798742138364778</v>
      </c>
      <c r="AS5" s="634">
        <f t="shared" si="5"/>
        <v>15.354838709677416</v>
      </c>
      <c r="AT5" s="634">
        <f t="shared" si="5"/>
        <v>19.611111111111107</v>
      </c>
      <c r="AU5" s="635">
        <f t="shared" si="5"/>
        <v>45.887234042553189</v>
      </c>
      <c r="AV5" s="639">
        <f t="shared" si="6"/>
        <v>0.87010297687851101</v>
      </c>
      <c r="AW5" s="640">
        <f t="shared" si="7"/>
        <v>0.86391005403354526</v>
      </c>
      <c r="AX5" s="641">
        <f t="shared" si="8"/>
        <v>2.2845680383982421</v>
      </c>
      <c r="AY5" s="639">
        <f t="shared" si="9"/>
        <v>8.8218774044626809</v>
      </c>
      <c r="AZ5" s="640">
        <f t="shared" si="10"/>
        <v>8.7590880478401125</v>
      </c>
      <c r="BA5" s="641">
        <f t="shared" si="11"/>
        <v>23.162981500426621</v>
      </c>
      <c r="BB5" s="636">
        <f t="shared" ref="BB5:BH54" si="14">5700/AH5</f>
        <v>6550.9487399396266</v>
      </c>
      <c r="BC5" s="636">
        <f t="shared" si="12"/>
        <v>6921.8523474963758</v>
      </c>
      <c r="BD5" s="636">
        <f t="shared" si="12"/>
        <v>6302.9313876088072</v>
      </c>
      <c r="BE5" s="636">
        <f t="shared" si="12"/>
        <v>4898.1210021321967</v>
      </c>
      <c r="BF5" s="636">
        <f t="shared" si="12"/>
        <v>3763.7429971988809</v>
      </c>
      <c r="BG5" s="636">
        <f t="shared" si="12"/>
        <v>2946.8838526912186</v>
      </c>
      <c r="BH5" s="636">
        <f t="shared" si="12"/>
        <v>1259.4279841115283</v>
      </c>
      <c r="BI5" s="636">
        <f t="shared" si="12"/>
        <v>646.12097161048371</v>
      </c>
      <c r="BJ5" s="636">
        <f t="shared" si="12"/>
        <v>682.70324523251918</v>
      </c>
      <c r="BK5" s="636">
        <f t="shared" si="12"/>
        <v>621.65898617511527</v>
      </c>
      <c r="BL5" s="636">
        <f t="shared" si="12"/>
        <v>483.1023454157783</v>
      </c>
      <c r="BM5" s="636">
        <f t="shared" si="12"/>
        <v>371.21848739495806</v>
      </c>
      <c r="BN5" s="636">
        <f t="shared" si="12"/>
        <v>290.65155807365443</v>
      </c>
      <c r="BO5" s="636">
        <f t="shared" si="12"/>
        <v>124.21755459730144</v>
      </c>
    </row>
    <row r="6" spans="1:67" s="648" customFormat="1" ht="14.65" customHeight="1">
      <c r="A6" s="642"/>
      <c r="B6" s="643" t="s">
        <v>298</v>
      </c>
      <c r="C6" s="642"/>
      <c r="D6" s="618">
        <v>1</v>
      </c>
      <c r="E6" s="619">
        <v>1</v>
      </c>
      <c r="F6" s="619">
        <v>1</v>
      </c>
      <c r="G6" s="246">
        <f>'Compiled Articles'!D14</f>
        <v>120</v>
      </c>
      <c r="H6" s="246">
        <f>'Compiled Articles'!$D$11</f>
        <v>36</v>
      </c>
      <c r="I6" s="246">
        <v>1</v>
      </c>
      <c r="J6" s="624">
        <f t="shared" si="1"/>
        <v>6.9999999999999994E-5</v>
      </c>
      <c r="K6" s="625">
        <f t="shared" si="13"/>
        <v>1.3999999999999999E-4</v>
      </c>
      <c r="L6" s="644" t="s">
        <v>686</v>
      </c>
      <c r="M6" s="627">
        <f>(INDEX('Dermal Calcs'!$B$61:$H$67, MATCH($L6,'Dermal Calcs'!$A$61:$A$67, 0), MATCH(M$3, 'Dermal Calcs'!$B$60:$H$60, 0)))*$K6*$D6</f>
        <v>2.2054693511156702E-3</v>
      </c>
      <c r="N6" s="628">
        <f>(INDEX('Dermal Calcs'!$B$61:$H$67, MATCH($L6,'Dermal Calcs'!$A$61:$A$67, 0), MATCH(N$3, 'Dermal Calcs'!$B$60:$H$60, 0)))*$K6*$E6</f>
        <v>2.087290502793296E-3</v>
      </c>
      <c r="O6" s="629">
        <f>(INDEX('Dermal Calcs'!$B$61:$H$67, MATCH($L6,'Dermal Calcs'!$A$61:$A$67, 0), MATCH(O$3, 'Dermal Calcs'!$B$60:$H$60, 0)))*$K6*E6</f>
        <v>2.2922535211267604E-3</v>
      </c>
      <c r="P6" s="630">
        <f>(INDEX('Dermal Calcs'!$B$61:$H$67, MATCH($L6,'Dermal Calcs'!$A$61:$A$67, 0), MATCH(P$3, 'Dermal Calcs'!$B$60:$H$60, 0)))*$K6*$F6</f>
        <v>2.9496855345911947E-3</v>
      </c>
      <c r="Q6" s="630">
        <f>(INDEX('Dermal Calcs'!$B$61:$H$67, MATCH($L6,'Dermal Calcs'!$A$61:$A$67, 0), MATCH(Q$3, 'Dermal Calcs'!$B$60:$H$60, 0)))*$K6*$F6</f>
        <v>3.8387096774193542E-3</v>
      </c>
      <c r="R6" s="630">
        <f>(INDEX('Dermal Calcs'!$B$61:$H$67, MATCH($L6,'Dermal Calcs'!$A$61:$A$67, 0), MATCH(R$3, 'Dermal Calcs'!$B$60:$H$60, 0)))*$K6*$F6</f>
        <v>4.9027777777777767E-3</v>
      </c>
      <c r="S6" s="631">
        <f>(INDEX('Dermal Calcs'!$B$61:$H$67, MATCH($L6,'Dermal Calcs'!$A$61:$A$67, 0), MATCH(S$3, 'Dermal Calcs'!$B$60:$H$60, 0)))*$K6*$F6</f>
        <v>1.1471808510638297E-2</v>
      </c>
      <c r="T6" s="645">
        <f t="shared" si="2"/>
        <v>7.9396896640164125E-2</v>
      </c>
      <c r="U6" s="646">
        <f t="shared" si="2"/>
        <v>7.5142458100558654E-2</v>
      </c>
      <c r="V6" s="646">
        <f t="shared" si="2"/>
        <v>8.2521126760563376E-2</v>
      </c>
      <c r="W6" s="647">
        <f t="shared" si="2"/>
        <v>0.10618867924528301</v>
      </c>
      <c r="X6" s="647">
        <f t="shared" si="2"/>
        <v>0.13819354838709674</v>
      </c>
      <c r="Y6" s="647">
        <f t="shared" si="2"/>
        <v>0.17649999999999996</v>
      </c>
      <c r="Z6" s="647">
        <f t="shared" si="2"/>
        <v>0.4129851063829787</v>
      </c>
      <c r="AA6" s="645">
        <f t="shared" si="3"/>
        <v>2.2054693511156702E-3</v>
      </c>
      <c r="AB6" s="646">
        <f t="shared" si="3"/>
        <v>2.087290502793296E-3</v>
      </c>
      <c r="AC6" s="646">
        <f t="shared" si="3"/>
        <v>2.2922535211267604E-3</v>
      </c>
      <c r="AD6" s="647">
        <f t="shared" si="3"/>
        <v>2.9496855345911947E-3</v>
      </c>
      <c r="AE6" s="647">
        <f t="shared" si="3"/>
        <v>3.8387096774193542E-3</v>
      </c>
      <c r="AF6" s="647">
        <f t="shared" si="3"/>
        <v>4.9027777777777767E-3</v>
      </c>
      <c r="AG6" s="647">
        <f t="shared" si="3"/>
        <v>1.1471808510638297E-2</v>
      </c>
      <c r="AH6" s="633">
        <f t="shared" si="4"/>
        <v>0.21752574421962775</v>
      </c>
      <c r="AI6" s="634">
        <f t="shared" si="4"/>
        <v>0.20586974822070864</v>
      </c>
      <c r="AJ6" s="634">
        <f t="shared" si="4"/>
        <v>0.22608527879606405</v>
      </c>
      <c r="AK6" s="634">
        <f t="shared" si="4"/>
        <v>0.29092788834324113</v>
      </c>
      <c r="AL6" s="634">
        <f t="shared" si="4"/>
        <v>0.3786124613345116</v>
      </c>
      <c r="AM6" s="634">
        <f t="shared" si="4"/>
        <v>0.48356164383561634</v>
      </c>
      <c r="AN6" s="635">
        <f t="shared" si="4"/>
        <v>1.1314660448848732</v>
      </c>
      <c r="AO6" s="634">
        <f t="shared" si="5"/>
        <v>2.2054693511156702</v>
      </c>
      <c r="AP6" s="634">
        <f t="shared" si="5"/>
        <v>2.0872905027932962</v>
      </c>
      <c r="AQ6" s="634">
        <f t="shared" si="5"/>
        <v>2.2922535211267605</v>
      </c>
      <c r="AR6" s="634">
        <f t="shared" si="5"/>
        <v>2.9496855345911945</v>
      </c>
      <c r="AS6" s="634">
        <f t="shared" si="5"/>
        <v>3.8387096774193541</v>
      </c>
      <c r="AT6" s="634">
        <f t="shared" si="5"/>
        <v>4.9027777777777768</v>
      </c>
      <c r="AU6" s="635">
        <f t="shared" si="5"/>
        <v>11.471808510638297</v>
      </c>
      <c r="AV6" s="645">
        <f t="shared" si="6"/>
        <v>0.21752574421962775</v>
      </c>
      <c r="AW6" s="646">
        <f t="shared" si="7"/>
        <v>0.21597751350838632</v>
      </c>
      <c r="AX6" s="647">
        <f t="shared" si="8"/>
        <v>0.57114200959956052</v>
      </c>
      <c r="AY6" s="645">
        <f t="shared" si="9"/>
        <v>2.2054693511156702</v>
      </c>
      <c r="AZ6" s="646">
        <f t="shared" si="10"/>
        <v>2.1897720119600281</v>
      </c>
      <c r="BA6" s="647">
        <f t="shared" si="11"/>
        <v>5.7907453751066553</v>
      </c>
      <c r="BB6" s="636">
        <f t="shared" si="14"/>
        <v>26203.794959758507</v>
      </c>
      <c r="BC6" s="636">
        <f t="shared" si="12"/>
        <v>27687.409389985503</v>
      </c>
      <c r="BD6" s="636">
        <f t="shared" si="12"/>
        <v>25211.725550435229</v>
      </c>
      <c r="BE6" s="636">
        <f t="shared" si="12"/>
        <v>19592.484008528787</v>
      </c>
      <c r="BF6" s="636">
        <f t="shared" si="12"/>
        <v>15054.971988795523</v>
      </c>
      <c r="BG6" s="636">
        <f t="shared" si="12"/>
        <v>11787.535410764875</v>
      </c>
      <c r="BH6" s="636">
        <f t="shared" si="12"/>
        <v>5037.7119364461132</v>
      </c>
      <c r="BI6" s="636">
        <f t="shared" si="12"/>
        <v>2584.4838864419348</v>
      </c>
      <c r="BJ6" s="636">
        <f t="shared" si="12"/>
        <v>2730.8129809300767</v>
      </c>
      <c r="BK6" s="636">
        <f t="shared" si="12"/>
        <v>2486.6359447004611</v>
      </c>
      <c r="BL6" s="636">
        <f t="shared" si="12"/>
        <v>1932.4093816631132</v>
      </c>
      <c r="BM6" s="636">
        <f t="shared" si="12"/>
        <v>1484.8739495798322</v>
      </c>
      <c r="BN6" s="636">
        <f t="shared" si="12"/>
        <v>1162.6062322946177</v>
      </c>
      <c r="BO6" s="636">
        <f t="shared" si="12"/>
        <v>496.87021838920577</v>
      </c>
    </row>
    <row r="7" spans="1:67" s="152" customFormat="1" ht="14.65" customHeight="1">
      <c r="A7" s="623" t="str">
        <f>'Compiled Articles'!E6</f>
        <v>Car Mats</v>
      </c>
      <c r="B7" s="402" t="s">
        <v>296</v>
      </c>
      <c r="C7" s="623" t="s">
        <v>198</v>
      </c>
      <c r="D7" s="615">
        <v>1</v>
      </c>
      <c r="E7" s="149">
        <v>1</v>
      </c>
      <c r="F7" s="149">
        <v>0</v>
      </c>
      <c r="G7" s="246">
        <f>'Compiled Articles'!E12</f>
        <v>60</v>
      </c>
      <c r="H7" s="246">
        <f>'Compiled Articles'!$E$11</f>
        <v>52</v>
      </c>
      <c r="I7" s="246">
        <v>1</v>
      </c>
      <c r="J7" s="624">
        <f t="shared" ref="J7:J45" si="15">$B$71</f>
        <v>6.9999999999999994E-5</v>
      </c>
      <c r="K7" s="625">
        <f>J7*G7/60</f>
        <v>6.9999999999999994E-5</v>
      </c>
      <c r="L7" s="626" t="s">
        <v>684</v>
      </c>
      <c r="M7" s="627">
        <f>(INDEX('Dermal Calcs'!$B$61:$H$67, MATCH($L7,'Dermal Calcs'!$A$61:$A$67, 0), MATCH(M$3, 'Dermal Calcs'!$B$60:$H$60, 0)))*$K7*$D7</f>
        <v>8.6714542190305223E-5</v>
      </c>
      <c r="N7" s="628">
        <f>(INDEX('Dermal Calcs'!$B$61:$H$67, MATCH($L7,'Dermal Calcs'!$A$61:$A$67, 0), MATCH(N$3, 'Dermal Calcs'!$B$60:$H$60, 0)))*$K7*$E7</f>
        <v>8.1145251396648056E-5</v>
      </c>
      <c r="O7" s="628">
        <f>(INDEX('Dermal Calcs'!$B$61:$H$67, MATCH($L7,'Dermal Calcs'!$A$61:$A$67, 0), MATCH(O$3, 'Dermal Calcs'!$B$60:$H$60, 0)))*$K7*$E7</f>
        <v>8.8732394366197186E-5</v>
      </c>
      <c r="P7" s="630">
        <f>(INDEX('Dermal Calcs'!$B$61:$H$67, MATCH($L7,'Dermal Calcs'!$A$61:$A$67, 0), MATCH(P$3, 'Dermal Calcs'!$B$60:$H$60, 0)))*$K7*$F7</f>
        <v>0</v>
      </c>
      <c r="Q7" s="630">
        <f>(INDEX('Dermal Calcs'!$B$61:$H$67, MATCH($L7,'Dermal Calcs'!$A$61:$A$67, 0), MATCH(Q$3, 'Dermal Calcs'!$B$60:$H$60, 0)))*$K7*$F7</f>
        <v>0</v>
      </c>
      <c r="R7" s="630">
        <f>(INDEX('Dermal Calcs'!$B$61:$H$67, MATCH($L7,'Dermal Calcs'!$A$61:$A$67, 0), MATCH(R$3, 'Dermal Calcs'!$B$60:$H$60, 0)))*$K7*$F7</f>
        <v>0</v>
      </c>
      <c r="S7" s="631">
        <f>(INDEX('Dermal Calcs'!$B$61:$H$67, MATCH($L7,'Dermal Calcs'!$A$61:$A$67, 0), MATCH(S$3, 'Dermal Calcs'!$B$60:$H$60, 0)))*$K7*$F7</f>
        <v>0</v>
      </c>
      <c r="T7" s="627">
        <f t="shared" si="2"/>
        <v>4.5091561938958719E-3</v>
      </c>
      <c r="U7" s="628">
        <f t="shared" si="2"/>
        <v>4.2195530726256989E-3</v>
      </c>
      <c r="V7" s="628">
        <f t="shared" si="2"/>
        <v>4.6140845070422537E-3</v>
      </c>
      <c r="W7" s="632">
        <f t="shared" si="2"/>
        <v>0</v>
      </c>
      <c r="X7" s="632">
        <f t="shared" si="2"/>
        <v>0</v>
      </c>
      <c r="Y7" s="632">
        <f t="shared" si="2"/>
        <v>0</v>
      </c>
      <c r="Z7" s="632">
        <f t="shared" si="2"/>
        <v>0</v>
      </c>
      <c r="AA7" s="627">
        <f t="shared" si="3"/>
        <v>8.6714542190305223E-5</v>
      </c>
      <c r="AB7" s="628">
        <f t="shared" si="3"/>
        <v>8.1145251396648056E-5</v>
      </c>
      <c r="AC7" s="628">
        <f t="shared" si="3"/>
        <v>8.8732394366197186E-5</v>
      </c>
      <c r="AD7" s="632">
        <f t="shared" si="3"/>
        <v>0</v>
      </c>
      <c r="AE7" s="632">
        <f t="shared" si="3"/>
        <v>0</v>
      </c>
      <c r="AF7" s="632">
        <f t="shared" si="3"/>
        <v>0</v>
      </c>
      <c r="AG7" s="632">
        <f t="shared" si="3"/>
        <v>0</v>
      </c>
      <c r="AH7" s="633">
        <f t="shared" si="4"/>
        <v>1.2353852586016087E-2</v>
      </c>
      <c r="AI7" s="634">
        <f t="shared" si="4"/>
        <v>1.1560419377056709E-2</v>
      </c>
      <c r="AJ7" s="634">
        <f t="shared" si="4"/>
        <v>1.264132741655412E-2</v>
      </c>
      <c r="AK7" s="634">
        <f t="shared" si="4"/>
        <v>0</v>
      </c>
      <c r="AL7" s="634">
        <f t="shared" si="4"/>
        <v>0</v>
      </c>
      <c r="AM7" s="634">
        <f t="shared" si="4"/>
        <v>0</v>
      </c>
      <c r="AN7" s="635">
        <f t="shared" si="4"/>
        <v>0</v>
      </c>
      <c r="AO7" s="634">
        <f t="shared" si="5"/>
        <v>8.6714542190305222E-2</v>
      </c>
      <c r="AP7" s="634">
        <f t="shared" si="5"/>
        <v>8.1145251396648063E-2</v>
      </c>
      <c r="AQ7" s="634">
        <f t="shared" si="5"/>
        <v>8.873239436619719E-2</v>
      </c>
      <c r="AR7" s="634">
        <f t="shared" si="5"/>
        <v>0</v>
      </c>
      <c r="AS7" s="634">
        <f t="shared" si="5"/>
        <v>0</v>
      </c>
      <c r="AT7" s="634">
        <f t="shared" si="5"/>
        <v>0</v>
      </c>
      <c r="AU7" s="635">
        <f t="shared" si="5"/>
        <v>0</v>
      </c>
      <c r="AV7" s="627">
        <f t="shared" si="6"/>
        <v>1.2353852586016087E-2</v>
      </c>
      <c r="AW7" s="628">
        <f t="shared" si="7"/>
        <v>1.2100873396805415E-2</v>
      </c>
      <c r="AX7" s="632">
        <f t="shared" si="8"/>
        <v>0</v>
      </c>
      <c r="AY7" s="627">
        <f t="shared" si="9"/>
        <v>8.6714542190305222E-2</v>
      </c>
      <c r="AZ7" s="628">
        <f t="shared" si="10"/>
        <v>8.4938822881422626E-2</v>
      </c>
      <c r="BA7" s="632">
        <f t="shared" si="11"/>
        <v>0</v>
      </c>
      <c r="BB7" s="636">
        <f t="shared" si="14"/>
        <v>461394.52938365971</v>
      </c>
      <c r="BC7" s="636">
        <f t="shared" si="12"/>
        <v>493061.69733880571</v>
      </c>
      <c r="BD7" s="636">
        <f t="shared" si="12"/>
        <v>450902.01465201459</v>
      </c>
      <c r="BE7" s="636" t="s">
        <v>48</v>
      </c>
      <c r="BF7" s="636" t="s">
        <v>48</v>
      </c>
      <c r="BG7" s="636" t="s">
        <v>48</v>
      </c>
      <c r="BH7" s="636" t="s">
        <v>48</v>
      </c>
      <c r="BI7" s="636">
        <f t="shared" si="12"/>
        <v>65732.91925465838</v>
      </c>
      <c r="BJ7" s="636">
        <f t="shared" si="12"/>
        <v>70244.406196213415</v>
      </c>
      <c r="BK7" s="636">
        <f t="shared" si="12"/>
        <v>64238.095238095237</v>
      </c>
      <c r="BL7" s="636" t="s">
        <v>48</v>
      </c>
      <c r="BM7" s="636" t="s">
        <v>48</v>
      </c>
      <c r="BN7" s="636" t="s">
        <v>48</v>
      </c>
      <c r="BO7" s="636" t="s">
        <v>48</v>
      </c>
    </row>
    <row r="8" spans="1:67" s="152" customFormat="1" ht="14.65" customHeight="1">
      <c r="A8" s="637"/>
      <c r="B8" s="402" t="s">
        <v>297</v>
      </c>
      <c r="C8" s="637"/>
      <c r="D8" s="615">
        <v>1</v>
      </c>
      <c r="E8" s="149">
        <v>1</v>
      </c>
      <c r="F8" s="149">
        <v>0</v>
      </c>
      <c r="G8" s="246">
        <f>'Compiled Articles'!E13</f>
        <v>30</v>
      </c>
      <c r="H8" s="246">
        <f>'Compiled Articles'!$E$11</f>
        <v>52</v>
      </c>
      <c r="I8" s="246">
        <v>1</v>
      </c>
      <c r="J8" s="624">
        <f t="shared" si="15"/>
        <v>6.9999999999999994E-5</v>
      </c>
      <c r="K8" s="625">
        <f t="shared" ref="K8:K45" si="16">J8*G8/60</f>
        <v>3.4999999999999997E-5</v>
      </c>
      <c r="L8" s="638" t="s">
        <v>684</v>
      </c>
      <c r="M8" s="627">
        <f>(INDEX('Dermal Calcs'!$B$61:$H$67, MATCH($L8,'Dermal Calcs'!$A$61:$A$67, 0), MATCH(M$3, 'Dermal Calcs'!$B$60:$H$60, 0)))*$K8*$D8</f>
        <v>4.3357271095152611E-5</v>
      </c>
      <c r="N8" s="628">
        <f>(INDEX('Dermal Calcs'!$B$61:$H$67, MATCH($L8,'Dermal Calcs'!$A$61:$A$67, 0), MATCH(N$3, 'Dermal Calcs'!$B$60:$H$60, 0)))*$K8*$E8</f>
        <v>4.0572625698324028E-5</v>
      </c>
      <c r="O8" s="628">
        <f>(INDEX('Dermal Calcs'!$B$61:$H$67, MATCH($L8,'Dermal Calcs'!$A$61:$A$67, 0), MATCH(O$3, 'Dermal Calcs'!$B$60:$H$60, 0)))*$K8*$E8</f>
        <v>4.4366197183098593E-5</v>
      </c>
      <c r="P8" s="630">
        <f>(INDEX('Dermal Calcs'!$B$61:$H$67, MATCH($L8,'Dermal Calcs'!$A$61:$A$67, 0), MATCH(P$3, 'Dermal Calcs'!$B$60:$H$60, 0)))*$K8*$F8</f>
        <v>0</v>
      </c>
      <c r="Q8" s="630">
        <f>(INDEX('Dermal Calcs'!$B$61:$H$67, MATCH($L8,'Dermal Calcs'!$A$61:$A$67, 0), MATCH(Q$3, 'Dermal Calcs'!$B$60:$H$60, 0)))*$K8*$F8</f>
        <v>0</v>
      </c>
      <c r="R8" s="630">
        <f>(INDEX('Dermal Calcs'!$B$61:$H$67, MATCH($L8,'Dermal Calcs'!$A$61:$A$67, 0), MATCH(R$3, 'Dermal Calcs'!$B$60:$H$60, 0)))*$K8*$F8</f>
        <v>0</v>
      </c>
      <c r="S8" s="631">
        <f>(INDEX('Dermal Calcs'!$B$61:$H$67, MATCH($L8,'Dermal Calcs'!$A$61:$A$67, 0), MATCH(S$3, 'Dermal Calcs'!$B$60:$H$60, 0)))*$K8*$F8</f>
        <v>0</v>
      </c>
      <c r="T8" s="639">
        <f t="shared" si="2"/>
        <v>2.2545780969479359E-3</v>
      </c>
      <c r="U8" s="640">
        <f t="shared" si="2"/>
        <v>2.1097765363128494E-3</v>
      </c>
      <c r="V8" s="640">
        <f t="shared" si="2"/>
        <v>2.3070422535211269E-3</v>
      </c>
      <c r="W8" s="641">
        <f t="shared" si="2"/>
        <v>0</v>
      </c>
      <c r="X8" s="641">
        <f t="shared" si="2"/>
        <v>0</v>
      </c>
      <c r="Y8" s="641">
        <f t="shared" si="2"/>
        <v>0</v>
      </c>
      <c r="Z8" s="641">
        <f t="shared" si="2"/>
        <v>0</v>
      </c>
      <c r="AA8" s="639">
        <f t="shared" si="3"/>
        <v>4.3357271095152611E-5</v>
      </c>
      <c r="AB8" s="640">
        <f t="shared" si="3"/>
        <v>4.0572625698324028E-5</v>
      </c>
      <c r="AC8" s="640">
        <f t="shared" si="3"/>
        <v>4.4366197183098593E-5</v>
      </c>
      <c r="AD8" s="641">
        <f t="shared" si="3"/>
        <v>0</v>
      </c>
      <c r="AE8" s="641">
        <f t="shared" si="3"/>
        <v>0</v>
      </c>
      <c r="AF8" s="641">
        <f t="shared" si="3"/>
        <v>0</v>
      </c>
      <c r="AG8" s="641">
        <f t="shared" si="3"/>
        <v>0</v>
      </c>
      <c r="AH8" s="633">
        <f t="shared" si="4"/>
        <v>6.1769262930080433E-3</v>
      </c>
      <c r="AI8" s="634">
        <f t="shared" si="4"/>
        <v>5.7802096885283547E-3</v>
      </c>
      <c r="AJ8" s="634">
        <f t="shared" si="4"/>
        <v>6.3206637082770601E-3</v>
      </c>
      <c r="AK8" s="634">
        <f t="shared" si="4"/>
        <v>0</v>
      </c>
      <c r="AL8" s="634">
        <f t="shared" si="4"/>
        <v>0</v>
      </c>
      <c r="AM8" s="634">
        <f t="shared" si="4"/>
        <v>0</v>
      </c>
      <c r="AN8" s="635">
        <f t="shared" si="4"/>
        <v>0</v>
      </c>
      <c r="AO8" s="634">
        <f t="shared" si="5"/>
        <v>4.3357271095152611E-2</v>
      </c>
      <c r="AP8" s="634">
        <f t="shared" si="5"/>
        <v>4.0572625698324032E-2</v>
      </c>
      <c r="AQ8" s="634">
        <f t="shared" si="5"/>
        <v>4.4366197183098595E-2</v>
      </c>
      <c r="AR8" s="634">
        <f t="shared" si="5"/>
        <v>0</v>
      </c>
      <c r="AS8" s="634">
        <f t="shared" si="5"/>
        <v>0</v>
      </c>
      <c r="AT8" s="634">
        <f t="shared" si="5"/>
        <v>0</v>
      </c>
      <c r="AU8" s="635">
        <f t="shared" si="5"/>
        <v>0</v>
      </c>
      <c r="AV8" s="639">
        <f t="shared" si="6"/>
        <v>6.1769262930080433E-3</v>
      </c>
      <c r="AW8" s="640">
        <f t="shared" si="7"/>
        <v>6.0504366984027074E-3</v>
      </c>
      <c r="AX8" s="641">
        <f t="shared" si="8"/>
        <v>0</v>
      </c>
      <c r="AY8" s="639">
        <f t="shared" si="9"/>
        <v>4.3357271095152611E-2</v>
      </c>
      <c r="AZ8" s="640">
        <f t="shared" si="10"/>
        <v>4.2469411440711313E-2</v>
      </c>
      <c r="BA8" s="641">
        <f t="shared" si="11"/>
        <v>0</v>
      </c>
      <c r="BB8" s="636">
        <f t="shared" si="14"/>
        <v>922789.05876731942</v>
      </c>
      <c r="BC8" s="636">
        <f t="shared" si="12"/>
        <v>986123.39467761142</v>
      </c>
      <c r="BD8" s="636">
        <f t="shared" si="12"/>
        <v>901804.02930402919</v>
      </c>
      <c r="BE8" s="636" t="s">
        <v>48</v>
      </c>
      <c r="BF8" s="636" t="s">
        <v>48</v>
      </c>
      <c r="BG8" s="636" t="s">
        <v>48</v>
      </c>
      <c r="BH8" s="636" t="s">
        <v>48</v>
      </c>
      <c r="BI8" s="636">
        <f t="shared" si="12"/>
        <v>131465.83850931676</v>
      </c>
      <c r="BJ8" s="636">
        <f t="shared" si="12"/>
        <v>140488.81239242683</v>
      </c>
      <c r="BK8" s="636">
        <f t="shared" si="12"/>
        <v>128476.19047619047</v>
      </c>
      <c r="BL8" s="636" t="s">
        <v>48</v>
      </c>
      <c r="BM8" s="636" t="s">
        <v>48</v>
      </c>
      <c r="BN8" s="636" t="s">
        <v>48</v>
      </c>
      <c r="BO8" s="636" t="s">
        <v>48</v>
      </c>
    </row>
    <row r="9" spans="1:67" s="648" customFormat="1" ht="14.65" customHeight="1">
      <c r="A9" s="642"/>
      <c r="B9" s="643" t="s">
        <v>298</v>
      </c>
      <c r="C9" s="642"/>
      <c r="D9" s="618">
        <v>1</v>
      </c>
      <c r="E9" s="619">
        <v>1</v>
      </c>
      <c r="F9" s="619">
        <v>0</v>
      </c>
      <c r="G9" s="246">
        <f>'Compiled Articles'!E14</f>
        <v>15</v>
      </c>
      <c r="H9" s="246">
        <f>'Compiled Articles'!$E$11</f>
        <v>52</v>
      </c>
      <c r="I9" s="246">
        <f>I7</f>
        <v>1</v>
      </c>
      <c r="J9" s="624">
        <f t="shared" si="15"/>
        <v>6.9999999999999994E-5</v>
      </c>
      <c r="K9" s="625">
        <f t="shared" si="16"/>
        <v>1.7499999999999998E-5</v>
      </c>
      <c r="L9" s="644" t="s">
        <v>684</v>
      </c>
      <c r="M9" s="627">
        <f>(INDEX('Dermal Calcs'!$B$61:$H$67, MATCH($L9,'Dermal Calcs'!$A$61:$A$67, 0), MATCH(M$3, 'Dermal Calcs'!$B$60:$H$60, 0)))*$K9*$D9</f>
        <v>2.1678635547576306E-5</v>
      </c>
      <c r="N9" s="628">
        <f>(INDEX('Dermal Calcs'!$B$61:$H$67, MATCH($L9,'Dermal Calcs'!$A$61:$A$67, 0), MATCH(N$3, 'Dermal Calcs'!$B$60:$H$60, 0)))*$K9*$E9</f>
        <v>2.0286312849162014E-5</v>
      </c>
      <c r="O9" s="628">
        <f>(INDEX('Dermal Calcs'!$B$61:$H$67, MATCH($L9,'Dermal Calcs'!$A$61:$A$67, 0), MATCH(O$3, 'Dermal Calcs'!$B$60:$H$60, 0)))*$K9*$E9</f>
        <v>2.2183098591549297E-5</v>
      </c>
      <c r="P9" s="630">
        <f>(INDEX('Dermal Calcs'!$B$61:$H$67, MATCH($L9,'Dermal Calcs'!$A$61:$A$67, 0), MATCH(P$3, 'Dermal Calcs'!$B$60:$H$60, 0)))*$K9*$F9</f>
        <v>0</v>
      </c>
      <c r="Q9" s="630">
        <f>(INDEX('Dermal Calcs'!$B$61:$H$67, MATCH($L9,'Dermal Calcs'!$A$61:$A$67, 0), MATCH(Q$3, 'Dermal Calcs'!$B$60:$H$60, 0)))*$K9*$F9</f>
        <v>0</v>
      </c>
      <c r="R9" s="630">
        <f>(INDEX('Dermal Calcs'!$B$61:$H$67, MATCH($L9,'Dermal Calcs'!$A$61:$A$67, 0), MATCH(R$3, 'Dermal Calcs'!$B$60:$H$60, 0)))*$K9*$F9</f>
        <v>0</v>
      </c>
      <c r="S9" s="631">
        <f>(INDEX('Dermal Calcs'!$B$61:$H$67, MATCH($L9,'Dermal Calcs'!$A$61:$A$67, 0), MATCH(S$3, 'Dermal Calcs'!$B$60:$H$60, 0)))*$K9*$F9</f>
        <v>0</v>
      </c>
      <c r="T9" s="645">
        <f t="shared" si="2"/>
        <v>1.127289048473968E-3</v>
      </c>
      <c r="U9" s="646">
        <f t="shared" si="2"/>
        <v>1.0548882681564247E-3</v>
      </c>
      <c r="V9" s="646">
        <f t="shared" si="2"/>
        <v>1.1535211267605634E-3</v>
      </c>
      <c r="W9" s="647">
        <f t="shared" si="2"/>
        <v>0</v>
      </c>
      <c r="X9" s="647">
        <f t="shared" si="2"/>
        <v>0</v>
      </c>
      <c r="Y9" s="647">
        <f t="shared" si="2"/>
        <v>0</v>
      </c>
      <c r="Z9" s="647">
        <f t="shared" si="2"/>
        <v>0</v>
      </c>
      <c r="AA9" s="645">
        <f t="shared" si="3"/>
        <v>2.1678635547576306E-5</v>
      </c>
      <c r="AB9" s="646">
        <f t="shared" si="3"/>
        <v>2.0286312849162014E-5</v>
      </c>
      <c r="AC9" s="646">
        <f t="shared" si="3"/>
        <v>2.2183098591549297E-5</v>
      </c>
      <c r="AD9" s="647">
        <f t="shared" si="3"/>
        <v>0</v>
      </c>
      <c r="AE9" s="647">
        <f t="shared" si="3"/>
        <v>0</v>
      </c>
      <c r="AF9" s="647">
        <f t="shared" si="3"/>
        <v>0</v>
      </c>
      <c r="AG9" s="647">
        <f t="shared" si="3"/>
        <v>0</v>
      </c>
      <c r="AH9" s="633">
        <f t="shared" si="4"/>
        <v>3.0884631465040216E-3</v>
      </c>
      <c r="AI9" s="634">
        <f t="shared" si="4"/>
        <v>2.8901048442641773E-3</v>
      </c>
      <c r="AJ9" s="634">
        <f t="shared" si="4"/>
        <v>3.16033185413853E-3</v>
      </c>
      <c r="AK9" s="634">
        <f t="shared" si="4"/>
        <v>0</v>
      </c>
      <c r="AL9" s="634">
        <f t="shared" si="4"/>
        <v>0</v>
      </c>
      <c r="AM9" s="634">
        <f t="shared" si="4"/>
        <v>0</v>
      </c>
      <c r="AN9" s="635">
        <f t="shared" si="4"/>
        <v>0</v>
      </c>
      <c r="AO9" s="634">
        <f t="shared" si="5"/>
        <v>2.1678635547576305E-2</v>
      </c>
      <c r="AP9" s="634">
        <f t="shared" si="5"/>
        <v>2.0286312849162016E-2</v>
      </c>
      <c r="AQ9" s="634">
        <f t="shared" si="5"/>
        <v>2.2183098591549297E-2</v>
      </c>
      <c r="AR9" s="634">
        <f t="shared" si="5"/>
        <v>0</v>
      </c>
      <c r="AS9" s="634">
        <f t="shared" si="5"/>
        <v>0</v>
      </c>
      <c r="AT9" s="634">
        <f t="shared" si="5"/>
        <v>0</v>
      </c>
      <c r="AU9" s="635">
        <f t="shared" si="5"/>
        <v>0</v>
      </c>
      <c r="AV9" s="645">
        <f t="shared" si="6"/>
        <v>3.0884631465040216E-3</v>
      </c>
      <c r="AW9" s="646">
        <f t="shared" si="7"/>
        <v>3.0252183492013537E-3</v>
      </c>
      <c r="AX9" s="647">
        <f t="shared" si="8"/>
        <v>0</v>
      </c>
      <c r="AY9" s="645">
        <f t="shared" si="9"/>
        <v>2.1678635547576305E-2</v>
      </c>
      <c r="AZ9" s="646">
        <f t="shared" si="10"/>
        <v>2.1234705720355657E-2</v>
      </c>
      <c r="BA9" s="647">
        <f t="shared" si="11"/>
        <v>0</v>
      </c>
      <c r="BB9" s="636">
        <f t="shared" si="14"/>
        <v>1845578.1175346388</v>
      </c>
      <c r="BC9" s="636">
        <f t="shared" si="12"/>
        <v>1972246.7893552228</v>
      </c>
      <c r="BD9" s="636">
        <f t="shared" si="12"/>
        <v>1803608.0586080584</v>
      </c>
      <c r="BE9" s="636" t="s">
        <v>48</v>
      </c>
      <c r="BF9" s="636" t="s">
        <v>48</v>
      </c>
      <c r="BG9" s="636" t="s">
        <v>48</v>
      </c>
      <c r="BH9" s="636" t="s">
        <v>48</v>
      </c>
      <c r="BI9" s="636">
        <f t="shared" si="12"/>
        <v>262931.67701863352</v>
      </c>
      <c r="BJ9" s="636">
        <f t="shared" si="12"/>
        <v>280977.62478485366</v>
      </c>
      <c r="BK9" s="636">
        <f t="shared" si="12"/>
        <v>256952.38095238095</v>
      </c>
      <c r="BL9" s="636" t="s">
        <v>48</v>
      </c>
      <c r="BM9" s="636" t="s">
        <v>48</v>
      </c>
      <c r="BN9" s="636" t="s">
        <v>48</v>
      </c>
      <c r="BO9" s="636" t="s">
        <v>48</v>
      </c>
    </row>
    <row r="10" spans="1:67" s="152" customFormat="1" ht="14.65" customHeight="1">
      <c r="A10" s="623" t="str">
        <f>'Compiled Articles'!F6</f>
        <v>Carpet Tiles</v>
      </c>
      <c r="B10" s="402" t="s">
        <v>296</v>
      </c>
      <c r="C10" s="623" t="s">
        <v>199</v>
      </c>
      <c r="D10" s="615">
        <v>1</v>
      </c>
      <c r="E10" s="149">
        <v>1</v>
      </c>
      <c r="F10" s="149">
        <v>1</v>
      </c>
      <c r="G10" s="246">
        <f>'Compiled Articles'!F12</f>
        <v>120</v>
      </c>
      <c r="H10" s="246">
        <f>'Compiled Articles'!$F$11</f>
        <v>365</v>
      </c>
      <c r="I10" s="246">
        <v>1</v>
      </c>
      <c r="J10" s="624">
        <f t="shared" si="15"/>
        <v>6.9999999999999994E-5</v>
      </c>
      <c r="K10" s="625">
        <f t="shared" si="16"/>
        <v>1.3999999999999999E-4</v>
      </c>
      <c r="L10" s="626" t="s">
        <v>685</v>
      </c>
      <c r="M10" s="627">
        <f>(INDEX('Dermal Calcs'!$B$61:$H$67, MATCH($L10,'Dermal Calcs'!$A$61:$A$67, 0), MATCH(M$3, 'Dermal Calcs'!$B$60:$H$60, 0)))*$K10*$D10</f>
        <v>8.6714542190305225E-4</v>
      </c>
      <c r="N10" s="628">
        <f>(INDEX('Dermal Calcs'!$B$61:$H$67, MATCH($L10,'Dermal Calcs'!$A$61:$A$67, 0), MATCH(N$3, 'Dermal Calcs'!$B$60:$H$60, 0)))*$K10*$E10</f>
        <v>8.1145251396648054E-4</v>
      </c>
      <c r="O10" s="628">
        <f>(INDEX('Dermal Calcs'!$B$61:$H$67, MATCH($L10,'Dermal Calcs'!$A$61:$A$67, 0), MATCH(O$3, 'Dermal Calcs'!$B$60:$H$60, 0)))*$K10*$E10</f>
        <v>8.8732394366197178E-4</v>
      </c>
      <c r="P10" s="630">
        <f>(INDEX('Dermal Calcs'!$B$61:$H$67, MATCH($L10,'Dermal Calcs'!$A$61:$A$67, 0), MATCH(P$3, 'Dermal Calcs'!$B$60:$H$60, 0)))*$K10*$F10</f>
        <v>1.122641509433962E-3</v>
      </c>
      <c r="Q10" s="630">
        <f>(INDEX('Dermal Calcs'!$B$61:$H$67, MATCH($L10,'Dermal Calcs'!$A$61:$A$67, 0), MATCH(Q$3, 'Dermal Calcs'!$B$60:$H$60, 0)))*$K10*$F10</f>
        <v>1.3924731182795697E-3</v>
      </c>
      <c r="R10" s="630">
        <f>(INDEX('Dermal Calcs'!$B$61:$H$67, MATCH($L10,'Dermal Calcs'!$A$61:$A$67, 0), MATCH(R$3, 'Dermal Calcs'!$B$60:$H$60, 0)))*$K10*$F10</f>
        <v>1.6111111111111107E-3</v>
      </c>
      <c r="S10" s="631">
        <f>(INDEX('Dermal Calcs'!$B$61:$H$67, MATCH($L10,'Dermal Calcs'!$A$61:$A$67, 0), MATCH(S$3, 'Dermal Calcs'!$B$60:$H$60, 0)))*$K10*$F10</f>
        <v>1.8840425531914892E-3</v>
      </c>
      <c r="T10" s="627">
        <f t="shared" si="2"/>
        <v>0.31650807899461408</v>
      </c>
      <c r="U10" s="628">
        <f t="shared" si="2"/>
        <v>0.29618016759776539</v>
      </c>
      <c r="V10" s="628">
        <f t="shared" si="2"/>
        <v>0.32387323943661972</v>
      </c>
      <c r="W10" s="632">
        <f t="shared" si="2"/>
        <v>0.40976415094339613</v>
      </c>
      <c r="X10" s="632">
        <f t="shared" si="2"/>
        <v>0.50825268817204294</v>
      </c>
      <c r="Y10" s="632">
        <f t="shared" si="2"/>
        <v>0.58805555555555544</v>
      </c>
      <c r="Z10" s="632">
        <f t="shared" si="2"/>
        <v>0.68767553191489361</v>
      </c>
      <c r="AA10" s="627">
        <f t="shared" si="3"/>
        <v>8.6714542190305225E-4</v>
      </c>
      <c r="AB10" s="628">
        <f t="shared" si="3"/>
        <v>8.1145251396648054E-4</v>
      </c>
      <c r="AC10" s="628">
        <f t="shared" si="3"/>
        <v>8.8732394366197178E-4</v>
      </c>
      <c r="AD10" s="632">
        <f t="shared" si="3"/>
        <v>1.122641509433962E-3</v>
      </c>
      <c r="AE10" s="632">
        <f t="shared" si="3"/>
        <v>1.3924731182795697E-3</v>
      </c>
      <c r="AF10" s="632">
        <f t="shared" si="3"/>
        <v>1.6111111111111107E-3</v>
      </c>
      <c r="AG10" s="632">
        <f t="shared" si="3"/>
        <v>1.8840425531914892E-3</v>
      </c>
      <c r="AH10" s="633">
        <f t="shared" si="4"/>
        <v>0.86714542190305233</v>
      </c>
      <c r="AI10" s="634">
        <f t="shared" si="4"/>
        <v>0.81145251396648044</v>
      </c>
      <c r="AJ10" s="634">
        <f t="shared" si="4"/>
        <v>0.88732394366197187</v>
      </c>
      <c r="AK10" s="634">
        <f t="shared" si="4"/>
        <v>1.1226415094339621</v>
      </c>
      <c r="AL10" s="634">
        <f t="shared" si="4"/>
        <v>1.3924731182795698</v>
      </c>
      <c r="AM10" s="634">
        <f t="shared" si="4"/>
        <v>1.6111111111111107</v>
      </c>
      <c r="AN10" s="635">
        <f t="shared" si="4"/>
        <v>1.8840425531914895</v>
      </c>
      <c r="AO10" s="634">
        <f t="shared" si="5"/>
        <v>0.86714542190305222</v>
      </c>
      <c r="AP10" s="634">
        <f t="shared" si="5"/>
        <v>0.81145251396648055</v>
      </c>
      <c r="AQ10" s="634">
        <f t="shared" si="5"/>
        <v>0.88732394366197176</v>
      </c>
      <c r="AR10" s="634">
        <f t="shared" si="5"/>
        <v>1.1226415094339619</v>
      </c>
      <c r="AS10" s="634">
        <f t="shared" si="5"/>
        <v>1.3924731182795698</v>
      </c>
      <c r="AT10" s="634">
        <f t="shared" si="5"/>
        <v>1.6111111111111107</v>
      </c>
      <c r="AU10" s="635">
        <f t="shared" si="5"/>
        <v>1.8840425531914893</v>
      </c>
      <c r="AV10" s="627">
        <f t="shared" si="6"/>
        <v>0.86714542190305233</v>
      </c>
      <c r="AW10" s="628">
        <f t="shared" si="7"/>
        <v>0.84938822881422604</v>
      </c>
      <c r="AX10" s="632">
        <f t="shared" si="8"/>
        <v>1.502567073004033</v>
      </c>
      <c r="AY10" s="627">
        <f t="shared" si="9"/>
        <v>0.86714542190305222</v>
      </c>
      <c r="AZ10" s="628">
        <f t="shared" si="10"/>
        <v>0.84938822881422626</v>
      </c>
      <c r="BA10" s="632">
        <f t="shared" si="11"/>
        <v>1.502567073004033</v>
      </c>
      <c r="BB10" s="636">
        <f t="shared" si="14"/>
        <v>6573.2919254658364</v>
      </c>
      <c r="BC10" s="636">
        <f t="shared" si="12"/>
        <v>7024.4406196213422</v>
      </c>
      <c r="BD10" s="636">
        <f t="shared" si="12"/>
        <v>6423.8095238095239</v>
      </c>
      <c r="BE10" s="636">
        <f t="shared" si="12"/>
        <v>5077.3109243697481</v>
      </c>
      <c r="BF10" s="636">
        <f t="shared" si="12"/>
        <v>4093.4362934362939</v>
      </c>
      <c r="BG10" s="636">
        <f t="shared" si="12"/>
        <v>3537.9310344827595</v>
      </c>
      <c r="BH10" s="636">
        <f t="shared" si="12"/>
        <v>3025.40937323546</v>
      </c>
      <c r="BI10" s="636">
        <f t="shared" si="12"/>
        <v>6573.2919254658373</v>
      </c>
      <c r="BJ10" s="636">
        <f t="shared" si="12"/>
        <v>7024.4406196213413</v>
      </c>
      <c r="BK10" s="636">
        <f t="shared" si="12"/>
        <v>6423.8095238095248</v>
      </c>
      <c r="BL10" s="636">
        <f t="shared" si="12"/>
        <v>5077.31092436975</v>
      </c>
      <c r="BM10" s="636">
        <f t="shared" si="12"/>
        <v>4093.4362934362939</v>
      </c>
      <c r="BN10" s="636">
        <f t="shared" si="12"/>
        <v>3537.9310344827595</v>
      </c>
      <c r="BO10" s="636">
        <f t="shared" si="12"/>
        <v>3025.4093732354604</v>
      </c>
    </row>
    <row r="11" spans="1:67" s="152" customFormat="1" ht="14.65" customHeight="1">
      <c r="A11" s="637"/>
      <c r="B11" s="402" t="s">
        <v>297</v>
      </c>
      <c r="C11" s="637"/>
      <c r="D11" s="615">
        <v>1</v>
      </c>
      <c r="E11" s="149">
        <v>1</v>
      </c>
      <c r="F11" s="149">
        <v>1</v>
      </c>
      <c r="G11" s="246">
        <f>'Compiled Articles'!F13</f>
        <v>60</v>
      </c>
      <c r="H11" s="246">
        <f>'Compiled Articles'!$F$11</f>
        <v>365</v>
      </c>
      <c r="I11" s="246">
        <v>1</v>
      </c>
      <c r="J11" s="624">
        <f t="shared" si="15"/>
        <v>6.9999999999999994E-5</v>
      </c>
      <c r="K11" s="625">
        <f t="shared" si="16"/>
        <v>6.9999999999999994E-5</v>
      </c>
      <c r="L11" s="638" t="s">
        <v>685</v>
      </c>
      <c r="M11" s="627">
        <f>(INDEX('Dermal Calcs'!$B$61:$H$67, MATCH($L11,'Dermal Calcs'!$A$61:$A$67, 0), MATCH(M$3, 'Dermal Calcs'!$B$60:$H$60, 0)))*$K11*$D11</f>
        <v>4.3357271095152613E-4</v>
      </c>
      <c r="N11" s="628">
        <f>(INDEX('Dermal Calcs'!$B$61:$H$67, MATCH($L11,'Dermal Calcs'!$A$61:$A$67, 0), MATCH(N$3, 'Dermal Calcs'!$B$60:$H$60, 0)))*$K11*$E11</f>
        <v>4.0572625698324027E-4</v>
      </c>
      <c r="O11" s="628">
        <f>(INDEX('Dermal Calcs'!$B$61:$H$67, MATCH($L11,'Dermal Calcs'!$A$61:$A$67, 0), MATCH(O$3, 'Dermal Calcs'!$B$60:$H$60, 0)))*$K11*$E11</f>
        <v>4.4366197183098589E-4</v>
      </c>
      <c r="P11" s="630">
        <f>(INDEX('Dermal Calcs'!$B$61:$H$67, MATCH($L11,'Dermal Calcs'!$A$61:$A$67, 0), MATCH(P$3, 'Dermal Calcs'!$B$60:$H$60, 0)))*$K11*$F11</f>
        <v>5.6132075471698099E-4</v>
      </c>
      <c r="Q11" s="630">
        <f>(INDEX('Dermal Calcs'!$B$61:$H$67, MATCH($L11,'Dermal Calcs'!$A$61:$A$67, 0), MATCH(Q$3, 'Dermal Calcs'!$B$60:$H$60, 0)))*$K11*$F11</f>
        <v>6.9623655913978485E-4</v>
      </c>
      <c r="R11" s="630">
        <f>(INDEX('Dermal Calcs'!$B$61:$H$67, MATCH($L11,'Dermal Calcs'!$A$61:$A$67, 0), MATCH(R$3, 'Dermal Calcs'!$B$60:$H$60, 0)))*$K11*$F11</f>
        <v>8.0555555555555534E-4</v>
      </c>
      <c r="S11" s="631">
        <f>(INDEX('Dermal Calcs'!$B$61:$H$67, MATCH($L11,'Dermal Calcs'!$A$61:$A$67, 0), MATCH(S$3, 'Dermal Calcs'!$B$60:$H$60, 0)))*$K11*$F11</f>
        <v>9.420212765957446E-4</v>
      </c>
      <c r="T11" s="639">
        <f t="shared" si="2"/>
        <v>0.15825403949730704</v>
      </c>
      <c r="U11" s="640">
        <f t="shared" si="2"/>
        <v>0.14809008379888269</v>
      </c>
      <c r="V11" s="640">
        <f t="shared" si="2"/>
        <v>0.16193661971830986</v>
      </c>
      <c r="W11" s="641">
        <f t="shared" si="2"/>
        <v>0.20488207547169807</v>
      </c>
      <c r="X11" s="641">
        <f t="shared" si="2"/>
        <v>0.25412634408602147</v>
      </c>
      <c r="Y11" s="641">
        <f t="shared" si="2"/>
        <v>0.29402777777777772</v>
      </c>
      <c r="Z11" s="641">
        <f t="shared" si="2"/>
        <v>0.34383776595744681</v>
      </c>
      <c r="AA11" s="639">
        <f t="shared" si="3"/>
        <v>4.3357271095152613E-4</v>
      </c>
      <c r="AB11" s="640">
        <f t="shared" si="3"/>
        <v>4.0572625698324027E-4</v>
      </c>
      <c r="AC11" s="640">
        <f t="shared" si="3"/>
        <v>4.4366197183098589E-4</v>
      </c>
      <c r="AD11" s="641">
        <f t="shared" si="3"/>
        <v>5.6132075471698099E-4</v>
      </c>
      <c r="AE11" s="641">
        <f t="shared" si="3"/>
        <v>6.9623655913978485E-4</v>
      </c>
      <c r="AF11" s="641">
        <f t="shared" si="3"/>
        <v>8.0555555555555534E-4</v>
      </c>
      <c r="AG11" s="641">
        <f t="shared" si="3"/>
        <v>9.420212765957446E-4</v>
      </c>
      <c r="AH11" s="633">
        <f t="shared" si="4"/>
        <v>0.43357271095152616</v>
      </c>
      <c r="AI11" s="634">
        <f t="shared" si="4"/>
        <v>0.40572625698324022</v>
      </c>
      <c r="AJ11" s="634">
        <f t="shared" si="4"/>
        <v>0.44366197183098594</v>
      </c>
      <c r="AK11" s="634">
        <f t="shared" si="4"/>
        <v>0.56132075471698106</v>
      </c>
      <c r="AL11" s="634">
        <f t="shared" si="4"/>
        <v>0.69623655913978488</v>
      </c>
      <c r="AM11" s="634">
        <f t="shared" si="4"/>
        <v>0.80555555555555536</v>
      </c>
      <c r="AN11" s="635">
        <f t="shared" si="4"/>
        <v>0.94202127659574475</v>
      </c>
      <c r="AO11" s="634">
        <f t="shared" si="5"/>
        <v>0.43357271095152611</v>
      </c>
      <c r="AP11" s="634">
        <f t="shared" si="5"/>
        <v>0.40572625698324027</v>
      </c>
      <c r="AQ11" s="634">
        <f t="shared" si="5"/>
        <v>0.44366197183098588</v>
      </c>
      <c r="AR11" s="634">
        <f t="shared" si="5"/>
        <v>0.56132075471698095</v>
      </c>
      <c r="AS11" s="634">
        <f t="shared" si="5"/>
        <v>0.69623655913978488</v>
      </c>
      <c r="AT11" s="634">
        <f t="shared" si="5"/>
        <v>0.80555555555555536</v>
      </c>
      <c r="AU11" s="635">
        <f t="shared" si="5"/>
        <v>0.94202127659574464</v>
      </c>
      <c r="AV11" s="639">
        <f t="shared" si="6"/>
        <v>0.43357271095152616</v>
      </c>
      <c r="AW11" s="640">
        <f t="shared" si="7"/>
        <v>0.42469411440711302</v>
      </c>
      <c r="AX11" s="641">
        <f t="shared" si="8"/>
        <v>0.75128353650201651</v>
      </c>
      <c r="AY11" s="639">
        <f t="shared" si="9"/>
        <v>0.43357271095152611</v>
      </c>
      <c r="AZ11" s="640">
        <f t="shared" si="10"/>
        <v>0.42469411440711313</v>
      </c>
      <c r="BA11" s="641">
        <f t="shared" si="11"/>
        <v>0.75128353650201651</v>
      </c>
      <c r="BB11" s="636">
        <f t="shared" si="14"/>
        <v>13146.583850931673</v>
      </c>
      <c r="BC11" s="636">
        <f t="shared" si="12"/>
        <v>14048.881239242684</v>
      </c>
      <c r="BD11" s="636">
        <f t="shared" si="12"/>
        <v>12847.619047619048</v>
      </c>
      <c r="BE11" s="636">
        <f t="shared" si="12"/>
        <v>10154.621848739496</v>
      </c>
      <c r="BF11" s="636">
        <f t="shared" si="12"/>
        <v>8186.8725868725878</v>
      </c>
      <c r="BG11" s="636">
        <f t="shared" si="12"/>
        <v>7075.862068965519</v>
      </c>
      <c r="BH11" s="636">
        <f t="shared" si="12"/>
        <v>6050.8187464709199</v>
      </c>
      <c r="BI11" s="636">
        <f t="shared" si="12"/>
        <v>13146.583850931675</v>
      </c>
      <c r="BJ11" s="636">
        <f t="shared" si="12"/>
        <v>14048.881239242683</v>
      </c>
      <c r="BK11" s="636">
        <f t="shared" si="12"/>
        <v>12847.61904761905</v>
      </c>
      <c r="BL11" s="636">
        <f t="shared" si="12"/>
        <v>10154.6218487395</v>
      </c>
      <c r="BM11" s="636">
        <f t="shared" si="12"/>
        <v>8186.8725868725878</v>
      </c>
      <c r="BN11" s="636">
        <f t="shared" si="12"/>
        <v>7075.862068965519</v>
      </c>
      <c r="BO11" s="636">
        <f t="shared" si="12"/>
        <v>6050.8187464709208</v>
      </c>
    </row>
    <row r="12" spans="1:67" s="648" customFormat="1" ht="14.65" customHeight="1">
      <c r="A12" s="642"/>
      <c r="B12" s="643" t="s">
        <v>298</v>
      </c>
      <c r="C12" s="642"/>
      <c r="D12" s="618">
        <v>1</v>
      </c>
      <c r="E12" s="619">
        <v>1</v>
      </c>
      <c r="F12" s="619">
        <v>1</v>
      </c>
      <c r="G12" s="246">
        <f>'Compiled Articles'!F14</f>
        <v>30</v>
      </c>
      <c r="H12" s="246">
        <f>'Compiled Articles'!$F$11</f>
        <v>365</v>
      </c>
      <c r="I12" s="246">
        <f>I10</f>
        <v>1</v>
      </c>
      <c r="J12" s="624">
        <f t="shared" si="15"/>
        <v>6.9999999999999994E-5</v>
      </c>
      <c r="K12" s="625">
        <f t="shared" si="16"/>
        <v>3.4999999999999997E-5</v>
      </c>
      <c r="L12" s="644" t="s">
        <v>685</v>
      </c>
      <c r="M12" s="627">
        <f>(INDEX('Dermal Calcs'!$B$61:$H$67, MATCH($L12,'Dermal Calcs'!$A$61:$A$67, 0), MATCH(M$3, 'Dermal Calcs'!$B$60:$H$60, 0)))*$K12*$D12</f>
        <v>2.1678635547576306E-4</v>
      </c>
      <c r="N12" s="628">
        <f>(INDEX('Dermal Calcs'!$B$61:$H$67, MATCH($L12,'Dermal Calcs'!$A$61:$A$67, 0), MATCH(N$3, 'Dermal Calcs'!$B$60:$H$60, 0)))*$K12*$E12</f>
        <v>2.0286312849162013E-4</v>
      </c>
      <c r="O12" s="628">
        <f>(INDEX('Dermal Calcs'!$B$61:$H$67, MATCH($L12,'Dermal Calcs'!$A$61:$A$67, 0), MATCH(O$3, 'Dermal Calcs'!$B$60:$H$60, 0)))*$K12*$E12</f>
        <v>2.2183098591549295E-4</v>
      </c>
      <c r="P12" s="630">
        <f>(INDEX('Dermal Calcs'!$B$61:$H$67, MATCH($L12,'Dermal Calcs'!$A$61:$A$67, 0), MATCH(P$3, 'Dermal Calcs'!$B$60:$H$60, 0)))*$K12*$F12</f>
        <v>2.806603773584905E-4</v>
      </c>
      <c r="Q12" s="630">
        <f>(INDEX('Dermal Calcs'!$B$61:$H$67, MATCH($L12,'Dermal Calcs'!$A$61:$A$67, 0), MATCH(Q$3, 'Dermal Calcs'!$B$60:$H$60, 0)))*$K12*$F12</f>
        <v>3.4811827956989243E-4</v>
      </c>
      <c r="R12" s="630">
        <f>(INDEX('Dermal Calcs'!$B$61:$H$67, MATCH($L12,'Dermal Calcs'!$A$61:$A$67, 0), MATCH(R$3, 'Dermal Calcs'!$B$60:$H$60, 0)))*$K12*$F12</f>
        <v>4.0277777777777767E-4</v>
      </c>
      <c r="S12" s="631">
        <f>(INDEX('Dermal Calcs'!$B$61:$H$67, MATCH($L12,'Dermal Calcs'!$A$61:$A$67, 0), MATCH(S$3, 'Dermal Calcs'!$B$60:$H$60, 0)))*$K12*$F12</f>
        <v>4.710106382978723E-4</v>
      </c>
      <c r="T12" s="645">
        <f t="shared" si="2"/>
        <v>7.9127019748653521E-2</v>
      </c>
      <c r="U12" s="646">
        <f t="shared" si="2"/>
        <v>7.4045041899441347E-2</v>
      </c>
      <c r="V12" s="646">
        <f t="shared" si="2"/>
        <v>8.096830985915493E-2</v>
      </c>
      <c r="W12" s="647">
        <f t="shared" si="2"/>
        <v>0.10244103773584903</v>
      </c>
      <c r="X12" s="647">
        <f t="shared" si="2"/>
        <v>0.12706317204301074</v>
      </c>
      <c r="Y12" s="647">
        <f t="shared" si="2"/>
        <v>0.14701388888888886</v>
      </c>
      <c r="Z12" s="647">
        <f t="shared" si="2"/>
        <v>0.1719188829787234</v>
      </c>
      <c r="AA12" s="645">
        <f t="shared" si="3"/>
        <v>2.1678635547576306E-4</v>
      </c>
      <c r="AB12" s="646">
        <f t="shared" si="3"/>
        <v>2.0286312849162013E-4</v>
      </c>
      <c r="AC12" s="646">
        <f t="shared" si="3"/>
        <v>2.2183098591549295E-4</v>
      </c>
      <c r="AD12" s="647">
        <f t="shared" si="3"/>
        <v>2.806603773584905E-4</v>
      </c>
      <c r="AE12" s="647">
        <f t="shared" si="3"/>
        <v>3.4811827956989243E-4</v>
      </c>
      <c r="AF12" s="647">
        <f t="shared" si="3"/>
        <v>4.0277777777777767E-4</v>
      </c>
      <c r="AG12" s="647">
        <f t="shared" si="3"/>
        <v>4.710106382978723E-4</v>
      </c>
      <c r="AH12" s="633">
        <f t="shared" si="4"/>
        <v>0.21678635547576308</v>
      </c>
      <c r="AI12" s="634">
        <f t="shared" si="4"/>
        <v>0.20286312849162011</v>
      </c>
      <c r="AJ12" s="634">
        <f t="shared" si="4"/>
        <v>0.22183098591549297</v>
      </c>
      <c r="AK12" s="634">
        <f t="shared" si="4"/>
        <v>0.28066037735849053</v>
      </c>
      <c r="AL12" s="634">
        <f t="shared" si="4"/>
        <v>0.34811827956989244</v>
      </c>
      <c r="AM12" s="634">
        <f t="shared" si="4"/>
        <v>0.40277777777777768</v>
      </c>
      <c r="AN12" s="635">
        <f t="shared" si="4"/>
        <v>0.47101063829787237</v>
      </c>
      <c r="AO12" s="634">
        <f t="shared" si="5"/>
        <v>0.21678635547576305</v>
      </c>
      <c r="AP12" s="634">
        <f t="shared" si="5"/>
        <v>0.20286312849162014</v>
      </c>
      <c r="AQ12" s="634">
        <f t="shared" si="5"/>
        <v>0.22183098591549294</v>
      </c>
      <c r="AR12" s="634">
        <f t="shared" si="5"/>
        <v>0.28066037735849048</v>
      </c>
      <c r="AS12" s="634">
        <f t="shared" si="5"/>
        <v>0.34811827956989244</v>
      </c>
      <c r="AT12" s="634">
        <f t="shared" si="5"/>
        <v>0.40277777777777768</v>
      </c>
      <c r="AU12" s="635">
        <f t="shared" si="5"/>
        <v>0.47101063829787232</v>
      </c>
      <c r="AV12" s="645">
        <f t="shared" si="6"/>
        <v>0.21678635547576308</v>
      </c>
      <c r="AW12" s="646">
        <f t="shared" si="7"/>
        <v>0.21234705720355651</v>
      </c>
      <c r="AX12" s="647">
        <f t="shared" si="8"/>
        <v>0.37564176825100826</v>
      </c>
      <c r="AY12" s="645">
        <f t="shared" si="9"/>
        <v>0.21678635547576305</v>
      </c>
      <c r="AZ12" s="646">
        <f t="shared" si="10"/>
        <v>0.21234705720355657</v>
      </c>
      <c r="BA12" s="647">
        <f t="shared" si="11"/>
        <v>0.37564176825100826</v>
      </c>
      <c r="BB12" s="636">
        <f t="shared" si="14"/>
        <v>26293.167701863345</v>
      </c>
      <c r="BC12" s="636">
        <f t="shared" si="12"/>
        <v>28097.762478485369</v>
      </c>
      <c r="BD12" s="636">
        <f t="shared" si="12"/>
        <v>25695.238095238095</v>
      </c>
      <c r="BE12" s="636">
        <f t="shared" si="12"/>
        <v>20309.243697478993</v>
      </c>
      <c r="BF12" s="636">
        <f t="shared" si="12"/>
        <v>16373.745173745176</v>
      </c>
      <c r="BG12" s="636">
        <f t="shared" si="12"/>
        <v>14151.724137931038</v>
      </c>
      <c r="BH12" s="636">
        <f t="shared" si="12"/>
        <v>12101.63749294184</v>
      </c>
      <c r="BI12" s="636">
        <f t="shared" si="12"/>
        <v>26293.167701863349</v>
      </c>
      <c r="BJ12" s="636">
        <f t="shared" si="12"/>
        <v>28097.762478485365</v>
      </c>
      <c r="BK12" s="636">
        <f t="shared" si="12"/>
        <v>25695.238095238099</v>
      </c>
      <c r="BL12" s="636">
        <f t="shared" si="12"/>
        <v>20309.243697479</v>
      </c>
      <c r="BM12" s="636">
        <f t="shared" si="12"/>
        <v>16373.745173745176</v>
      </c>
      <c r="BN12" s="636">
        <f t="shared" si="12"/>
        <v>14151.724137931038</v>
      </c>
      <c r="BO12" s="636">
        <f t="shared" si="12"/>
        <v>12101.637492941842</v>
      </c>
    </row>
    <row r="13" spans="1:67" s="152" customFormat="1" ht="14.65" customHeight="1">
      <c r="A13" s="623" t="str">
        <f>'Compiled Articles'!G6</f>
        <v>Children's Toys (Legacy)</v>
      </c>
      <c r="B13" s="402" t="s">
        <v>296</v>
      </c>
      <c r="C13" s="623" t="s">
        <v>200</v>
      </c>
      <c r="D13" s="615">
        <v>0</v>
      </c>
      <c r="E13" s="149">
        <v>1</v>
      </c>
      <c r="F13" s="149">
        <v>1</v>
      </c>
      <c r="G13" s="246">
        <f>'Compiled Articles'!G12</f>
        <v>137</v>
      </c>
      <c r="H13" s="246">
        <f>'Compiled Articles'!$G$11</f>
        <v>365</v>
      </c>
      <c r="I13" s="246">
        <v>1</v>
      </c>
      <c r="J13" s="624">
        <f t="shared" si="15"/>
        <v>6.9999999999999994E-5</v>
      </c>
      <c r="K13" s="625">
        <f t="shared" si="16"/>
        <v>1.5983333333333333E-4</v>
      </c>
      <c r="L13" s="626" t="s">
        <v>685</v>
      </c>
      <c r="M13" s="627">
        <f>(INDEX('Dermal Calcs'!$B$61:$H$67, MATCH($L13,'Dermal Calcs'!$A$61:$A$67, 0), MATCH(M$3, 'Dermal Calcs'!$B$60:$H$60, 0)))*$K13*$D13</f>
        <v>0</v>
      </c>
      <c r="N13" s="628">
        <f>(INDEX('Dermal Calcs'!$B$61:$H$67, MATCH($L13,'Dermal Calcs'!$A$61:$A$67, 0), MATCH(N$3, 'Dermal Calcs'!$B$60:$H$60, 0)))*$K13*$E13</f>
        <v>9.2640828677839865E-4</v>
      </c>
      <c r="O13" s="628">
        <f>(INDEX('Dermal Calcs'!$B$61:$H$67, MATCH($L13,'Dermal Calcs'!$A$61:$A$67, 0), MATCH(O$3, 'Dermal Calcs'!$B$60:$H$60, 0)))*$K13*$E13</f>
        <v>1.0130281690140846E-3</v>
      </c>
      <c r="P13" s="630">
        <f>(INDEX('Dermal Calcs'!$B$61:$H$67, MATCH($L13,'Dermal Calcs'!$A$61:$A$67, 0), MATCH(P$3, 'Dermal Calcs'!$B$60:$H$60, 0)))*$K13*$F13</f>
        <v>1.2816823899371068E-3</v>
      </c>
      <c r="Q13" s="630">
        <f>(INDEX('Dermal Calcs'!$B$61:$H$67, MATCH($L13,'Dermal Calcs'!$A$61:$A$67, 0), MATCH(Q$3, 'Dermal Calcs'!$B$60:$H$60, 0)))*$K13*$F13</f>
        <v>1.5897401433691755E-3</v>
      </c>
      <c r="R13" s="630">
        <f>(INDEX('Dermal Calcs'!$B$61:$H$67, MATCH($L13,'Dermal Calcs'!$A$61:$A$67, 0), MATCH(R$3, 'Dermal Calcs'!$B$60:$H$60, 0)))*$K13*$F13</f>
        <v>1.8393518518518516E-3</v>
      </c>
      <c r="S13" s="631">
        <f>(INDEX('Dermal Calcs'!$B$61:$H$67, MATCH($L13,'Dermal Calcs'!$A$61:$A$67, 0), MATCH(S$3, 'Dermal Calcs'!$B$60:$H$60, 0)))*$K13*$F13</f>
        <v>2.1509485815602836E-3</v>
      </c>
      <c r="T13" s="627">
        <f t="shared" si="2"/>
        <v>0</v>
      </c>
      <c r="U13" s="628">
        <f t="shared" si="2"/>
        <v>0.3381390246741155</v>
      </c>
      <c r="V13" s="628">
        <f t="shared" si="2"/>
        <v>0.36975528169014088</v>
      </c>
      <c r="W13" s="632">
        <f t="shared" si="2"/>
        <v>0.46781407232704397</v>
      </c>
      <c r="X13" s="632">
        <f t="shared" si="2"/>
        <v>0.58025515232974911</v>
      </c>
      <c r="Y13" s="632">
        <f t="shared" si="2"/>
        <v>0.67136342592592579</v>
      </c>
      <c r="Z13" s="632">
        <f t="shared" si="2"/>
        <v>0.78509623226950354</v>
      </c>
      <c r="AA13" s="627">
        <f t="shared" si="3"/>
        <v>0</v>
      </c>
      <c r="AB13" s="628">
        <f t="shared" si="3"/>
        <v>9.2640828677839865E-4</v>
      </c>
      <c r="AC13" s="628">
        <f t="shared" si="3"/>
        <v>1.0130281690140846E-3</v>
      </c>
      <c r="AD13" s="632">
        <f t="shared" si="3"/>
        <v>1.2816823899371068E-3</v>
      </c>
      <c r="AE13" s="632">
        <f t="shared" si="3"/>
        <v>1.5897401433691755E-3</v>
      </c>
      <c r="AF13" s="632">
        <f t="shared" si="3"/>
        <v>1.8393518518518516E-3</v>
      </c>
      <c r="AG13" s="632">
        <f t="shared" si="3"/>
        <v>2.1509485815602836E-3</v>
      </c>
      <c r="AH13" s="633">
        <f t="shared" si="4"/>
        <v>0</v>
      </c>
      <c r="AI13" s="634">
        <f t="shared" si="4"/>
        <v>0.92640828677839859</v>
      </c>
      <c r="AJ13" s="634">
        <f t="shared" si="4"/>
        <v>1.0130281690140845</v>
      </c>
      <c r="AK13" s="634">
        <f t="shared" si="4"/>
        <v>1.2816823899371068</v>
      </c>
      <c r="AL13" s="634">
        <f t="shared" si="4"/>
        <v>1.5897401433691756</v>
      </c>
      <c r="AM13" s="634">
        <f t="shared" si="4"/>
        <v>1.8393518518518515</v>
      </c>
      <c r="AN13" s="635">
        <f t="shared" si="4"/>
        <v>2.1509485815602836</v>
      </c>
      <c r="AO13" s="634">
        <f t="shared" si="5"/>
        <v>0</v>
      </c>
      <c r="AP13" s="634">
        <f t="shared" si="5"/>
        <v>0.92640828677839859</v>
      </c>
      <c r="AQ13" s="634">
        <f t="shared" si="5"/>
        <v>1.0130281690140845</v>
      </c>
      <c r="AR13" s="634">
        <f t="shared" si="5"/>
        <v>1.2816823899371068</v>
      </c>
      <c r="AS13" s="634">
        <f t="shared" si="5"/>
        <v>1.5897401433691756</v>
      </c>
      <c r="AT13" s="634">
        <f t="shared" si="5"/>
        <v>1.8393518518518515</v>
      </c>
      <c r="AU13" s="635">
        <f t="shared" si="5"/>
        <v>2.1509485815602836</v>
      </c>
      <c r="AV13" s="627">
        <f t="shared" si="6"/>
        <v>0</v>
      </c>
      <c r="AW13" s="628">
        <f t="shared" si="7"/>
        <v>0.96971822789624162</v>
      </c>
      <c r="AX13" s="632">
        <f t="shared" si="8"/>
        <v>1.7154307416796044</v>
      </c>
      <c r="AY13" s="627">
        <f t="shared" si="9"/>
        <v>0</v>
      </c>
      <c r="AZ13" s="628">
        <f t="shared" si="10"/>
        <v>0.96971822789624162</v>
      </c>
      <c r="BA13" s="632">
        <f t="shared" si="11"/>
        <v>1.7154307416796044</v>
      </c>
      <c r="BB13" s="636" t="s">
        <v>48</v>
      </c>
      <c r="BC13" s="636">
        <f t="shared" si="12"/>
        <v>6152.7947033179635</v>
      </c>
      <c r="BD13" s="636">
        <f t="shared" si="12"/>
        <v>5626.6944734098015</v>
      </c>
      <c r="BE13" s="636">
        <f t="shared" si="12"/>
        <v>4447.2796417837208</v>
      </c>
      <c r="BF13" s="636">
        <f t="shared" si="12"/>
        <v>3585.4916438858045</v>
      </c>
      <c r="BG13" s="636">
        <f t="shared" si="12"/>
        <v>3098.9176944374535</v>
      </c>
      <c r="BH13" s="636">
        <f t="shared" si="12"/>
        <v>2649.9936115931041</v>
      </c>
      <c r="BI13" s="636" t="s">
        <v>48</v>
      </c>
      <c r="BJ13" s="636">
        <f t="shared" si="12"/>
        <v>6152.7947033179635</v>
      </c>
      <c r="BK13" s="636">
        <f t="shared" si="12"/>
        <v>5626.6944734098015</v>
      </c>
      <c r="BL13" s="636">
        <f t="shared" si="12"/>
        <v>4447.2796417837208</v>
      </c>
      <c r="BM13" s="636">
        <f t="shared" si="12"/>
        <v>3585.4916438858045</v>
      </c>
      <c r="BN13" s="636">
        <f t="shared" si="12"/>
        <v>3098.9176944374535</v>
      </c>
      <c r="BO13" s="636">
        <f t="shared" si="12"/>
        <v>2649.9936115931041</v>
      </c>
    </row>
    <row r="14" spans="1:67" s="152" customFormat="1" ht="14.65" customHeight="1">
      <c r="A14" s="637"/>
      <c r="B14" s="402" t="s">
        <v>297</v>
      </c>
      <c r="C14" s="637"/>
      <c r="D14" s="615">
        <v>0</v>
      </c>
      <c r="E14" s="149">
        <v>1</v>
      </c>
      <c r="F14" s="149">
        <v>1</v>
      </c>
      <c r="G14" s="246">
        <f>'Compiled Articles'!G13</f>
        <v>88</v>
      </c>
      <c r="H14" s="246">
        <f>'Compiled Articles'!$G$11</f>
        <v>365</v>
      </c>
      <c r="I14" s="246">
        <f>I13</f>
        <v>1</v>
      </c>
      <c r="J14" s="624">
        <f t="shared" si="15"/>
        <v>6.9999999999999994E-5</v>
      </c>
      <c r="K14" s="625">
        <f t="shared" si="16"/>
        <v>1.0266666666666666E-4</v>
      </c>
      <c r="L14" s="638" t="s">
        <v>685</v>
      </c>
      <c r="M14" s="627">
        <f>(INDEX('Dermal Calcs'!$B$61:$H$67, MATCH($L14,'Dermal Calcs'!$A$61:$A$67, 0), MATCH(M$3, 'Dermal Calcs'!$B$60:$H$60, 0)))*$K14*$D14</f>
        <v>0</v>
      </c>
      <c r="N14" s="628">
        <f>(INDEX('Dermal Calcs'!$B$61:$H$67, MATCH($L14,'Dermal Calcs'!$A$61:$A$67, 0), MATCH(N$3, 'Dermal Calcs'!$B$60:$H$60, 0)))*$K14*$E14</f>
        <v>5.9506517690875239E-4</v>
      </c>
      <c r="O14" s="628">
        <f>(INDEX('Dermal Calcs'!$B$61:$H$67, MATCH($L14,'Dermal Calcs'!$A$61:$A$67, 0), MATCH(O$3, 'Dermal Calcs'!$B$60:$H$60, 0)))*$K14*$E14</f>
        <v>6.5070422535211273E-4</v>
      </c>
      <c r="P14" s="630">
        <f>(INDEX('Dermal Calcs'!$B$61:$H$67, MATCH($L14,'Dermal Calcs'!$A$61:$A$67, 0), MATCH(P$3, 'Dermal Calcs'!$B$60:$H$60, 0)))*$K14*$F14</f>
        <v>8.2327044025157226E-4</v>
      </c>
      <c r="Q14" s="630">
        <f>(INDEX('Dermal Calcs'!$B$61:$H$67, MATCH($L14,'Dermal Calcs'!$A$61:$A$67, 0), MATCH(Q$3, 'Dermal Calcs'!$B$60:$H$60, 0)))*$K14*$F14</f>
        <v>1.0211469534050178E-3</v>
      </c>
      <c r="R14" s="630">
        <f>(INDEX('Dermal Calcs'!$B$61:$H$67, MATCH($L14,'Dermal Calcs'!$A$61:$A$67, 0), MATCH(R$3, 'Dermal Calcs'!$B$60:$H$60, 0)))*$K14*$F14</f>
        <v>1.1814814814814813E-3</v>
      </c>
      <c r="S14" s="631">
        <f>(INDEX('Dermal Calcs'!$B$61:$H$67, MATCH($L14,'Dermal Calcs'!$A$61:$A$67, 0), MATCH(S$3, 'Dermal Calcs'!$B$60:$H$60, 0)))*$K14*$F14</f>
        <v>1.381631205673759E-3</v>
      </c>
      <c r="T14" s="639">
        <f t="shared" si="2"/>
        <v>0</v>
      </c>
      <c r="U14" s="640">
        <f t="shared" si="2"/>
        <v>0.21719878957169461</v>
      </c>
      <c r="V14" s="640">
        <f t="shared" si="2"/>
        <v>0.23750704225352115</v>
      </c>
      <c r="W14" s="641">
        <f t="shared" si="2"/>
        <v>0.30049371069182385</v>
      </c>
      <c r="X14" s="641">
        <f t="shared" si="2"/>
        <v>0.3727186379928315</v>
      </c>
      <c r="Y14" s="641">
        <f t="shared" si="2"/>
        <v>0.43124074074074065</v>
      </c>
      <c r="Z14" s="641">
        <f t="shared" si="2"/>
        <v>0.50429539007092206</v>
      </c>
      <c r="AA14" s="639">
        <f t="shared" si="3"/>
        <v>0</v>
      </c>
      <c r="AB14" s="640">
        <f t="shared" si="3"/>
        <v>5.9506517690875239E-4</v>
      </c>
      <c r="AC14" s="640">
        <f t="shared" si="3"/>
        <v>6.5070422535211273E-4</v>
      </c>
      <c r="AD14" s="641">
        <f t="shared" si="3"/>
        <v>8.2327044025157226E-4</v>
      </c>
      <c r="AE14" s="641">
        <f t="shared" si="3"/>
        <v>1.0211469534050178E-3</v>
      </c>
      <c r="AF14" s="641">
        <f t="shared" si="3"/>
        <v>1.1814814814814813E-3</v>
      </c>
      <c r="AG14" s="641">
        <f t="shared" si="3"/>
        <v>1.381631205673759E-3</v>
      </c>
      <c r="AH14" s="633">
        <f t="shared" si="4"/>
        <v>0</v>
      </c>
      <c r="AI14" s="634">
        <f t="shared" si="4"/>
        <v>0.59506517690875238</v>
      </c>
      <c r="AJ14" s="634">
        <f t="shared" si="4"/>
        <v>0.6507042253521127</v>
      </c>
      <c r="AK14" s="634">
        <f t="shared" si="4"/>
        <v>0.82327044025157214</v>
      </c>
      <c r="AL14" s="634">
        <f t="shared" si="4"/>
        <v>1.0211469534050177</v>
      </c>
      <c r="AM14" s="634">
        <f t="shared" si="4"/>
        <v>1.1814814814814811</v>
      </c>
      <c r="AN14" s="635">
        <f t="shared" si="4"/>
        <v>1.381631205673759</v>
      </c>
      <c r="AO14" s="634">
        <f t="shared" si="5"/>
        <v>0</v>
      </c>
      <c r="AP14" s="634">
        <f t="shared" si="5"/>
        <v>0.59506517690875238</v>
      </c>
      <c r="AQ14" s="634">
        <f t="shared" si="5"/>
        <v>0.6507042253521127</v>
      </c>
      <c r="AR14" s="634">
        <f t="shared" si="5"/>
        <v>0.82327044025157226</v>
      </c>
      <c r="AS14" s="634">
        <f t="shared" si="5"/>
        <v>1.0211469534050177</v>
      </c>
      <c r="AT14" s="634">
        <f t="shared" si="5"/>
        <v>1.1814814814814814</v>
      </c>
      <c r="AU14" s="635">
        <f t="shared" si="5"/>
        <v>1.381631205673759</v>
      </c>
      <c r="AV14" s="639">
        <f t="shared" si="6"/>
        <v>0</v>
      </c>
      <c r="AW14" s="640">
        <f t="shared" si="7"/>
        <v>0.62288470113043248</v>
      </c>
      <c r="AX14" s="641">
        <f t="shared" si="8"/>
        <v>1.1018825202029574</v>
      </c>
      <c r="AY14" s="639">
        <f t="shared" si="9"/>
        <v>0</v>
      </c>
      <c r="AZ14" s="640">
        <f t="shared" si="10"/>
        <v>0.62288470113043259</v>
      </c>
      <c r="BA14" s="641">
        <f t="shared" si="11"/>
        <v>1.1018825202029576</v>
      </c>
      <c r="BB14" s="636" t="s">
        <v>48</v>
      </c>
      <c r="BC14" s="636">
        <f t="shared" si="12"/>
        <v>9578.7826631200114</v>
      </c>
      <c r="BD14" s="636">
        <f t="shared" si="12"/>
        <v>8759.7402597402597</v>
      </c>
      <c r="BE14" s="636">
        <f t="shared" si="12"/>
        <v>6923.6058059587485</v>
      </c>
      <c r="BF14" s="636">
        <f t="shared" si="12"/>
        <v>5581.9585819585827</v>
      </c>
      <c r="BG14" s="636">
        <f t="shared" si="12"/>
        <v>4824.4514106583083</v>
      </c>
      <c r="BH14" s="636">
        <f t="shared" si="12"/>
        <v>4125.558236230173</v>
      </c>
      <c r="BI14" s="636" t="s">
        <v>48</v>
      </c>
      <c r="BJ14" s="636">
        <f t="shared" si="12"/>
        <v>9578.7826631200114</v>
      </c>
      <c r="BK14" s="636">
        <f t="shared" si="12"/>
        <v>8759.7402597402597</v>
      </c>
      <c r="BL14" s="636">
        <f t="shared" si="12"/>
        <v>6923.6058059587476</v>
      </c>
      <c r="BM14" s="636">
        <f t="shared" si="12"/>
        <v>5581.9585819585827</v>
      </c>
      <c r="BN14" s="636">
        <f t="shared" si="12"/>
        <v>4824.4514106583074</v>
      </c>
      <c r="BO14" s="636">
        <f t="shared" si="12"/>
        <v>4125.558236230173</v>
      </c>
    </row>
    <row r="15" spans="1:67" s="648" customFormat="1" ht="14.65" customHeight="1">
      <c r="A15" s="642"/>
      <c r="B15" s="643" t="s">
        <v>298</v>
      </c>
      <c r="C15" s="642"/>
      <c r="D15" s="618">
        <v>0</v>
      </c>
      <c r="E15" s="619">
        <v>1</v>
      </c>
      <c r="F15" s="619">
        <v>1</v>
      </c>
      <c r="G15" s="246">
        <f>'Compiled Articles'!G14</f>
        <v>24</v>
      </c>
      <c r="H15" s="246">
        <f>'Compiled Articles'!$G$11</f>
        <v>365</v>
      </c>
      <c r="I15" s="246">
        <f>I13</f>
        <v>1</v>
      </c>
      <c r="J15" s="624">
        <f t="shared" si="15"/>
        <v>6.9999999999999994E-5</v>
      </c>
      <c r="K15" s="625">
        <f t="shared" si="16"/>
        <v>2.7999999999999996E-5</v>
      </c>
      <c r="L15" s="644" t="s">
        <v>685</v>
      </c>
      <c r="M15" s="627">
        <f>(INDEX('Dermal Calcs'!$B$61:$H$67, MATCH($L15,'Dermal Calcs'!$A$61:$A$67, 0), MATCH(M$3, 'Dermal Calcs'!$B$60:$H$60, 0)))*$K15*$D15</f>
        <v>0</v>
      </c>
      <c r="N15" s="628">
        <f>(INDEX('Dermal Calcs'!$B$61:$H$67, MATCH($L15,'Dermal Calcs'!$A$61:$A$67, 0), MATCH(N$3, 'Dermal Calcs'!$B$60:$H$60, 0)))*$K15*$E15</f>
        <v>1.6229050279329609E-4</v>
      </c>
      <c r="O15" s="628">
        <f>(INDEX('Dermal Calcs'!$B$61:$H$67, MATCH($L15,'Dermal Calcs'!$A$61:$A$67, 0), MATCH(O$3, 'Dermal Calcs'!$B$60:$H$60, 0)))*$K15*$E15</f>
        <v>1.7746478873239435E-4</v>
      </c>
      <c r="P15" s="630">
        <f>(INDEX('Dermal Calcs'!$B$61:$H$67, MATCH($L15,'Dermal Calcs'!$A$61:$A$67, 0), MATCH(P$3, 'Dermal Calcs'!$B$60:$H$60, 0)))*$K15*$F15</f>
        <v>2.2452830188679241E-4</v>
      </c>
      <c r="Q15" s="630">
        <f>(INDEX('Dermal Calcs'!$B$61:$H$67, MATCH($L15,'Dermal Calcs'!$A$61:$A$67, 0), MATCH(Q$3, 'Dermal Calcs'!$B$60:$H$60, 0)))*$K15*$F15</f>
        <v>2.7849462365591392E-4</v>
      </c>
      <c r="R15" s="630">
        <f>(INDEX('Dermal Calcs'!$B$61:$H$67, MATCH($L15,'Dermal Calcs'!$A$61:$A$67, 0), MATCH(R$3, 'Dermal Calcs'!$B$60:$H$60, 0)))*$K15*$F15</f>
        <v>3.2222222222222212E-4</v>
      </c>
      <c r="S15" s="631">
        <f>(INDEX('Dermal Calcs'!$B$61:$H$67, MATCH($L15,'Dermal Calcs'!$A$61:$A$67, 0), MATCH(S$3, 'Dermal Calcs'!$B$60:$H$60, 0)))*$K15*$F15</f>
        <v>3.7680851063829783E-4</v>
      </c>
      <c r="T15" s="645">
        <f t="shared" si="2"/>
        <v>0</v>
      </c>
      <c r="U15" s="646">
        <f t="shared" si="2"/>
        <v>5.9236033519553075E-2</v>
      </c>
      <c r="V15" s="646">
        <f t="shared" si="2"/>
        <v>6.4774647887323941E-2</v>
      </c>
      <c r="W15" s="647">
        <f t="shared" si="2"/>
        <v>8.1952830188679229E-2</v>
      </c>
      <c r="X15" s="647">
        <f t="shared" si="2"/>
        <v>0.10165053763440858</v>
      </c>
      <c r="Y15" s="647">
        <f t="shared" si="2"/>
        <v>0.11761111111111107</v>
      </c>
      <c r="Z15" s="647">
        <f t="shared" si="2"/>
        <v>0.13753510638297869</v>
      </c>
      <c r="AA15" s="645">
        <f t="shared" si="3"/>
        <v>0</v>
      </c>
      <c r="AB15" s="646">
        <f t="shared" si="3"/>
        <v>1.6229050279329609E-4</v>
      </c>
      <c r="AC15" s="646">
        <f t="shared" si="3"/>
        <v>1.7746478873239435E-4</v>
      </c>
      <c r="AD15" s="647">
        <f t="shared" si="3"/>
        <v>2.2452830188679241E-4</v>
      </c>
      <c r="AE15" s="647">
        <f t="shared" si="3"/>
        <v>2.7849462365591392E-4</v>
      </c>
      <c r="AF15" s="647">
        <f t="shared" si="3"/>
        <v>3.2222222222222212E-4</v>
      </c>
      <c r="AG15" s="647">
        <f t="shared" si="3"/>
        <v>3.7680851063829783E-4</v>
      </c>
      <c r="AH15" s="633">
        <f t="shared" si="4"/>
        <v>0</v>
      </c>
      <c r="AI15" s="634">
        <f t="shared" si="4"/>
        <v>0.1622905027932961</v>
      </c>
      <c r="AJ15" s="634">
        <f t="shared" si="4"/>
        <v>0.17746478873239435</v>
      </c>
      <c r="AK15" s="634">
        <f t="shared" si="4"/>
        <v>0.2245283018867924</v>
      </c>
      <c r="AL15" s="634">
        <f t="shared" si="4"/>
        <v>0.27849462365591393</v>
      </c>
      <c r="AM15" s="634">
        <f t="shared" si="4"/>
        <v>0.32222222222222213</v>
      </c>
      <c r="AN15" s="635">
        <f t="shared" si="4"/>
        <v>0.37680851063829773</v>
      </c>
      <c r="AO15" s="634">
        <f t="shared" si="5"/>
        <v>0</v>
      </c>
      <c r="AP15" s="634">
        <f t="shared" si="5"/>
        <v>0.1622905027932961</v>
      </c>
      <c r="AQ15" s="634">
        <f t="shared" si="5"/>
        <v>0.17746478873239435</v>
      </c>
      <c r="AR15" s="634">
        <f t="shared" si="5"/>
        <v>0.2245283018867924</v>
      </c>
      <c r="AS15" s="634">
        <f t="shared" si="5"/>
        <v>0.27849462365591393</v>
      </c>
      <c r="AT15" s="634">
        <f t="shared" si="5"/>
        <v>0.32222222222222213</v>
      </c>
      <c r="AU15" s="635">
        <f t="shared" si="5"/>
        <v>0.37680851063829784</v>
      </c>
      <c r="AV15" s="645">
        <f t="shared" si="6"/>
        <v>0</v>
      </c>
      <c r="AW15" s="646">
        <f t="shared" si="7"/>
        <v>0.16987764576284523</v>
      </c>
      <c r="AX15" s="647">
        <f t="shared" si="8"/>
        <v>0.30051341460080655</v>
      </c>
      <c r="AY15" s="645">
        <f t="shared" si="9"/>
        <v>0</v>
      </c>
      <c r="AZ15" s="646">
        <f t="shared" si="10"/>
        <v>0.16987764576284523</v>
      </c>
      <c r="BA15" s="647">
        <f t="shared" si="11"/>
        <v>0.30051341460080655</v>
      </c>
      <c r="BB15" s="636" t="s">
        <v>48</v>
      </c>
      <c r="BC15" s="636">
        <f t="shared" si="12"/>
        <v>35122.203098106707</v>
      </c>
      <c r="BD15" s="636">
        <f t="shared" si="12"/>
        <v>32119.047619047622</v>
      </c>
      <c r="BE15" s="636">
        <f t="shared" si="12"/>
        <v>25386.554621848743</v>
      </c>
      <c r="BF15" s="636">
        <f t="shared" si="12"/>
        <v>20467.181467181472</v>
      </c>
      <c r="BG15" s="636">
        <f t="shared" si="12"/>
        <v>17689.655172413797</v>
      </c>
      <c r="BH15" s="636">
        <f t="shared" si="12"/>
        <v>15127.046866177307</v>
      </c>
      <c r="BI15" s="636" t="s">
        <v>48</v>
      </c>
      <c r="BJ15" s="636">
        <f t="shared" si="12"/>
        <v>35122.203098106707</v>
      </c>
      <c r="BK15" s="636">
        <f t="shared" si="12"/>
        <v>32119.047619047622</v>
      </c>
      <c r="BL15" s="636">
        <f t="shared" si="12"/>
        <v>25386.554621848743</v>
      </c>
      <c r="BM15" s="636">
        <f t="shared" si="12"/>
        <v>20467.181467181472</v>
      </c>
      <c r="BN15" s="636">
        <f t="shared" si="12"/>
        <v>17689.655172413797</v>
      </c>
      <c r="BO15" s="636">
        <f t="shared" si="12"/>
        <v>15127.046866177303</v>
      </c>
    </row>
    <row r="16" spans="1:67" s="152" customFormat="1" ht="14.65" customHeight="1">
      <c r="A16" s="623" t="str">
        <f>'Compiled Articles'!H6</f>
        <v>Children's Toys (New)</v>
      </c>
      <c r="B16" s="402" t="s">
        <v>296</v>
      </c>
      <c r="C16" s="623" t="s">
        <v>201</v>
      </c>
      <c r="D16" s="615">
        <v>0</v>
      </c>
      <c r="E16" s="149">
        <v>1</v>
      </c>
      <c r="F16" s="149">
        <v>1</v>
      </c>
      <c r="G16" s="246">
        <f>'Compiled Articles'!H12</f>
        <v>137</v>
      </c>
      <c r="H16" s="246">
        <f>'Compiled Articles'!$H$11</f>
        <v>365</v>
      </c>
      <c r="I16" s="246">
        <v>1</v>
      </c>
      <c r="J16" s="624">
        <f t="shared" si="15"/>
        <v>6.9999999999999994E-5</v>
      </c>
      <c r="K16" s="625">
        <f t="shared" si="16"/>
        <v>1.5983333333333333E-4</v>
      </c>
      <c r="L16" s="626" t="s">
        <v>685</v>
      </c>
      <c r="M16" s="627">
        <f>(INDEX('Dermal Calcs'!$B$61:$H$67, MATCH($L16,'Dermal Calcs'!$A$61:$A$67, 0), MATCH(M$3, 'Dermal Calcs'!$B$60:$H$60, 0)))*$K16*$D16</f>
        <v>0</v>
      </c>
      <c r="N16" s="628">
        <f>(INDEX('Dermal Calcs'!$B$61:$H$67, MATCH($L16,'Dermal Calcs'!$A$61:$A$67, 0), MATCH(N$3, 'Dermal Calcs'!$B$60:$H$60, 0)))*$K16*$E16</f>
        <v>9.2640828677839865E-4</v>
      </c>
      <c r="O16" s="628">
        <f>(INDEX('Dermal Calcs'!$B$61:$H$67, MATCH($L16,'Dermal Calcs'!$A$61:$A$67, 0), MATCH(O$3, 'Dermal Calcs'!$B$60:$H$60, 0)))*$K16*$E16</f>
        <v>1.0130281690140846E-3</v>
      </c>
      <c r="P16" s="630">
        <f>(INDEX('Dermal Calcs'!$B$61:$H$67, MATCH($L16,'Dermal Calcs'!$A$61:$A$67, 0), MATCH(P$3, 'Dermal Calcs'!$B$60:$H$60, 0)))*$K16*$F16</f>
        <v>1.2816823899371068E-3</v>
      </c>
      <c r="Q16" s="630">
        <f>(INDEX('Dermal Calcs'!$B$61:$H$67, MATCH($L16,'Dermal Calcs'!$A$61:$A$67, 0), MATCH(Q$3, 'Dermal Calcs'!$B$60:$H$60, 0)))*$K16*$F16</f>
        <v>1.5897401433691755E-3</v>
      </c>
      <c r="R16" s="630">
        <f>(INDEX('Dermal Calcs'!$B$61:$H$67, MATCH($L16,'Dermal Calcs'!$A$61:$A$67, 0), MATCH(R$3, 'Dermal Calcs'!$B$60:$H$60, 0)))*$K16*$F16</f>
        <v>1.8393518518518516E-3</v>
      </c>
      <c r="S16" s="631">
        <f>(INDEX('Dermal Calcs'!$B$61:$H$67, MATCH($L16,'Dermal Calcs'!$A$61:$A$67, 0), MATCH(S$3, 'Dermal Calcs'!$B$60:$H$60, 0)))*$K16*$F16</f>
        <v>2.1509485815602836E-3</v>
      </c>
      <c r="T16" s="627">
        <f t="shared" si="2"/>
        <v>0</v>
      </c>
      <c r="U16" s="628">
        <f t="shared" si="2"/>
        <v>0.3381390246741155</v>
      </c>
      <c r="V16" s="628">
        <f t="shared" si="2"/>
        <v>0.36975528169014088</v>
      </c>
      <c r="W16" s="632">
        <f t="shared" si="2"/>
        <v>0.46781407232704397</v>
      </c>
      <c r="X16" s="632">
        <f t="shared" si="2"/>
        <v>0.58025515232974911</v>
      </c>
      <c r="Y16" s="632">
        <f t="shared" si="2"/>
        <v>0.67136342592592579</v>
      </c>
      <c r="Z16" s="632">
        <f t="shared" si="2"/>
        <v>0.78509623226950354</v>
      </c>
      <c r="AA16" s="627">
        <f t="shared" si="3"/>
        <v>0</v>
      </c>
      <c r="AB16" s="628">
        <f t="shared" si="3"/>
        <v>9.2640828677839865E-4</v>
      </c>
      <c r="AC16" s="628">
        <f t="shared" si="3"/>
        <v>1.0130281690140846E-3</v>
      </c>
      <c r="AD16" s="632">
        <f t="shared" si="3"/>
        <v>1.2816823899371068E-3</v>
      </c>
      <c r="AE16" s="632">
        <f t="shared" si="3"/>
        <v>1.5897401433691755E-3</v>
      </c>
      <c r="AF16" s="632">
        <f t="shared" si="3"/>
        <v>1.8393518518518516E-3</v>
      </c>
      <c r="AG16" s="632">
        <f t="shared" si="3"/>
        <v>2.1509485815602836E-3</v>
      </c>
      <c r="AH16" s="633">
        <f t="shared" si="4"/>
        <v>0</v>
      </c>
      <c r="AI16" s="634">
        <f t="shared" si="4"/>
        <v>0.92640828677839859</v>
      </c>
      <c r="AJ16" s="634">
        <f t="shared" si="4"/>
        <v>1.0130281690140845</v>
      </c>
      <c r="AK16" s="634">
        <f t="shared" si="4"/>
        <v>1.2816823899371068</v>
      </c>
      <c r="AL16" s="634">
        <f t="shared" si="4"/>
        <v>1.5897401433691756</v>
      </c>
      <c r="AM16" s="634">
        <f t="shared" si="4"/>
        <v>1.8393518518518515</v>
      </c>
      <c r="AN16" s="635">
        <f t="shared" si="4"/>
        <v>2.1509485815602836</v>
      </c>
      <c r="AO16" s="634">
        <f t="shared" si="5"/>
        <v>0</v>
      </c>
      <c r="AP16" s="634">
        <f t="shared" si="5"/>
        <v>0.92640828677839859</v>
      </c>
      <c r="AQ16" s="634">
        <f t="shared" si="5"/>
        <v>1.0130281690140845</v>
      </c>
      <c r="AR16" s="634">
        <f t="shared" si="5"/>
        <v>1.2816823899371068</v>
      </c>
      <c r="AS16" s="634">
        <f t="shared" si="5"/>
        <v>1.5897401433691756</v>
      </c>
      <c r="AT16" s="634">
        <f t="shared" si="5"/>
        <v>1.8393518518518515</v>
      </c>
      <c r="AU16" s="635">
        <f t="shared" si="5"/>
        <v>2.1509485815602836</v>
      </c>
      <c r="AV16" s="627">
        <f t="shared" si="6"/>
        <v>0</v>
      </c>
      <c r="AW16" s="628">
        <f t="shared" si="7"/>
        <v>0.96971822789624162</v>
      </c>
      <c r="AX16" s="632">
        <f t="shared" si="8"/>
        <v>1.7154307416796044</v>
      </c>
      <c r="AY16" s="627">
        <f t="shared" si="9"/>
        <v>0</v>
      </c>
      <c r="AZ16" s="628">
        <f t="shared" si="10"/>
        <v>0.96971822789624162</v>
      </c>
      <c r="BA16" s="632">
        <f t="shared" si="11"/>
        <v>1.7154307416796044</v>
      </c>
      <c r="BB16" s="636" t="s">
        <v>48</v>
      </c>
      <c r="BC16" s="636">
        <f t="shared" si="12"/>
        <v>6152.7947033179635</v>
      </c>
      <c r="BD16" s="636">
        <f t="shared" si="12"/>
        <v>5626.6944734098015</v>
      </c>
      <c r="BE16" s="636">
        <f t="shared" si="12"/>
        <v>4447.2796417837208</v>
      </c>
      <c r="BF16" s="636">
        <f t="shared" si="12"/>
        <v>3585.4916438858045</v>
      </c>
      <c r="BG16" s="636">
        <f t="shared" si="12"/>
        <v>3098.9176944374535</v>
      </c>
      <c r="BH16" s="636">
        <f t="shared" si="12"/>
        <v>2649.9936115931041</v>
      </c>
      <c r="BI16" s="636" t="s">
        <v>48</v>
      </c>
      <c r="BJ16" s="636">
        <f t="shared" si="12"/>
        <v>6152.7947033179635</v>
      </c>
      <c r="BK16" s="636">
        <f t="shared" si="12"/>
        <v>5626.6944734098015</v>
      </c>
      <c r="BL16" s="636">
        <f t="shared" si="12"/>
        <v>4447.2796417837208</v>
      </c>
      <c r="BM16" s="636">
        <f t="shared" si="12"/>
        <v>3585.4916438858045</v>
      </c>
      <c r="BN16" s="636">
        <f t="shared" si="12"/>
        <v>3098.9176944374535</v>
      </c>
      <c r="BO16" s="636">
        <f t="shared" si="12"/>
        <v>2649.9936115931041</v>
      </c>
    </row>
    <row r="17" spans="1:67" s="152" customFormat="1" ht="14.65" customHeight="1">
      <c r="A17" s="637"/>
      <c r="B17" s="402" t="s">
        <v>297</v>
      </c>
      <c r="C17" s="637"/>
      <c r="D17" s="615">
        <v>0</v>
      </c>
      <c r="E17" s="149">
        <v>1</v>
      </c>
      <c r="F17" s="149">
        <v>1</v>
      </c>
      <c r="G17" s="246">
        <f>'Compiled Articles'!H13</f>
        <v>88</v>
      </c>
      <c r="H17" s="246">
        <f>'Compiled Articles'!$H$11</f>
        <v>365</v>
      </c>
      <c r="I17" s="246">
        <f>I16</f>
        <v>1</v>
      </c>
      <c r="J17" s="624">
        <f t="shared" si="15"/>
        <v>6.9999999999999994E-5</v>
      </c>
      <c r="K17" s="625">
        <f t="shared" si="16"/>
        <v>1.0266666666666666E-4</v>
      </c>
      <c r="L17" s="638" t="s">
        <v>685</v>
      </c>
      <c r="M17" s="627">
        <f>(INDEX('Dermal Calcs'!$B$61:$H$67, MATCH($L17,'Dermal Calcs'!$A$61:$A$67, 0), MATCH(M$3, 'Dermal Calcs'!$B$60:$H$60, 0)))*$K17*$D17</f>
        <v>0</v>
      </c>
      <c r="N17" s="628">
        <f>(INDEX('Dermal Calcs'!$B$61:$H$67, MATCH($L17,'Dermal Calcs'!$A$61:$A$67, 0), MATCH(N$3, 'Dermal Calcs'!$B$60:$H$60, 0)))*$K17*$E17</f>
        <v>5.9506517690875239E-4</v>
      </c>
      <c r="O17" s="628">
        <f>(INDEX('Dermal Calcs'!$B$61:$H$67, MATCH($L17,'Dermal Calcs'!$A$61:$A$67, 0), MATCH(O$3, 'Dermal Calcs'!$B$60:$H$60, 0)))*$K17*$E17</f>
        <v>6.5070422535211273E-4</v>
      </c>
      <c r="P17" s="630">
        <f>(INDEX('Dermal Calcs'!$B$61:$H$67, MATCH($L17,'Dermal Calcs'!$A$61:$A$67, 0), MATCH(P$3, 'Dermal Calcs'!$B$60:$H$60, 0)))*$K17*$F17</f>
        <v>8.2327044025157226E-4</v>
      </c>
      <c r="Q17" s="630">
        <f>(INDEX('Dermal Calcs'!$B$61:$H$67, MATCH($L17,'Dermal Calcs'!$A$61:$A$67, 0), MATCH(Q$3, 'Dermal Calcs'!$B$60:$H$60, 0)))*$K17*$F17</f>
        <v>1.0211469534050178E-3</v>
      </c>
      <c r="R17" s="630">
        <f>(INDEX('Dermal Calcs'!$B$61:$H$67, MATCH($L17,'Dermal Calcs'!$A$61:$A$67, 0), MATCH(R$3, 'Dermal Calcs'!$B$60:$H$60, 0)))*$K17*$F17</f>
        <v>1.1814814814814813E-3</v>
      </c>
      <c r="S17" s="631">
        <f>(INDEX('Dermal Calcs'!$B$61:$H$67, MATCH($L17,'Dermal Calcs'!$A$61:$A$67, 0), MATCH(S$3, 'Dermal Calcs'!$B$60:$H$60, 0)))*$K17*$F17</f>
        <v>1.381631205673759E-3</v>
      </c>
      <c r="T17" s="639">
        <f t="shared" si="2"/>
        <v>0</v>
      </c>
      <c r="U17" s="640">
        <f t="shared" si="2"/>
        <v>0.21719878957169461</v>
      </c>
      <c r="V17" s="640">
        <f t="shared" si="2"/>
        <v>0.23750704225352115</v>
      </c>
      <c r="W17" s="641">
        <f t="shared" si="2"/>
        <v>0.30049371069182385</v>
      </c>
      <c r="X17" s="641">
        <f t="shared" si="2"/>
        <v>0.3727186379928315</v>
      </c>
      <c r="Y17" s="641">
        <f t="shared" si="2"/>
        <v>0.43124074074074065</v>
      </c>
      <c r="Z17" s="641">
        <f t="shared" si="2"/>
        <v>0.50429539007092206</v>
      </c>
      <c r="AA17" s="639">
        <f t="shared" si="3"/>
        <v>0</v>
      </c>
      <c r="AB17" s="640">
        <f t="shared" si="3"/>
        <v>5.9506517690875239E-4</v>
      </c>
      <c r="AC17" s="640">
        <f t="shared" si="3"/>
        <v>6.5070422535211273E-4</v>
      </c>
      <c r="AD17" s="641">
        <f t="shared" si="3"/>
        <v>8.2327044025157226E-4</v>
      </c>
      <c r="AE17" s="641">
        <f t="shared" si="3"/>
        <v>1.0211469534050178E-3</v>
      </c>
      <c r="AF17" s="641">
        <f t="shared" si="3"/>
        <v>1.1814814814814813E-3</v>
      </c>
      <c r="AG17" s="641">
        <f t="shared" si="3"/>
        <v>1.381631205673759E-3</v>
      </c>
      <c r="AH17" s="633">
        <f t="shared" si="4"/>
        <v>0</v>
      </c>
      <c r="AI17" s="634">
        <f t="shared" si="4"/>
        <v>0.59506517690875238</v>
      </c>
      <c r="AJ17" s="634">
        <f t="shared" si="4"/>
        <v>0.6507042253521127</v>
      </c>
      <c r="AK17" s="634">
        <f t="shared" si="4"/>
        <v>0.82327044025157214</v>
      </c>
      <c r="AL17" s="634">
        <f t="shared" si="4"/>
        <v>1.0211469534050177</v>
      </c>
      <c r="AM17" s="634">
        <f t="shared" si="4"/>
        <v>1.1814814814814811</v>
      </c>
      <c r="AN17" s="635">
        <f t="shared" si="4"/>
        <v>1.381631205673759</v>
      </c>
      <c r="AO17" s="634">
        <f t="shared" si="5"/>
        <v>0</v>
      </c>
      <c r="AP17" s="634">
        <f t="shared" si="5"/>
        <v>0.59506517690875238</v>
      </c>
      <c r="AQ17" s="634">
        <f t="shared" si="5"/>
        <v>0.6507042253521127</v>
      </c>
      <c r="AR17" s="634">
        <f t="shared" si="5"/>
        <v>0.82327044025157226</v>
      </c>
      <c r="AS17" s="634">
        <f t="shared" si="5"/>
        <v>1.0211469534050177</v>
      </c>
      <c r="AT17" s="634">
        <f t="shared" si="5"/>
        <v>1.1814814814814814</v>
      </c>
      <c r="AU17" s="635">
        <f t="shared" si="5"/>
        <v>1.381631205673759</v>
      </c>
      <c r="AV17" s="639">
        <f t="shared" si="6"/>
        <v>0</v>
      </c>
      <c r="AW17" s="640">
        <f t="shared" si="7"/>
        <v>0.62288470113043248</v>
      </c>
      <c r="AX17" s="641">
        <f t="shared" si="8"/>
        <v>1.1018825202029574</v>
      </c>
      <c r="AY17" s="639">
        <f t="shared" si="9"/>
        <v>0</v>
      </c>
      <c r="AZ17" s="640">
        <f t="shared" si="10"/>
        <v>0.62288470113043259</v>
      </c>
      <c r="BA17" s="641">
        <f t="shared" si="11"/>
        <v>1.1018825202029576</v>
      </c>
      <c r="BB17" s="636" t="s">
        <v>48</v>
      </c>
      <c r="BC17" s="636">
        <f t="shared" si="12"/>
        <v>9578.7826631200114</v>
      </c>
      <c r="BD17" s="636">
        <f t="shared" si="12"/>
        <v>8759.7402597402597</v>
      </c>
      <c r="BE17" s="636">
        <f t="shared" si="12"/>
        <v>6923.6058059587485</v>
      </c>
      <c r="BF17" s="636">
        <f t="shared" si="12"/>
        <v>5581.9585819585827</v>
      </c>
      <c r="BG17" s="636">
        <f t="shared" si="12"/>
        <v>4824.4514106583083</v>
      </c>
      <c r="BH17" s="636">
        <f t="shared" si="12"/>
        <v>4125.558236230173</v>
      </c>
      <c r="BI17" s="636" t="s">
        <v>48</v>
      </c>
      <c r="BJ17" s="636">
        <f t="shared" si="12"/>
        <v>9578.7826631200114</v>
      </c>
      <c r="BK17" s="636">
        <f t="shared" si="12"/>
        <v>8759.7402597402597</v>
      </c>
      <c r="BL17" s="636">
        <f t="shared" si="12"/>
        <v>6923.6058059587476</v>
      </c>
      <c r="BM17" s="636">
        <f t="shared" si="12"/>
        <v>5581.9585819585827</v>
      </c>
      <c r="BN17" s="636">
        <f t="shared" si="12"/>
        <v>4824.4514106583074</v>
      </c>
      <c r="BO17" s="636">
        <f t="shared" si="12"/>
        <v>4125.558236230173</v>
      </c>
    </row>
    <row r="18" spans="1:67" s="648" customFormat="1" ht="14.65" customHeight="1">
      <c r="A18" s="642"/>
      <c r="B18" s="643" t="s">
        <v>298</v>
      </c>
      <c r="C18" s="642"/>
      <c r="D18" s="618">
        <v>0</v>
      </c>
      <c r="E18" s="619">
        <v>1</v>
      </c>
      <c r="F18" s="619">
        <v>1</v>
      </c>
      <c r="G18" s="246">
        <f>'Compiled Articles'!H14</f>
        <v>24</v>
      </c>
      <c r="H18" s="246">
        <f>'Compiled Articles'!$H$11</f>
        <v>365</v>
      </c>
      <c r="I18" s="246">
        <f>I16</f>
        <v>1</v>
      </c>
      <c r="J18" s="624">
        <f t="shared" si="15"/>
        <v>6.9999999999999994E-5</v>
      </c>
      <c r="K18" s="625">
        <f t="shared" si="16"/>
        <v>2.7999999999999996E-5</v>
      </c>
      <c r="L18" s="644" t="s">
        <v>685</v>
      </c>
      <c r="M18" s="627">
        <f>(INDEX('Dermal Calcs'!$B$61:$H$67, MATCH($L18,'Dermal Calcs'!$A$61:$A$67, 0), MATCH(M$3, 'Dermal Calcs'!$B$60:$H$60, 0)))*$K18*$D18</f>
        <v>0</v>
      </c>
      <c r="N18" s="628">
        <f>(INDEX('Dermal Calcs'!$B$61:$H$67, MATCH($L18,'Dermal Calcs'!$A$61:$A$67, 0), MATCH(N$3, 'Dermal Calcs'!$B$60:$H$60, 0)))*$K18*$E18</f>
        <v>1.6229050279329609E-4</v>
      </c>
      <c r="O18" s="628">
        <f>(INDEX('Dermal Calcs'!$B$61:$H$67, MATCH($L18,'Dermal Calcs'!$A$61:$A$67, 0), MATCH(O$3, 'Dermal Calcs'!$B$60:$H$60, 0)))*$K18*$E18</f>
        <v>1.7746478873239435E-4</v>
      </c>
      <c r="P18" s="630">
        <f>(INDEX('Dermal Calcs'!$B$61:$H$67, MATCH($L18,'Dermal Calcs'!$A$61:$A$67, 0), MATCH(P$3, 'Dermal Calcs'!$B$60:$H$60, 0)))*$K18*$F18</f>
        <v>2.2452830188679241E-4</v>
      </c>
      <c r="Q18" s="630">
        <f>(INDEX('Dermal Calcs'!$B$61:$H$67, MATCH($L18,'Dermal Calcs'!$A$61:$A$67, 0), MATCH(Q$3, 'Dermal Calcs'!$B$60:$H$60, 0)))*$K18*$F18</f>
        <v>2.7849462365591392E-4</v>
      </c>
      <c r="R18" s="630">
        <f>(INDEX('Dermal Calcs'!$B$61:$H$67, MATCH($L18,'Dermal Calcs'!$A$61:$A$67, 0), MATCH(R$3, 'Dermal Calcs'!$B$60:$H$60, 0)))*$K18*$F18</f>
        <v>3.2222222222222212E-4</v>
      </c>
      <c r="S18" s="631">
        <f>(INDEX('Dermal Calcs'!$B$61:$H$67, MATCH($L18,'Dermal Calcs'!$A$61:$A$67, 0), MATCH(S$3, 'Dermal Calcs'!$B$60:$H$60, 0)))*$K18*$F18</f>
        <v>3.7680851063829783E-4</v>
      </c>
      <c r="T18" s="645">
        <f t="shared" si="2"/>
        <v>0</v>
      </c>
      <c r="U18" s="646">
        <f t="shared" si="2"/>
        <v>5.9236033519553075E-2</v>
      </c>
      <c r="V18" s="646">
        <f t="shared" si="2"/>
        <v>6.4774647887323941E-2</v>
      </c>
      <c r="W18" s="647">
        <f t="shared" si="2"/>
        <v>8.1952830188679229E-2</v>
      </c>
      <c r="X18" s="647">
        <f t="shared" si="2"/>
        <v>0.10165053763440858</v>
      </c>
      <c r="Y18" s="647">
        <f t="shared" si="2"/>
        <v>0.11761111111111107</v>
      </c>
      <c r="Z18" s="647">
        <f t="shared" si="2"/>
        <v>0.13753510638297869</v>
      </c>
      <c r="AA18" s="645">
        <f t="shared" si="3"/>
        <v>0</v>
      </c>
      <c r="AB18" s="646">
        <f t="shared" si="3"/>
        <v>1.6229050279329609E-4</v>
      </c>
      <c r="AC18" s="646">
        <f t="shared" si="3"/>
        <v>1.7746478873239435E-4</v>
      </c>
      <c r="AD18" s="647">
        <f t="shared" si="3"/>
        <v>2.2452830188679241E-4</v>
      </c>
      <c r="AE18" s="647">
        <f t="shared" si="3"/>
        <v>2.7849462365591392E-4</v>
      </c>
      <c r="AF18" s="647">
        <f t="shared" si="3"/>
        <v>3.2222222222222212E-4</v>
      </c>
      <c r="AG18" s="647">
        <f t="shared" si="3"/>
        <v>3.7680851063829783E-4</v>
      </c>
      <c r="AH18" s="633">
        <f t="shared" si="4"/>
        <v>0</v>
      </c>
      <c r="AI18" s="634">
        <f t="shared" si="4"/>
        <v>0.1622905027932961</v>
      </c>
      <c r="AJ18" s="634">
        <f t="shared" si="4"/>
        <v>0.17746478873239435</v>
      </c>
      <c r="AK18" s="634">
        <f t="shared" si="4"/>
        <v>0.2245283018867924</v>
      </c>
      <c r="AL18" s="634">
        <f t="shared" si="4"/>
        <v>0.27849462365591393</v>
      </c>
      <c r="AM18" s="634">
        <f t="shared" si="4"/>
        <v>0.32222222222222213</v>
      </c>
      <c r="AN18" s="635">
        <f t="shared" si="4"/>
        <v>0.37680851063829773</v>
      </c>
      <c r="AO18" s="634">
        <f t="shared" si="5"/>
        <v>0</v>
      </c>
      <c r="AP18" s="634">
        <f t="shared" si="5"/>
        <v>0.1622905027932961</v>
      </c>
      <c r="AQ18" s="634">
        <f t="shared" si="5"/>
        <v>0.17746478873239435</v>
      </c>
      <c r="AR18" s="634">
        <f t="shared" si="5"/>
        <v>0.2245283018867924</v>
      </c>
      <c r="AS18" s="634">
        <f t="shared" si="5"/>
        <v>0.27849462365591393</v>
      </c>
      <c r="AT18" s="634">
        <f t="shared" si="5"/>
        <v>0.32222222222222213</v>
      </c>
      <c r="AU18" s="635">
        <f t="shared" si="5"/>
        <v>0.37680851063829784</v>
      </c>
      <c r="AV18" s="645">
        <f t="shared" si="6"/>
        <v>0</v>
      </c>
      <c r="AW18" s="646">
        <f t="shared" si="7"/>
        <v>0.16987764576284523</v>
      </c>
      <c r="AX18" s="647">
        <f t="shared" si="8"/>
        <v>0.30051341460080655</v>
      </c>
      <c r="AY18" s="645">
        <f t="shared" si="9"/>
        <v>0</v>
      </c>
      <c r="AZ18" s="646">
        <f t="shared" si="10"/>
        <v>0.16987764576284523</v>
      </c>
      <c r="BA18" s="647">
        <f t="shared" si="11"/>
        <v>0.30051341460080655</v>
      </c>
      <c r="BB18" s="636" t="s">
        <v>48</v>
      </c>
      <c r="BC18" s="636">
        <f t="shared" si="12"/>
        <v>35122.203098106707</v>
      </c>
      <c r="BD18" s="636">
        <f t="shared" si="12"/>
        <v>32119.047619047622</v>
      </c>
      <c r="BE18" s="636">
        <f t="shared" si="12"/>
        <v>25386.554621848743</v>
      </c>
      <c r="BF18" s="636">
        <f t="shared" si="12"/>
        <v>20467.181467181472</v>
      </c>
      <c r="BG18" s="636">
        <f t="shared" si="12"/>
        <v>17689.655172413797</v>
      </c>
      <c r="BH18" s="636">
        <f t="shared" si="12"/>
        <v>15127.046866177307</v>
      </c>
      <c r="BI18" s="636" t="s">
        <v>48</v>
      </c>
      <c r="BJ18" s="636">
        <f t="shared" si="12"/>
        <v>35122.203098106707</v>
      </c>
      <c r="BK18" s="636">
        <f t="shared" si="12"/>
        <v>32119.047619047622</v>
      </c>
      <c r="BL18" s="636">
        <f t="shared" si="12"/>
        <v>25386.554621848743</v>
      </c>
      <c r="BM18" s="636">
        <f t="shared" si="12"/>
        <v>20467.181467181472</v>
      </c>
      <c r="BN18" s="636">
        <f t="shared" si="12"/>
        <v>17689.655172413797</v>
      </c>
      <c r="BO18" s="636">
        <f t="shared" si="12"/>
        <v>15127.046866177303</v>
      </c>
    </row>
    <row r="19" spans="1:67" s="152" customFormat="1" ht="14.65" customHeight="1">
      <c r="A19" s="623" t="str">
        <f>'Compiled Articles'!I6</f>
        <v>Clothing (Synthetic Leather)</v>
      </c>
      <c r="B19" s="402" t="s">
        <v>296</v>
      </c>
      <c r="C19" s="623" t="s">
        <v>202</v>
      </c>
      <c r="D19" s="615">
        <v>1</v>
      </c>
      <c r="E19" s="149">
        <v>1</v>
      </c>
      <c r="F19" s="149">
        <v>0</v>
      </c>
      <c r="G19" s="246">
        <f>'Compiled Articles'!I12</f>
        <v>480</v>
      </c>
      <c r="H19" s="246">
        <f>'Compiled Articles'!$I$11</f>
        <v>52</v>
      </c>
      <c r="I19" s="246">
        <v>1</v>
      </c>
      <c r="J19" s="624">
        <f t="shared" si="15"/>
        <v>6.9999999999999994E-5</v>
      </c>
      <c r="K19" s="625">
        <f t="shared" si="16"/>
        <v>5.5999999999999995E-4</v>
      </c>
      <c r="L19" s="626" t="s">
        <v>683</v>
      </c>
      <c r="M19" s="627">
        <f>(INDEX('Dermal Calcs'!$B$61:$H$67, MATCH($L19,'Dermal Calcs'!$A$61:$A$67, 0), MATCH(M$3, 'Dermal Calcs'!$B$60:$H$60, 0)))*$K19*$D19</f>
        <v>6.8848422672480106E-2</v>
      </c>
      <c r="N19" s="628">
        <f>(INDEX('Dermal Calcs'!$B$61:$H$67, MATCH($L19,'Dermal Calcs'!$A$61:$A$67, 0), MATCH(N$3, 'Dermal Calcs'!$B$60:$H$60, 0)))*$K19*$E19</f>
        <v>7.1955307262569837E-2</v>
      </c>
      <c r="O19" s="628">
        <f>(INDEX('Dermal Calcs'!$B$61:$H$67, MATCH($L19,'Dermal Calcs'!$A$61:$A$67, 0), MATCH(O$3, 'Dermal Calcs'!$B$60:$H$60, 0)))*$K19*$E19</f>
        <v>7.8380281690140843E-2</v>
      </c>
      <c r="P19" s="630">
        <f>(INDEX('Dermal Calcs'!$B$61:$H$67, MATCH($L19,'Dermal Calcs'!$A$61:$A$67, 0), MATCH(P$3, 'Dermal Calcs'!$B$60:$H$60, 0)))*$K19*$F19</f>
        <v>0</v>
      </c>
      <c r="Q19" s="630">
        <f>(INDEX('Dermal Calcs'!$B$61:$H$67, MATCH($L19,'Dermal Calcs'!$A$61:$A$67, 0), MATCH(Q$3, 'Dermal Calcs'!$B$60:$H$60, 0)))*$K19*$F19</f>
        <v>0</v>
      </c>
      <c r="R19" s="630">
        <f>(INDEX('Dermal Calcs'!$B$61:$H$67, MATCH($L19,'Dermal Calcs'!$A$61:$A$67, 0), MATCH(R$3, 'Dermal Calcs'!$B$60:$H$60, 0)))*$K19*$F19</f>
        <v>0</v>
      </c>
      <c r="S19" s="631">
        <f>(INDEX('Dermal Calcs'!$B$61:$H$67, MATCH($L19,'Dermal Calcs'!$A$61:$A$67, 0), MATCH(S$3, 'Dermal Calcs'!$B$60:$H$60, 0)))*$K19*$F19</f>
        <v>0</v>
      </c>
      <c r="T19" s="627">
        <f t="shared" si="2"/>
        <v>3.5801179789689654</v>
      </c>
      <c r="U19" s="628">
        <f t="shared" si="2"/>
        <v>3.7416759776536317</v>
      </c>
      <c r="V19" s="628">
        <f t="shared" si="2"/>
        <v>4.0757746478873242</v>
      </c>
      <c r="W19" s="632">
        <f t="shared" si="2"/>
        <v>0</v>
      </c>
      <c r="X19" s="632">
        <f t="shared" si="2"/>
        <v>0</v>
      </c>
      <c r="Y19" s="632">
        <f t="shared" si="2"/>
        <v>0</v>
      </c>
      <c r="Z19" s="632">
        <f t="shared" si="2"/>
        <v>0</v>
      </c>
      <c r="AA19" s="627">
        <f t="shared" si="3"/>
        <v>6.8848422672480106E-2</v>
      </c>
      <c r="AB19" s="628">
        <f t="shared" si="3"/>
        <v>7.1955307262569837E-2</v>
      </c>
      <c r="AC19" s="628">
        <f t="shared" si="3"/>
        <v>7.8380281690140843E-2</v>
      </c>
      <c r="AD19" s="632">
        <f t="shared" si="3"/>
        <v>0</v>
      </c>
      <c r="AE19" s="632">
        <f t="shared" si="3"/>
        <v>0</v>
      </c>
      <c r="AF19" s="632">
        <f t="shared" si="3"/>
        <v>0</v>
      </c>
      <c r="AG19" s="632">
        <f t="shared" si="3"/>
        <v>0</v>
      </c>
      <c r="AH19" s="633">
        <f t="shared" si="4"/>
        <v>9.8085424081341515</v>
      </c>
      <c r="AI19" s="634">
        <f t="shared" si="4"/>
        <v>10.251167062064745</v>
      </c>
      <c r="AJ19" s="634">
        <f t="shared" si="4"/>
        <v>11.166505884622806</v>
      </c>
      <c r="AK19" s="634">
        <f t="shared" si="4"/>
        <v>0</v>
      </c>
      <c r="AL19" s="634">
        <f t="shared" si="4"/>
        <v>0</v>
      </c>
      <c r="AM19" s="634">
        <f t="shared" si="4"/>
        <v>0</v>
      </c>
      <c r="AN19" s="635">
        <f t="shared" si="4"/>
        <v>0</v>
      </c>
      <c r="AO19" s="634">
        <f t="shared" si="5"/>
        <v>68.848422672480112</v>
      </c>
      <c r="AP19" s="634">
        <f t="shared" si="5"/>
        <v>71.955307262569832</v>
      </c>
      <c r="AQ19" s="634">
        <f t="shared" si="5"/>
        <v>78.380281690140848</v>
      </c>
      <c r="AR19" s="634">
        <f t="shared" si="5"/>
        <v>0</v>
      </c>
      <c r="AS19" s="634">
        <f t="shared" si="5"/>
        <v>0</v>
      </c>
      <c r="AT19" s="634">
        <f t="shared" si="5"/>
        <v>0</v>
      </c>
      <c r="AU19" s="635">
        <f t="shared" si="5"/>
        <v>0</v>
      </c>
      <c r="AV19" s="627">
        <f t="shared" si="6"/>
        <v>9.8085424081341515</v>
      </c>
      <c r="AW19" s="628">
        <f t="shared" si="7"/>
        <v>10.708836473343775</v>
      </c>
      <c r="AX19" s="632">
        <f t="shared" si="8"/>
        <v>0</v>
      </c>
      <c r="AY19" s="627">
        <f t="shared" si="9"/>
        <v>68.848422672480112</v>
      </c>
      <c r="AZ19" s="628">
        <f t="shared" si="10"/>
        <v>75.16779447635534</v>
      </c>
      <c r="BA19" s="632">
        <f t="shared" si="11"/>
        <v>0</v>
      </c>
      <c r="BB19" s="636">
        <f t="shared" si="14"/>
        <v>581.12610037481534</v>
      </c>
      <c r="BC19" s="636">
        <f t="shared" si="12"/>
        <v>556.03425107501187</v>
      </c>
      <c r="BD19" s="636">
        <f t="shared" si="12"/>
        <v>510.45511092680903</v>
      </c>
      <c r="BE19" s="636" t="s">
        <v>48</v>
      </c>
      <c r="BF19" s="636" t="s">
        <v>48</v>
      </c>
      <c r="BG19" s="636" t="s">
        <v>48</v>
      </c>
      <c r="BH19" s="636" t="s">
        <v>48</v>
      </c>
      <c r="BI19" s="636">
        <f t="shared" si="12"/>
        <v>82.790567724631217</v>
      </c>
      <c r="BJ19" s="636">
        <f t="shared" si="12"/>
        <v>79.215838509316768</v>
      </c>
      <c r="BK19" s="636">
        <f t="shared" si="12"/>
        <v>72.722371967654979</v>
      </c>
      <c r="BL19" s="636" t="s">
        <v>48</v>
      </c>
      <c r="BM19" s="636" t="s">
        <v>48</v>
      </c>
      <c r="BN19" s="636" t="s">
        <v>48</v>
      </c>
      <c r="BO19" s="636" t="s">
        <v>48</v>
      </c>
    </row>
    <row r="20" spans="1:67" s="152" customFormat="1" ht="14.65" customHeight="1">
      <c r="A20" s="637"/>
      <c r="B20" s="402" t="s">
        <v>297</v>
      </c>
      <c r="C20" s="637"/>
      <c r="D20" s="615">
        <v>1</v>
      </c>
      <c r="E20" s="149">
        <v>1</v>
      </c>
      <c r="F20" s="149">
        <v>0</v>
      </c>
      <c r="G20" s="246">
        <f>'Compiled Articles'!I13</f>
        <v>240</v>
      </c>
      <c r="H20" s="246">
        <f>'Compiled Articles'!$I$11</f>
        <v>52</v>
      </c>
      <c r="I20" s="246">
        <f>I19</f>
        <v>1</v>
      </c>
      <c r="J20" s="624">
        <f t="shared" si="15"/>
        <v>6.9999999999999994E-5</v>
      </c>
      <c r="K20" s="625">
        <f t="shared" si="16"/>
        <v>2.7999999999999998E-4</v>
      </c>
      <c r="L20" s="638" t="s">
        <v>686</v>
      </c>
      <c r="M20" s="627">
        <f>(INDEX('Dermal Calcs'!$B$61:$H$67, MATCH($L20,'Dermal Calcs'!$A$61:$A$67, 0), MATCH(M$3, 'Dermal Calcs'!$B$60:$H$60, 0)))*$K20*$D20</f>
        <v>4.4109387022313404E-3</v>
      </c>
      <c r="N20" s="628">
        <f>(INDEX('Dermal Calcs'!$B$61:$H$67, MATCH($L20,'Dermal Calcs'!$A$61:$A$67, 0), MATCH(N$3, 'Dermal Calcs'!$B$60:$H$60, 0)))*$K20*$E20</f>
        <v>4.1745810055865921E-3</v>
      </c>
      <c r="O20" s="628">
        <f>(INDEX('Dermal Calcs'!$B$61:$H$67, MATCH($L20,'Dermal Calcs'!$A$61:$A$67, 0), MATCH(O$3, 'Dermal Calcs'!$B$60:$H$60, 0)))*$K20*$E20</f>
        <v>4.5845070422535208E-3</v>
      </c>
      <c r="P20" s="630">
        <f>(INDEX('Dermal Calcs'!$B$61:$H$67, MATCH($L20,'Dermal Calcs'!$A$61:$A$67, 0), MATCH(P$3, 'Dermal Calcs'!$B$60:$H$60, 0)))*$K20*$F20</f>
        <v>0</v>
      </c>
      <c r="Q20" s="630">
        <f>(INDEX('Dermal Calcs'!$B$61:$H$67, MATCH($L20,'Dermal Calcs'!$A$61:$A$67, 0), MATCH(Q$3, 'Dermal Calcs'!$B$60:$H$60, 0)))*$K20*$F20</f>
        <v>0</v>
      </c>
      <c r="R20" s="630">
        <f>(INDEX('Dermal Calcs'!$B$61:$H$67, MATCH($L20,'Dermal Calcs'!$A$61:$A$67, 0), MATCH(R$3, 'Dermal Calcs'!$B$60:$H$60, 0)))*$K20*$F20</f>
        <v>0</v>
      </c>
      <c r="S20" s="631">
        <f>(INDEX('Dermal Calcs'!$B$61:$H$67, MATCH($L20,'Dermal Calcs'!$A$61:$A$67, 0), MATCH(S$3, 'Dermal Calcs'!$B$60:$H$60, 0)))*$K20*$F20</f>
        <v>0</v>
      </c>
      <c r="T20" s="639">
        <f t="shared" si="2"/>
        <v>0.2293688125160297</v>
      </c>
      <c r="U20" s="640">
        <f t="shared" si="2"/>
        <v>0.21707821229050278</v>
      </c>
      <c r="V20" s="640">
        <f t="shared" si="2"/>
        <v>0.23839436619718307</v>
      </c>
      <c r="W20" s="641">
        <f t="shared" si="2"/>
        <v>0</v>
      </c>
      <c r="X20" s="641">
        <f t="shared" si="2"/>
        <v>0</v>
      </c>
      <c r="Y20" s="641">
        <f t="shared" si="2"/>
        <v>0</v>
      </c>
      <c r="Z20" s="641">
        <f t="shared" si="2"/>
        <v>0</v>
      </c>
      <c r="AA20" s="639">
        <f t="shared" si="3"/>
        <v>4.4109387022313404E-3</v>
      </c>
      <c r="AB20" s="640">
        <f t="shared" si="3"/>
        <v>4.1745810055865921E-3</v>
      </c>
      <c r="AC20" s="640">
        <f t="shared" si="3"/>
        <v>4.5845070422535208E-3</v>
      </c>
      <c r="AD20" s="641">
        <f t="shared" si="3"/>
        <v>0</v>
      </c>
      <c r="AE20" s="641">
        <f t="shared" si="3"/>
        <v>0</v>
      </c>
      <c r="AF20" s="641">
        <f t="shared" si="3"/>
        <v>0</v>
      </c>
      <c r="AG20" s="641">
        <f t="shared" si="3"/>
        <v>0</v>
      </c>
      <c r="AH20" s="633">
        <f t="shared" si="4"/>
        <v>0.628407705523369</v>
      </c>
      <c r="AI20" s="634">
        <f t="shared" si="4"/>
        <v>0.59473482819315837</v>
      </c>
      <c r="AJ20" s="634">
        <f t="shared" si="4"/>
        <v>0.65313524985529614</v>
      </c>
      <c r="AK20" s="634">
        <f t="shared" si="4"/>
        <v>0</v>
      </c>
      <c r="AL20" s="634">
        <f t="shared" si="4"/>
        <v>0</v>
      </c>
      <c r="AM20" s="634">
        <f t="shared" si="4"/>
        <v>0</v>
      </c>
      <c r="AN20" s="635">
        <f t="shared" si="4"/>
        <v>0</v>
      </c>
      <c r="AO20" s="634">
        <f t="shared" si="5"/>
        <v>4.4109387022313404</v>
      </c>
      <c r="AP20" s="634">
        <f t="shared" si="5"/>
        <v>4.1745810055865924</v>
      </c>
      <c r="AQ20" s="634">
        <f t="shared" si="5"/>
        <v>4.584507042253521</v>
      </c>
      <c r="AR20" s="634">
        <f t="shared" si="5"/>
        <v>0</v>
      </c>
      <c r="AS20" s="634">
        <f t="shared" si="5"/>
        <v>0</v>
      </c>
      <c r="AT20" s="634">
        <f t="shared" si="5"/>
        <v>0</v>
      </c>
      <c r="AU20" s="635">
        <f t="shared" si="5"/>
        <v>0</v>
      </c>
      <c r="AV20" s="639">
        <f t="shared" si="6"/>
        <v>0.628407705523369</v>
      </c>
      <c r="AW20" s="640">
        <f t="shared" si="7"/>
        <v>0.6239350390242272</v>
      </c>
      <c r="AX20" s="641">
        <f t="shared" si="8"/>
        <v>0</v>
      </c>
      <c r="AY20" s="639">
        <f t="shared" si="9"/>
        <v>4.4109387022313404</v>
      </c>
      <c r="AZ20" s="640">
        <f t="shared" si="10"/>
        <v>4.3795440239200563</v>
      </c>
      <c r="BA20" s="641">
        <f t="shared" si="11"/>
        <v>0</v>
      </c>
      <c r="BB20" s="636">
        <f t="shared" si="14"/>
        <v>9070.5444091471763</v>
      </c>
      <c r="BC20" s="636">
        <f t="shared" si="14"/>
        <v>9584.1032503795959</v>
      </c>
      <c r="BD20" s="636">
        <f t="shared" si="14"/>
        <v>8727.1357674583487</v>
      </c>
      <c r="BE20" s="636" t="s">
        <v>48</v>
      </c>
      <c r="BF20" s="636" t="s">
        <v>48</v>
      </c>
      <c r="BG20" s="636" t="s">
        <v>48</v>
      </c>
      <c r="BH20" s="636" t="s">
        <v>48</v>
      </c>
      <c r="BI20" s="636">
        <f t="shared" ref="BI20:BO54" si="17">5700/AO20</f>
        <v>1292.2419432209674</v>
      </c>
      <c r="BJ20" s="636">
        <f t="shared" si="17"/>
        <v>1365.4064904650384</v>
      </c>
      <c r="BK20" s="636">
        <f t="shared" si="17"/>
        <v>1243.3179723502305</v>
      </c>
      <c r="BL20" s="636" t="s">
        <v>48</v>
      </c>
      <c r="BM20" s="636" t="s">
        <v>48</v>
      </c>
      <c r="BN20" s="636" t="s">
        <v>48</v>
      </c>
      <c r="BO20" s="636" t="s">
        <v>48</v>
      </c>
    </row>
    <row r="21" spans="1:67" s="152" customFormat="1" ht="14.65" customHeight="1" thickBot="1">
      <c r="A21" s="642"/>
      <c r="B21" s="643" t="s">
        <v>298</v>
      </c>
      <c r="C21" s="642"/>
      <c r="D21" s="649">
        <v>1</v>
      </c>
      <c r="E21" s="650">
        <v>1</v>
      </c>
      <c r="F21" s="650">
        <v>0</v>
      </c>
      <c r="G21" s="246">
        <f>'Compiled Articles'!I14</f>
        <v>120</v>
      </c>
      <c r="H21" s="246">
        <f>'Compiled Articles'!$I$11</f>
        <v>52</v>
      </c>
      <c r="I21" s="246">
        <f>I19</f>
        <v>1</v>
      </c>
      <c r="J21" s="624">
        <f t="shared" si="15"/>
        <v>6.9999999999999994E-5</v>
      </c>
      <c r="K21" s="625">
        <f t="shared" si="16"/>
        <v>1.3999999999999999E-4</v>
      </c>
      <c r="L21" s="644" t="s">
        <v>685</v>
      </c>
      <c r="M21" s="627">
        <f>(INDEX('Dermal Calcs'!$B$61:$H$67, MATCH($L21,'Dermal Calcs'!$A$61:$A$67, 0), MATCH(M$3, 'Dermal Calcs'!$B$60:$H$60, 0)))*$K21*$D21</f>
        <v>8.6714542190305225E-4</v>
      </c>
      <c r="N21" s="628">
        <f>(INDEX('Dermal Calcs'!$B$61:$H$67, MATCH($L21,'Dermal Calcs'!$A$61:$A$67, 0), MATCH(N$3, 'Dermal Calcs'!$B$60:$H$60, 0)))*$K21*$E21</f>
        <v>8.1145251396648054E-4</v>
      </c>
      <c r="O21" s="628">
        <f>(INDEX('Dermal Calcs'!$B$61:$H$67, MATCH($L21,'Dermal Calcs'!$A$61:$A$67, 0), MATCH(O$3, 'Dermal Calcs'!$B$60:$H$60, 0)))*$K21*$E21</f>
        <v>8.8732394366197178E-4</v>
      </c>
      <c r="P21" s="630">
        <f>(INDEX('Dermal Calcs'!$B$61:$H$67, MATCH($L21,'Dermal Calcs'!$A$61:$A$67, 0), MATCH(P$3, 'Dermal Calcs'!$B$60:$H$60, 0)))*$K21*$F21</f>
        <v>0</v>
      </c>
      <c r="Q21" s="630">
        <f>(INDEX('Dermal Calcs'!$B$61:$H$67, MATCH($L21,'Dermal Calcs'!$A$61:$A$67, 0), MATCH(Q$3, 'Dermal Calcs'!$B$60:$H$60, 0)))*$K21*$F21</f>
        <v>0</v>
      </c>
      <c r="R21" s="630">
        <f>(INDEX('Dermal Calcs'!$B$61:$H$67, MATCH($L21,'Dermal Calcs'!$A$61:$A$67, 0), MATCH(R$3, 'Dermal Calcs'!$B$60:$H$60, 0)))*$K21*$F21</f>
        <v>0</v>
      </c>
      <c r="S21" s="631">
        <f>(INDEX('Dermal Calcs'!$B$61:$H$67, MATCH($L21,'Dermal Calcs'!$A$61:$A$67, 0), MATCH(S$3, 'Dermal Calcs'!$B$60:$H$60, 0)))*$K21*$F21</f>
        <v>0</v>
      </c>
      <c r="T21" s="645">
        <f t="shared" si="2"/>
        <v>4.5091561938958719E-2</v>
      </c>
      <c r="U21" s="646">
        <f t="shared" si="2"/>
        <v>4.2195530726256987E-2</v>
      </c>
      <c r="V21" s="646">
        <f t="shared" si="2"/>
        <v>4.6140845070422536E-2</v>
      </c>
      <c r="W21" s="647">
        <f t="shared" si="2"/>
        <v>0</v>
      </c>
      <c r="X21" s="647">
        <f t="shared" si="2"/>
        <v>0</v>
      </c>
      <c r="Y21" s="647">
        <f t="shared" si="2"/>
        <v>0</v>
      </c>
      <c r="Z21" s="647">
        <f t="shared" si="2"/>
        <v>0</v>
      </c>
      <c r="AA21" s="645">
        <f t="shared" si="3"/>
        <v>8.6714542190305225E-4</v>
      </c>
      <c r="AB21" s="646">
        <f t="shared" si="3"/>
        <v>8.1145251396648054E-4</v>
      </c>
      <c r="AC21" s="646">
        <f t="shared" si="3"/>
        <v>8.8732394366197178E-4</v>
      </c>
      <c r="AD21" s="647">
        <f t="shared" si="3"/>
        <v>0</v>
      </c>
      <c r="AE21" s="647">
        <f t="shared" si="3"/>
        <v>0</v>
      </c>
      <c r="AF21" s="647">
        <f t="shared" si="3"/>
        <v>0</v>
      </c>
      <c r="AG21" s="647">
        <f t="shared" si="3"/>
        <v>0</v>
      </c>
      <c r="AH21" s="633">
        <f t="shared" si="4"/>
        <v>0.12353852586016087</v>
      </c>
      <c r="AI21" s="634">
        <f t="shared" si="4"/>
        <v>0.11560419377056709</v>
      </c>
      <c r="AJ21" s="634">
        <f t="shared" si="4"/>
        <v>0.12641327416554118</v>
      </c>
      <c r="AK21" s="634">
        <f t="shared" si="4"/>
        <v>0</v>
      </c>
      <c r="AL21" s="634">
        <f t="shared" si="4"/>
        <v>0</v>
      </c>
      <c r="AM21" s="634">
        <f t="shared" si="4"/>
        <v>0</v>
      </c>
      <c r="AN21" s="635">
        <f t="shared" si="4"/>
        <v>0</v>
      </c>
      <c r="AO21" s="634">
        <f t="shared" si="5"/>
        <v>0.86714542190305222</v>
      </c>
      <c r="AP21" s="634">
        <f t="shared" si="5"/>
        <v>0.81145251396648055</v>
      </c>
      <c r="AQ21" s="634">
        <f t="shared" si="5"/>
        <v>0.88732394366197176</v>
      </c>
      <c r="AR21" s="634">
        <f t="shared" si="5"/>
        <v>0</v>
      </c>
      <c r="AS21" s="634">
        <f t="shared" si="5"/>
        <v>0</v>
      </c>
      <c r="AT21" s="634">
        <f t="shared" si="5"/>
        <v>0</v>
      </c>
      <c r="AU21" s="635">
        <f t="shared" si="5"/>
        <v>0</v>
      </c>
      <c r="AV21" s="645">
        <f t="shared" si="6"/>
        <v>0.12353852586016087</v>
      </c>
      <c r="AW21" s="646">
        <f t="shared" si="7"/>
        <v>0.12100873396805413</v>
      </c>
      <c r="AX21" s="647">
        <f t="shared" si="8"/>
        <v>0</v>
      </c>
      <c r="AY21" s="645">
        <f t="shared" si="9"/>
        <v>0.86714542190305222</v>
      </c>
      <c r="AZ21" s="646">
        <f t="shared" si="10"/>
        <v>0.84938822881422626</v>
      </c>
      <c r="BA21" s="647">
        <f t="shared" si="11"/>
        <v>0</v>
      </c>
      <c r="BB21" s="636">
        <f t="shared" si="14"/>
        <v>46139.452938365968</v>
      </c>
      <c r="BC21" s="636">
        <f t="shared" si="14"/>
        <v>49306.169733880575</v>
      </c>
      <c r="BD21" s="636">
        <f t="shared" si="14"/>
        <v>45090.20146520147</v>
      </c>
      <c r="BE21" s="636" t="s">
        <v>48</v>
      </c>
      <c r="BF21" s="636" t="s">
        <v>48</v>
      </c>
      <c r="BG21" s="636" t="s">
        <v>48</v>
      </c>
      <c r="BH21" s="636" t="s">
        <v>48</v>
      </c>
      <c r="BI21" s="636">
        <f t="shared" si="17"/>
        <v>6573.2919254658373</v>
      </c>
      <c r="BJ21" s="636">
        <f t="shared" si="17"/>
        <v>7024.4406196213413</v>
      </c>
      <c r="BK21" s="636">
        <f t="shared" si="17"/>
        <v>6423.8095238095248</v>
      </c>
      <c r="BL21" s="636" t="s">
        <v>48</v>
      </c>
      <c r="BM21" s="636" t="s">
        <v>48</v>
      </c>
      <c r="BN21" s="636" t="s">
        <v>48</v>
      </c>
      <c r="BO21" s="636" t="s">
        <v>48</v>
      </c>
    </row>
    <row r="22" spans="1:67" ht="14.65" customHeight="1">
      <c r="A22" s="623" t="str">
        <f>'Compiled Articles'!J6</f>
        <v>Clothing (Children's)</v>
      </c>
      <c r="B22" s="651" t="s">
        <v>296</v>
      </c>
      <c r="C22" s="623" t="s">
        <v>203</v>
      </c>
      <c r="D22" s="615">
        <v>0</v>
      </c>
      <c r="E22" s="149">
        <v>1</v>
      </c>
      <c r="F22" s="149">
        <v>1</v>
      </c>
      <c r="G22" s="652">
        <f>'Compiled Articles'!J12</f>
        <v>480</v>
      </c>
      <c r="H22" s="246">
        <f>'Compiled Articles'!$J$11</f>
        <v>365</v>
      </c>
      <c r="I22" s="158">
        <v>1</v>
      </c>
      <c r="J22" s="624">
        <f t="shared" si="15"/>
        <v>6.9999999999999994E-5</v>
      </c>
      <c r="K22" s="625">
        <f t="shared" si="16"/>
        <v>5.5999999999999995E-4</v>
      </c>
      <c r="L22" s="626" t="s">
        <v>683</v>
      </c>
      <c r="M22" s="627">
        <f>(INDEX('Dermal Calcs'!$B$61:$H$67, MATCH($L22,'Dermal Calcs'!$A$61:$A$67, 0), MATCH(M$3, 'Dermal Calcs'!$B$60:$H$60, 0)))*$K22*$D22</f>
        <v>0</v>
      </c>
      <c r="N22" s="628">
        <f>(INDEX('Dermal Calcs'!$B$61:$H$67, MATCH($L22,'Dermal Calcs'!$A$61:$A$67, 0), MATCH(N$3, 'Dermal Calcs'!$B$60:$H$60, 0)))*$K22*$E22</f>
        <v>7.1955307262569837E-2</v>
      </c>
      <c r="O22" s="628">
        <f>(INDEX('Dermal Calcs'!$B$61:$H$67, MATCH($L22,'Dermal Calcs'!$A$61:$A$67, 0), MATCH(O$3, 'Dermal Calcs'!$B$60:$H$60, 0)))*$K22*$E22</f>
        <v>7.8380281690140843E-2</v>
      </c>
      <c r="P22" s="630">
        <f>(INDEX('Dermal Calcs'!$B$61:$H$67, MATCH($L22,'Dermal Calcs'!$A$61:$A$67, 0), MATCH(P$3, 'Dermal Calcs'!$B$60:$H$60, 0)))*$K22*$F22</f>
        <v>9.5094339622641494E-2</v>
      </c>
      <c r="Q22" s="630">
        <f>(INDEX('Dermal Calcs'!$B$61:$H$67, MATCH($L22,'Dermal Calcs'!$A$61:$A$67, 0), MATCH(Q$3, 'Dermal Calcs'!$B$60:$H$60, 0)))*$K22*$F22</f>
        <v>0.11440860215053761</v>
      </c>
      <c r="R22" s="630">
        <f>(INDEX('Dermal Calcs'!$B$61:$H$67, MATCH($L22,'Dermal Calcs'!$A$61:$A$67, 0), MATCH(R$3, 'Dermal Calcs'!$B$60:$H$60, 0)))*$K22*$F22</f>
        <v>0.12666666666666665</v>
      </c>
      <c r="S22" s="631">
        <f>(INDEX('Dermal Calcs'!$B$61:$H$67, MATCH($L22,'Dermal Calcs'!$A$61:$A$67, 0), MATCH(S$3, 'Dermal Calcs'!$B$60:$H$60, 0)))*$K22*$F22</f>
        <v>0.14268085106382977</v>
      </c>
      <c r="T22" s="639">
        <f t="shared" si="2"/>
        <v>0</v>
      </c>
      <c r="U22" s="640">
        <f t="shared" si="2"/>
        <v>26.263687150837992</v>
      </c>
      <c r="V22" s="640">
        <f t="shared" si="2"/>
        <v>28.608802816901409</v>
      </c>
      <c r="W22" s="641">
        <f t="shared" si="2"/>
        <v>34.709433962264143</v>
      </c>
      <c r="X22" s="641">
        <f t="shared" si="2"/>
        <v>41.759139784946228</v>
      </c>
      <c r="Y22" s="641">
        <f t="shared" si="2"/>
        <v>46.233333333333327</v>
      </c>
      <c r="Z22" s="641">
        <f t="shared" si="2"/>
        <v>52.078510638297864</v>
      </c>
      <c r="AA22" s="639">
        <f t="shared" si="3"/>
        <v>0</v>
      </c>
      <c r="AB22" s="640">
        <f t="shared" si="3"/>
        <v>7.1955307262569837E-2</v>
      </c>
      <c r="AC22" s="640">
        <f t="shared" si="3"/>
        <v>7.8380281690140843E-2</v>
      </c>
      <c r="AD22" s="641">
        <f t="shared" si="3"/>
        <v>9.5094339622641494E-2</v>
      </c>
      <c r="AE22" s="641">
        <f t="shared" si="3"/>
        <v>0.11440860215053761</v>
      </c>
      <c r="AF22" s="641">
        <f t="shared" si="3"/>
        <v>0.12666666666666665</v>
      </c>
      <c r="AG22" s="641">
        <f t="shared" si="3"/>
        <v>0.14268085106382977</v>
      </c>
      <c r="AH22" s="653">
        <f>(T22*1000)/365</f>
        <v>0</v>
      </c>
      <c r="AI22" s="654">
        <f t="shared" ref="AI22:AN37" si="18">(U22*1000)/365</f>
        <v>71.955307262569846</v>
      </c>
      <c r="AJ22" s="654">
        <f t="shared" si="18"/>
        <v>78.380281690140848</v>
      </c>
      <c r="AK22" s="654">
        <f t="shared" si="18"/>
        <v>95.094339622641485</v>
      </c>
      <c r="AL22" s="654">
        <f t="shared" si="18"/>
        <v>114.40860215053762</v>
      </c>
      <c r="AM22" s="654">
        <f t="shared" si="18"/>
        <v>126.66666666666666</v>
      </c>
      <c r="AN22" s="655">
        <f t="shared" si="18"/>
        <v>142.68085106382975</v>
      </c>
      <c r="AO22" s="654">
        <f t="shared" ref="AO22:AU45" si="19">AA22*1000</f>
        <v>0</v>
      </c>
      <c r="AP22" s="654">
        <f t="shared" si="19"/>
        <v>71.955307262569832</v>
      </c>
      <c r="AQ22" s="654">
        <f t="shared" si="19"/>
        <v>78.380281690140848</v>
      </c>
      <c r="AR22" s="654">
        <f t="shared" si="19"/>
        <v>95.094339622641499</v>
      </c>
      <c r="AS22" s="654">
        <f t="shared" si="19"/>
        <v>114.4086021505376</v>
      </c>
      <c r="AT22" s="654">
        <f t="shared" si="19"/>
        <v>126.66666666666664</v>
      </c>
      <c r="AU22" s="655">
        <f t="shared" si="19"/>
        <v>142.68085106382978</v>
      </c>
      <c r="AV22" s="639">
        <f>(T22*1000)/365</f>
        <v>0</v>
      </c>
      <c r="AW22" s="640">
        <f t="shared" si="7"/>
        <v>75.16779447635534</v>
      </c>
      <c r="AX22" s="641">
        <f t="shared" si="8"/>
        <v>119.71261487591887</v>
      </c>
      <c r="AY22" s="639">
        <f t="shared" si="9"/>
        <v>0</v>
      </c>
      <c r="AZ22" s="640">
        <f t="shared" si="10"/>
        <v>75.16779447635534</v>
      </c>
      <c r="BA22" s="641">
        <f t="shared" si="11"/>
        <v>119.71261487591889</v>
      </c>
      <c r="BB22" s="636" t="s">
        <v>48</v>
      </c>
      <c r="BC22" s="636">
        <f t="shared" si="14"/>
        <v>79.215838509316754</v>
      </c>
      <c r="BD22" s="636">
        <f t="shared" si="14"/>
        <v>72.722371967654979</v>
      </c>
      <c r="BE22" s="636">
        <f t="shared" si="14"/>
        <v>59.940476190476204</v>
      </c>
      <c r="BF22" s="636">
        <f t="shared" si="14"/>
        <v>49.821428571428577</v>
      </c>
      <c r="BG22" s="636">
        <f t="shared" si="14"/>
        <v>45</v>
      </c>
      <c r="BH22" s="636">
        <f t="shared" si="14"/>
        <v>39.949299135102905</v>
      </c>
      <c r="BI22" s="636" t="s">
        <v>48</v>
      </c>
      <c r="BJ22" s="636">
        <f t="shared" si="17"/>
        <v>79.215838509316768</v>
      </c>
      <c r="BK22" s="636">
        <f t="shared" si="17"/>
        <v>72.722371967654979</v>
      </c>
      <c r="BL22" s="636">
        <f t="shared" si="17"/>
        <v>59.940476190476197</v>
      </c>
      <c r="BM22" s="636">
        <f t="shared" si="17"/>
        <v>49.821428571428584</v>
      </c>
      <c r="BN22" s="636">
        <f t="shared" si="17"/>
        <v>45.000000000000007</v>
      </c>
      <c r="BO22" s="636">
        <f t="shared" si="17"/>
        <v>39.949299135102898</v>
      </c>
    </row>
    <row r="23" spans="1:67">
      <c r="A23" s="637"/>
      <c r="B23" s="402" t="s">
        <v>297</v>
      </c>
      <c r="C23" s="637"/>
      <c r="D23" s="615">
        <v>0</v>
      </c>
      <c r="E23" s="149">
        <v>1</v>
      </c>
      <c r="F23" s="149">
        <v>1</v>
      </c>
      <c r="G23" s="652">
        <f>'Compiled Articles'!J13</f>
        <v>240</v>
      </c>
      <c r="H23" s="246">
        <f>'Compiled Articles'!$J$11</f>
        <v>365</v>
      </c>
      <c r="I23" s="246">
        <f>I22</f>
        <v>1</v>
      </c>
      <c r="J23" s="624">
        <f t="shared" si="15"/>
        <v>6.9999999999999994E-5</v>
      </c>
      <c r="K23" s="625">
        <f t="shared" si="16"/>
        <v>2.7999999999999998E-4</v>
      </c>
      <c r="L23" s="638" t="s">
        <v>686</v>
      </c>
      <c r="M23" s="627">
        <f>(INDEX('Dermal Calcs'!$B$61:$H$67, MATCH($L23,'Dermal Calcs'!$A$61:$A$67, 0), MATCH(M$3, 'Dermal Calcs'!$B$60:$H$60, 0)))*$K23*$D23</f>
        <v>0</v>
      </c>
      <c r="N23" s="628">
        <f>(INDEX('Dermal Calcs'!$B$61:$H$67, MATCH($L23,'Dermal Calcs'!$A$61:$A$67, 0), MATCH(N$3, 'Dermal Calcs'!$B$60:$H$60, 0)))*$K23*$E23</f>
        <v>4.1745810055865921E-3</v>
      </c>
      <c r="O23" s="628">
        <f>(INDEX('Dermal Calcs'!$B$61:$H$67, MATCH($L23,'Dermal Calcs'!$A$61:$A$67, 0), MATCH(O$3, 'Dermal Calcs'!$B$60:$H$60, 0)))*$K23*$E23</f>
        <v>4.5845070422535208E-3</v>
      </c>
      <c r="P23" s="630">
        <f>(INDEX('Dermal Calcs'!$B$61:$H$67, MATCH($L23,'Dermal Calcs'!$A$61:$A$67, 0), MATCH(P$3, 'Dermal Calcs'!$B$60:$H$60, 0)))*$K23*$F23</f>
        <v>5.8993710691823895E-3</v>
      </c>
      <c r="Q23" s="630">
        <f>(INDEX('Dermal Calcs'!$B$61:$H$67, MATCH($L23,'Dermal Calcs'!$A$61:$A$67, 0), MATCH(Q$3, 'Dermal Calcs'!$B$60:$H$60, 0)))*$K23*$F23</f>
        <v>7.6774193548387083E-3</v>
      </c>
      <c r="R23" s="630">
        <f>(INDEX('Dermal Calcs'!$B$61:$H$67, MATCH($L23,'Dermal Calcs'!$A$61:$A$67, 0), MATCH(R$3, 'Dermal Calcs'!$B$60:$H$60, 0)))*$K23*$F23</f>
        <v>9.8055555555555535E-3</v>
      </c>
      <c r="S23" s="631">
        <f>(INDEX('Dermal Calcs'!$B$61:$H$67, MATCH($L23,'Dermal Calcs'!$A$61:$A$67, 0), MATCH(S$3, 'Dermal Calcs'!$B$60:$H$60, 0)))*$K23*$F23</f>
        <v>2.2943617021276595E-2</v>
      </c>
      <c r="T23" s="639">
        <f t="shared" si="2"/>
        <v>0</v>
      </c>
      <c r="U23" s="640">
        <f t="shared" si="2"/>
        <v>1.5237220670391061</v>
      </c>
      <c r="V23" s="640">
        <f t="shared" si="2"/>
        <v>1.673345070422535</v>
      </c>
      <c r="W23" s="641">
        <f t="shared" si="2"/>
        <v>2.1532704402515721</v>
      </c>
      <c r="X23" s="641">
        <f t="shared" si="2"/>
        <v>2.8022580645161286</v>
      </c>
      <c r="Y23" s="641">
        <f t="shared" si="2"/>
        <v>3.5790277777777768</v>
      </c>
      <c r="Z23" s="641">
        <f t="shared" si="2"/>
        <v>8.3744202127659566</v>
      </c>
      <c r="AA23" s="639">
        <f t="shared" si="3"/>
        <v>0</v>
      </c>
      <c r="AB23" s="640">
        <f t="shared" si="3"/>
        <v>4.1745810055865921E-3</v>
      </c>
      <c r="AC23" s="640">
        <f t="shared" si="3"/>
        <v>4.5845070422535208E-3</v>
      </c>
      <c r="AD23" s="641">
        <f t="shared" si="3"/>
        <v>5.8993710691823895E-3</v>
      </c>
      <c r="AE23" s="641">
        <f t="shared" si="3"/>
        <v>7.6774193548387083E-3</v>
      </c>
      <c r="AF23" s="641">
        <f t="shared" si="3"/>
        <v>9.8055555555555535E-3</v>
      </c>
      <c r="AG23" s="641">
        <f t="shared" si="3"/>
        <v>2.2943617021276595E-2</v>
      </c>
      <c r="AH23" s="633">
        <f t="shared" ref="AH23:AN38" si="20">(T23*1000)/365</f>
        <v>0</v>
      </c>
      <c r="AI23" s="634">
        <f t="shared" si="18"/>
        <v>4.1745810055865924</v>
      </c>
      <c r="AJ23" s="634">
        <f t="shared" si="18"/>
        <v>4.5845070422535201</v>
      </c>
      <c r="AK23" s="634">
        <f t="shared" si="18"/>
        <v>5.8993710691823891</v>
      </c>
      <c r="AL23" s="634">
        <f t="shared" si="18"/>
        <v>7.6774193548387091</v>
      </c>
      <c r="AM23" s="634">
        <f t="shared" si="18"/>
        <v>9.8055555555555536</v>
      </c>
      <c r="AN23" s="635">
        <f t="shared" si="18"/>
        <v>22.943617021276594</v>
      </c>
      <c r="AO23" s="634">
        <f t="shared" si="19"/>
        <v>0</v>
      </c>
      <c r="AP23" s="634">
        <f t="shared" si="19"/>
        <v>4.1745810055865924</v>
      </c>
      <c r="AQ23" s="634">
        <f t="shared" si="19"/>
        <v>4.584507042253521</v>
      </c>
      <c r="AR23" s="634">
        <f t="shared" si="19"/>
        <v>5.8993710691823891</v>
      </c>
      <c r="AS23" s="634">
        <f t="shared" si="19"/>
        <v>7.6774193548387082</v>
      </c>
      <c r="AT23" s="634">
        <f t="shared" si="19"/>
        <v>9.8055555555555536</v>
      </c>
      <c r="AU23" s="635">
        <f t="shared" si="19"/>
        <v>22.943617021276594</v>
      </c>
      <c r="AV23" s="639">
        <f t="shared" ref="AV23:AV54" si="21">(T23*1000)/365</f>
        <v>0</v>
      </c>
      <c r="AW23" s="640">
        <f t="shared" si="7"/>
        <v>4.3795440239200563</v>
      </c>
      <c r="AX23" s="641">
        <f t="shared" si="8"/>
        <v>11.581490750213312</v>
      </c>
      <c r="AY23" s="639">
        <f t="shared" si="9"/>
        <v>0</v>
      </c>
      <c r="AZ23" s="640">
        <f t="shared" si="10"/>
        <v>4.3795440239200563</v>
      </c>
      <c r="BA23" s="641">
        <f t="shared" si="11"/>
        <v>11.581490750213311</v>
      </c>
      <c r="BB23" s="636" t="s">
        <v>48</v>
      </c>
      <c r="BC23" s="636">
        <f t="shared" si="14"/>
        <v>1365.4064904650384</v>
      </c>
      <c r="BD23" s="636">
        <f t="shared" si="14"/>
        <v>1243.3179723502308</v>
      </c>
      <c r="BE23" s="636">
        <f t="shared" si="14"/>
        <v>966.2046908315566</v>
      </c>
      <c r="BF23" s="636">
        <f t="shared" si="14"/>
        <v>742.43697478991601</v>
      </c>
      <c r="BG23" s="636">
        <f t="shared" si="14"/>
        <v>581.30311614730886</v>
      </c>
      <c r="BH23" s="636">
        <f t="shared" si="14"/>
        <v>248.43510919460289</v>
      </c>
      <c r="BI23" s="636" t="s">
        <v>48</v>
      </c>
      <c r="BJ23" s="636">
        <f t="shared" si="17"/>
        <v>1365.4064904650384</v>
      </c>
      <c r="BK23" s="636">
        <f t="shared" si="17"/>
        <v>1243.3179723502305</v>
      </c>
      <c r="BL23" s="636">
        <f t="shared" si="17"/>
        <v>966.2046908315566</v>
      </c>
      <c r="BM23" s="636">
        <f t="shared" si="17"/>
        <v>742.43697478991612</v>
      </c>
      <c r="BN23" s="636">
        <f t="shared" si="17"/>
        <v>581.30311614730886</v>
      </c>
      <c r="BO23" s="636">
        <f t="shared" si="17"/>
        <v>248.43510919460289</v>
      </c>
    </row>
    <row r="24" spans="1:67">
      <c r="A24" s="642"/>
      <c r="B24" s="643" t="s">
        <v>298</v>
      </c>
      <c r="C24" s="642"/>
      <c r="D24" s="649">
        <v>0</v>
      </c>
      <c r="E24" s="650">
        <v>1</v>
      </c>
      <c r="F24" s="650">
        <v>1</v>
      </c>
      <c r="G24" s="652">
        <f>'Compiled Articles'!J14</f>
        <v>120</v>
      </c>
      <c r="H24" s="246">
        <f>'Compiled Articles'!$J$11</f>
        <v>365</v>
      </c>
      <c r="I24" s="246">
        <v>1</v>
      </c>
      <c r="J24" s="624">
        <f t="shared" si="15"/>
        <v>6.9999999999999994E-5</v>
      </c>
      <c r="K24" s="625">
        <f t="shared" si="16"/>
        <v>1.3999999999999999E-4</v>
      </c>
      <c r="L24" s="644" t="s">
        <v>685</v>
      </c>
      <c r="M24" s="627">
        <f>(INDEX('Dermal Calcs'!$B$61:$H$67, MATCH($L24,'Dermal Calcs'!$A$61:$A$67, 0), MATCH(M$3, 'Dermal Calcs'!$B$60:$H$60, 0)))*$K24*$D24</f>
        <v>0</v>
      </c>
      <c r="N24" s="628">
        <f>(INDEX('Dermal Calcs'!$B$61:$H$67, MATCH($L24,'Dermal Calcs'!$A$61:$A$67, 0), MATCH(N$3, 'Dermal Calcs'!$B$60:$H$60, 0)))*$K24*$E24</f>
        <v>8.1145251396648054E-4</v>
      </c>
      <c r="O24" s="628">
        <f>(INDEX('Dermal Calcs'!$B$61:$H$67, MATCH($L24,'Dermal Calcs'!$A$61:$A$67, 0), MATCH(O$3, 'Dermal Calcs'!$B$60:$H$60, 0)))*$K24*$E24</f>
        <v>8.8732394366197178E-4</v>
      </c>
      <c r="P24" s="630">
        <f>(INDEX('Dermal Calcs'!$B$61:$H$67, MATCH($L24,'Dermal Calcs'!$A$61:$A$67, 0), MATCH(P$3, 'Dermal Calcs'!$B$60:$H$60, 0)))*$K24*$F24</f>
        <v>1.122641509433962E-3</v>
      </c>
      <c r="Q24" s="630">
        <f>(INDEX('Dermal Calcs'!$B$61:$H$67, MATCH($L24,'Dermal Calcs'!$A$61:$A$67, 0), MATCH(Q$3, 'Dermal Calcs'!$B$60:$H$60, 0)))*$K24*$F24</f>
        <v>1.3924731182795697E-3</v>
      </c>
      <c r="R24" s="630">
        <f>(INDEX('Dermal Calcs'!$B$61:$H$67, MATCH($L24,'Dermal Calcs'!$A$61:$A$67, 0), MATCH(R$3, 'Dermal Calcs'!$B$60:$H$60, 0)))*$K24*$F24</f>
        <v>1.6111111111111107E-3</v>
      </c>
      <c r="S24" s="631">
        <f>(INDEX('Dermal Calcs'!$B$61:$H$67, MATCH($L24,'Dermal Calcs'!$A$61:$A$67, 0), MATCH(S$3, 'Dermal Calcs'!$B$60:$H$60, 0)))*$K24*$F24</f>
        <v>1.8840425531914892E-3</v>
      </c>
      <c r="T24" s="639">
        <f t="shared" si="2"/>
        <v>0</v>
      </c>
      <c r="U24" s="640">
        <f t="shared" si="2"/>
        <v>0.29618016759776539</v>
      </c>
      <c r="V24" s="640">
        <f t="shared" si="2"/>
        <v>0.32387323943661972</v>
      </c>
      <c r="W24" s="641">
        <f t="shared" si="2"/>
        <v>0.40976415094339613</v>
      </c>
      <c r="X24" s="641">
        <f t="shared" si="2"/>
        <v>0.50825268817204294</v>
      </c>
      <c r="Y24" s="641">
        <f t="shared" si="2"/>
        <v>0.58805555555555544</v>
      </c>
      <c r="Z24" s="641">
        <f t="shared" si="2"/>
        <v>0.68767553191489361</v>
      </c>
      <c r="AA24" s="639">
        <f t="shared" si="3"/>
        <v>0</v>
      </c>
      <c r="AB24" s="640">
        <f t="shared" si="3"/>
        <v>8.1145251396648054E-4</v>
      </c>
      <c r="AC24" s="640">
        <f t="shared" si="3"/>
        <v>8.8732394366197178E-4</v>
      </c>
      <c r="AD24" s="641">
        <f t="shared" si="3"/>
        <v>1.122641509433962E-3</v>
      </c>
      <c r="AE24" s="641">
        <f t="shared" si="3"/>
        <v>1.3924731182795697E-3</v>
      </c>
      <c r="AF24" s="641">
        <f t="shared" si="3"/>
        <v>1.6111111111111107E-3</v>
      </c>
      <c r="AG24" s="641">
        <f t="shared" si="3"/>
        <v>1.8840425531914892E-3</v>
      </c>
      <c r="AH24" s="633">
        <f t="shared" si="20"/>
        <v>0</v>
      </c>
      <c r="AI24" s="634">
        <f t="shared" si="18"/>
        <v>0.81145251396648044</v>
      </c>
      <c r="AJ24" s="634">
        <f t="shared" si="18"/>
        <v>0.88732394366197187</v>
      </c>
      <c r="AK24" s="634">
        <f t="shared" si="18"/>
        <v>1.1226415094339621</v>
      </c>
      <c r="AL24" s="634">
        <f t="shared" si="18"/>
        <v>1.3924731182795698</v>
      </c>
      <c r="AM24" s="634">
        <f t="shared" si="18"/>
        <v>1.6111111111111107</v>
      </c>
      <c r="AN24" s="635">
        <f t="shared" si="18"/>
        <v>1.8840425531914895</v>
      </c>
      <c r="AO24" s="634">
        <f t="shared" si="19"/>
        <v>0</v>
      </c>
      <c r="AP24" s="634">
        <f t="shared" si="19"/>
        <v>0.81145251396648055</v>
      </c>
      <c r="AQ24" s="634">
        <f t="shared" si="19"/>
        <v>0.88732394366197176</v>
      </c>
      <c r="AR24" s="634">
        <f t="shared" si="19"/>
        <v>1.1226415094339619</v>
      </c>
      <c r="AS24" s="634">
        <f t="shared" si="19"/>
        <v>1.3924731182795698</v>
      </c>
      <c r="AT24" s="634">
        <f t="shared" si="19"/>
        <v>1.6111111111111107</v>
      </c>
      <c r="AU24" s="635">
        <f t="shared" si="19"/>
        <v>1.8840425531914893</v>
      </c>
      <c r="AV24" s="639">
        <f t="shared" si="21"/>
        <v>0</v>
      </c>
      <c r="AW24" s="640">
        <f t="shared" si="7"/>
        <v>0.84938822881422604</v>
      </c>
      <c r="AX24" s="641">
        <f t="shared" si="8"/>
        <v>1.502567073004033</v>
      </c>
      <c r="AY24" s="639">
        <f t="shared" si="9"/>
        <v>0</v>
      </c>
      <c r="AZ24" s="640">
        <f t="shared" si="10"/>
        <v>0.84938822881422626</v>
      </c>
      <c r="BA24" s="641">
        <f t="shared" si="11"/>
        <v>1.502567073004033</v>
      </c>
      <c r="BB24" s="636" t="s">
        <v>48</v>
      </c>
      <c r="BC24" s="636">
        <f t="shared" si="14"/>
        <v>7024.4406196213422</v>
      </c>
      <c r="BD24" s="636">
        <f t="shared" si="14"/>
        <v>6423.8095238095239</v>
      </c>
      <c r="BE24" s="636">
        <f t="shared" si="14"/>
        <v>5077.3109243697481</v>
      </c>
      <c r="BF24" s="636">
        <f t="shared" si="14"/>
        <v>4093.4362934362939</v>
      </c>
      <c r="BG24" s="636">
        <f t="shared" si="14"/>
        <v>3537.9310344827595</v>
      </c>
      <c r="BH24" s="636">
        <f t="shared" si="14"/>
        <v>3025.40937323546</v>
      </c>
      <c r="BI24" s="636" t="s">
        <v>48</v>
      </c>
      <c r="BJ24" s="636">
        <f t="shared" si="17"/>
        <v>7024.4406196213413</v>
      </c>
      <c r="BK24" s="636">
        <f t="shared" si="17"/>
        <v>6423.8095238095248</v>
      </c>
      <c r="BL24" s="636">
        <f t="shared" si="17"/>
        <v>5077.31092436975</v>
      </c>
      <c r="BM24" s="636">
        <f t="shared" si="17"/>
        <v>4093.4362934362939</v>
      </c>
      <c r="BN24" s="636">
        <f t="shared" si="17"/>
        <v>3537.9310344827595</v>
      </c>
      <c r="BO24" s="636">
        <f t="shared" si="17"/>
        <v>3025.4093732354604</v>
      </c>
    </row>
    <row r="25" spans="1:67" ht="14.65" customHeight="1">
      <c r="A25" s="623" t="str">
        <f>'Compiled Articles'!K6</f>
        <v>Footwear Components</v>
      </c>
      <c r="B25" s="651" t="s">
        <v>296</v>
      </c>
      <c r="C25" s="623" t="s">
        <v>204</v>
      </c>
      <c r="D25" s="615">
        <v>1</v>
      </c>
      <c r="E25" s="149">
        <v>1</v>
      </c>
      <c r="F25" s="149">
        <v>1</v>
      </c>
      <c r="G25" s="652">
        <f>'Compiled Articles'!K12</f>
        <v>480</v>
      </c>
      <c r="H25" s="246">
        <f>'Compiled Articles'!$K$11</f>
        <v>365</v>
      </c>
      <c r="I25" s="158">
        <v>1</v>
      </c>
      <c r="J25" s="624">
        <f t="shared" si="15"/>
        <v>6.9999999999999994E-5</v>
      </c>
      <c r="K25" s="625">
        <f t="shared" si="16"/>
        <v>5.5999999999999995E-4</v>
      </c>
      <c r="L25" s="626" t="s">
        <v>684</v>
      </c>
      <c r="M25" s="627">
        <f>(INDEX('Dermal Calcs'!$B$61:$H$67, MATCH($L25,'Dermal Calcs'!$A$61:$A$67, 0), MATCH(M$3, 'Dermal Calcs'!$B$60:$H$60, 0)))*$K25*$D25</f>
        <v>6.9371633752244178E-4</v>
      </c>
      <c r="N25" s="628">
        <f>(INDEX('Dermal Calcs'!$B$61:$H$67, MATCH($L25,'Dermal Calcs'!$A$61:$A$67, 0), MATCH(N$3, 'Dermal Calcs'!$B$60:$H$60, 0)))*$K25*$E25</f>
        <v>6.4916201117318445E-4</v>
      </c>
      <c r="O25" s="628">
        <f>(INDEX('Dermal Calcs'!$B$61:$H$67, MATCH($L25,'Dermal Calcs'!$A$61:$A$67, 0), MATCH(O$3, 'Dermal Calcs'!$B$60:$H$60, 0)))*$K25*$E25</f>
        <v>7.0985915492957749E-4</v>
      </c>
      <c r="P25" s="630">
        <f>(INDEX('Dermal Calcs'!$B$61:$H$67, MATCH($L25,'Dermal Calcs'!$A$61:$A$67, 0), MATCH(P$3, 'Dermal Calcs'!$B$60:$H$60, 0)))*$K25*$F25</f>
        <v>8.9811320754716963E-4</v>
      </c>
      <c r="Q25" s="630">
        <f>(INDEX('Dermal Calcs'!$B$61:$H$67, MATCH($L25,'Dermal Calcs'!$A$61:$A$67, 0), MATCH(Q$3, 'Dermal Calcs'!$B$60:$H$60, 0)))*$K25*$F25</f>
        <v>1.1139784946236559E-3</v>
      </c>
      <c r="R25" s="630">
        <f>(INDEX('Dermal Calcs'!$B$61:$H$67, MATCH($L25,'Dermal Calcs'!$A$61:$A$67, 0), MATCH(R$3, 'Dermal Calcs'!$B$60:$H$60, 0)))*$K25*$F25</f>
        <v>1.2888888888888887E-3</v>
      </c>
      <c r="S25" s="631">
        <f>(INDEX('Dermal Calcs'!$B$61:$H$67, MATCH($L25,'Dermal Calcs'!$A$61:$A$67, 0), MATCH(S$3, 'Dermal Calcs'!$B$60:$H$60, 0)))*$K25*$F25</f>
        <v>1.5072340425531915E-3</v>
      </c>
      <c r="T25" s="639">
        <f t="shared" si="2"/>
        <v>0.25320646319569123</v>
      </c>
      <c r="U25" s="640">
        <f t="shared" si="2"/>
        <v>0.23694413407821233</v>
      </c>
      <c r="V25" s="640">
        <f t="shared" si="2"/>
        <v>0.25909859154929576</v>
      </c>
      <c r="W25" s="641">
        <f t="shared" si="2"/>
        <v>0.32781132075471692</v>
      </c>
      <c r="X25" s="641">
        <f t="shared" si="2"/>
        <v>0.40660215053763438</v>
      </c>
      <c r="Y25" s="641">
        <f t="shared" si="2"/>
        <v>0.47044444444444439</v>
      </c>
      <c r="Z25" s="641">
        <f t="shared" si="2"/>
        <v>0.55014042553191489</v>
      </c>
      <c r="AA25" s="639">
        <f t="shared" si="3"/>
        <v>6.9371633752244178E-4</v>
      </c>
      <c r="AB25" s="640">
        <f t="shared" si="3"/>
        <v>6.4916201117318445E-4</v>
      </c>
      <c r="AC25" s="640">
        <f t="shared" si="3"/>
        <v>7.0985915492957749E-4</v>
      </c>
      <c r="AD25" s="641">
        <f t="shared" si="3"/>
        <v>8.9811320754716963E-4</v>
      </c>
      <c r="AE25" s="641">
        <f t="shared" si="3"/>
        <v>1.1139784946236559E-3</v>
      </c>
      <c r="AF25" s="641">
        <f t="shared" si="3"/>
        <v>1.2888888888888887E-3</v>
      </c>
      <c r="AG25" s="641">
        <f t="shared" si="3"/>
        <v>1.5072340425531915E-3</v>
      </c>
      <c r="AH25" s="633">
        <f t="shared" si="20"/>
        <v>0.69371633752244177</v>
      </c>
      <c r="AI25" s="634">
        <f t="shared" si="18"/>
        <v>0.64916201117318451</v>
      </c>
      <c r="AJ25" s="634">
        <f t="shared" si="18"/>
        <v>0.70985915492957741</v>
      </c>
      <c r="AK25" s="634">
        <f t="shared" si="18"/>
        <v>0.89811320754716961</v>
      </c>
      <c r="AL25" s="634">
        <f t="shared" si="18"/>
        <v>1.1139784946236557</v>
      </c>
      <c r="AM25" s="634">
        <f t="shared" si="18"/>
        <v>1.2888888888888888</v>
      </c>
      <c r="AN25" s="635">
        <f t="shared" si="18"/>
        <v>1.5072340425531914</v>
      </c>
      <c r="AO25" s="634">
        <f t="shared" si="19"/>
        <v>0.69371633752244177</v>
      </c>
      <c r="AP25" s="634">
        <f t="shared" si="19"/>
        <v>0.64916201117318451</v>
      </c>
      <c r="AQ25" s="634">
        <f t="shared" si="19"/>
        <v>0.70985915492957752</v>
      </c>
      <c r="AR25" s="634">
        <f t="shared" si="19"/>
        <v>0.89811320754716961</v>
      </c>
      <c r="AS25" s="634">
        <f t="shared" si="19"/>
        <v>1.1139784946236559</v>
      </c>
      <c r="AT25" s="634">
        <f t="shared" si="19"/>
        <v>1.2888888888888888</v>
      </c>
      <c r="AU25" s="635">
        <f t="shared" si="19"/>
        <v>1.5072340425531916</v>
      </c>
      <c r="AV25" s="639">
        <f t="shared" si="21"/>
        <v>0.69371633752244177</v>
      </c>
      <c r="AW25" s="640">
        <f t="shared" si="7"/>
        <v>0.6795105830513809</v>
      </c>
      <c r="AX25" s="641">
        <f t="shared" si="8"/>
        <v>1.2020536584032264</v>
      </c>
      <c r="AY25" s="639">
        <f t="shared" si="9"/>
        <v>0.69371633752244177</v>
      </c>
      <c r="AZ25" s="640">
        <f t="shared" si="10"/>
        <v>0.67951058305138101</v>
      </c>
      <c r="BA25" s="641">
        <f t="shared" si="11"/>
        <v>1.2020536584032264</v>
      </c>
      <c r="BB25" s="636">
        <f t="shared" si="14"/>
        <v>8216.6149068322975</v>
      </c>
      <c r="BC25" s="636">
        <f t="shared" si="14"/>
        <v>8780.5507745266768</v>
      </c>
      <c r="BD25" s="636">
        <f t="shared" si="14"/>
        <v>8029.7619047619055</v>
      </c>
      <c r="BE25" s="636">
        <f t="shared" si="14"/>
        <v>6346.6386554621859</v>
      </c>
      <c r="BF25" s="636">
        <f t="shared" si="14"/>
        <v>5116.795366795368</v>
      </c>
      <c r="BG25" s="636">
        <f t="shared" si="14"/>
        <v>4422.4137931034484</v>
      </c>
      <c r="BH25" s="636">
        <f t="shared" si="14"/>
        <v>3781.7617165443257</v>
      </c>
      <c r="BI25" s="636">
        <f t="shared" si="17"/>
        <v>8216.6149068322975</v>
      </c>
      <c r="BJ25" s="636">
        <f t="shared" si="17"/>
        <v>8780.5507745266768</v>
      </c>
      <c r="BK25" s="636">
        <f t="shared" si="17"/>
        <v>8029.7619047619046</v>
      </c>
      <c r="BL25" s="636">
        <f t="shared" si="17"/>
        <v>6346.6386554621859</v>
      </c>
      <c r="BM25" s="636">
        <f t="shared" si="17"/>
        <v>5116.795366795367</v>
      </c>
      <c r="BN25" s="636">
        <f t="shared" si="17"/>
        <v>4422.4137931034484</v>
      </c>
      <c r="BO25" s="636">
        <f t="shared" si="17"/>
        <v>3781.7617165443248</v>
      </c>
    </row>
    <row r="26" spans="1:67">
      <c r="A26" s="637"/>
      <c r="B26" s="402" t="s">
        <v>297</v>
      </c>
      <c r="C26" s="637"/>
      <c r="D26" s="615">
        <v>1</v>
      </c>
      <c r="E26" s="149">
        <v>1</v>
      </c>
      <c r="F26" s="149">
        <v>1</v>
      </c>
      <c r="G26" s="652">
        <f>'Compiled Articles'!K13</f>
        <v>240</v>
      </c>
      <c r="H26" s="246">
        <f>'Compiled Articles'!$K$11</f>
        <v>365</v>
      </c>
      <c r="I26" s="246">
        <f>I25</f>
        <v>1</v>
      </c>
      <c r="J26" s="624">
        <f t="shared" si="15"/>
        <v>6.9999999999999994E-5</v>
      </c>
      <c r="K26" s="625">
        <f t="shared" si="16"/>
        <v>2.7999999999999998E-4</v>
      </c>
      <c r="L26" s="638" t="s">
        <v>684</v>
      </c>
      <c r="M26" s="627">
        <f>(INDEX('Dermal Calcs'!$B$61:$H$67, MATCH($L26,'Dermal Calcs'!$A$61:$A$67, 0), MATCH(M$3, 'Dermal Calcs'!$B$60:$H$60, 0)))*$K26*$D26</f>
        <v>3.4685816876122089E-4</v>
      </c>
      <c r="N26" s="628">
        <f>(INDEX('Dermal Calcs'!$B$61:$H$67, MATCH($L26,'Dermal Calcs'!$A$61:$A$67, 0), MATCH(N$3, 'Dermal Calcs'!$B$60:$H$60, 0)))*$K26*$E26</f>
        <v>3.2458100558659223E-4</v>
      </c>
      <c r="O26" s="628">
        <f>(INDEX('Dermal Calcs'!$B$61:$H$67, MATCH($L26,'Dermal Calcs'!$A$61:$A$67, 0), MATCH(O$3, 'Dermal Calcs'!$B$60:$H$60, 0)))*$K26*$E26</f>
        <v>3.5492957746478874E-4</v>
      </c>
      <c r="P26" s="630">
        <f>(INDEX('Dermal Calcs'!$B$61:$H$67, MATCH($L26,'Dermal Calcs'!$A$61:$A$67, 0), MATCH(P$3, 'Dermal Calcs'!$B$60:$H$60, 0)))*$K26*$F26</f>
        <v>4.4905660377358482E-4</v>
      </c>
      <c r="Q26" s="630">
        <f>(INDEX('Dermal Calcs'!$B$61:$H$67, MATCH($L26,'Dermal Calcs'!$A$61:$A$67, 0), MATCH(Q$3, 'Dermal Calcs'!$B$60:$H$60, 0)))*$K26*$F26</f>
        <v>5.5698924731182795E-4</v>
      </c>
      <c r="R26" s="630">
        <f>(INDEX('Dermal Calcs'!$B$61:$H$67, MATCH($L26,'Dermal Calcs'!$A$61:$A$67, 0), MATCH(R$3, 'Dermal Calcs'!$B$60:$H$60, 0)))*$K26*$F26</f>
        <v>6.4444444444444434E-4</v>
      </c>
      <c r="S26" s="631">
        <f>(INDEX('Dermal Calcs'!$B$61:$H$67, MATCH($L26,'Dermal Calcs'!$A$61:$A$67, 0), MATCH(S$3, 'Dermal Calcs'!$B$60:$H$60, 0)))*$K26*$F26</f>
        <v>7.5361702127659577E-4</v>
      </c>
      <c r="T26" s="639">
        <f t="shared" si="2"/>
        <v>0.12660323159784562</v>
      </c>
      <c r="U26" s="640">
        <f t="shared" si="2"/>
        <v>0.11847206703910616</v>
      </c>
      <c r="V26" s="640">
        <f t="shared" si="2"/>
        <v>0.12954929577464788</v>
      </c>
      <c r="W26" s="641">
        <f t="shared" si="2"/>
        <v>0.16390566037735846</v>
      </c>
      <c r="X26" s="641">
        <f t="shared" si="2"/>
        <v>0.20330107526881719</v>
      </c>
      <c r="Y26" s="641">
        <f t="shared" si="2"/>
        <v>0.23522222222222219</v>
      </c>
      <c r="Z26" s="641">
        <f t="shared" si="2"/>
        <v>0.27507021276595744</v>
      </c>
      <c r="AA26" s="639">
        <f t="shared" si="3"/>
        <v>3.4685816876122089E-4</v>
      </c>
      <c r="AB26" s="640">
        <f t="shared" si="3"/>
        <v>3.2458100558659223E-4</v>
      </c>
      <c r="AC26" s="640">
        <f t="shared" si="3"/>
        <v>3.5492957746478874E-4</v>
      </c>
      <c r="AD26" s="641">
        <f t="shared" si="3"/>
        <v>4.4905660377358482E-4</v>
      </c>
      <c r="AE26" s="641">
        <f t="shared" si="3"/>
        <v>5.5698924731182795E-4</v>
      </c>
      <c r="AF26" s="641">
        <f t="shared" si="3"/>
        <v>6.4444444444444434E-4</v>
      </c>
      <c r="AG26" s="641">
        <f t="shared" si="3"/>
        <v>7.5361702127659577E-4</v>
      </c>
      <c r="AH26" s="633">
        <f t="shared" si="20"/>
        <v>0.34685816876122089</v>
      </c>
      <c r="AI26" s="634">
        <f t="shared" si="18"/>
        <v>0.32458100558659225</v>
      </c>
      <c r="AJ26" s="634">
        <f t="shared" si="18"/>
        <v>0.3549295774647887</v>
      </c>
      <c r="AK26" s="634">
        <f t="shared" si="18"/>
        <v>0.44905660377358481</v>
      </c>
      <c r="AL26" s="634">
        <f t="shared" si="18"/>
        <v>0.55698924731182786</v>
      </c>
      <c r="AM26" s="634">
        <f t="shared" si="18"/>
        <v>0.64444444444444438</v>
      </c>
      <c r="AN26" s="635">
        <f t="shared" si="18"/>
        <v>0.75361702127659569</v>
      </c>
      <c r="AO26" s="634">
        <f t="shared" si="19"/>
        <v>0.34685816876122089</v>
      </c>
      <c r="AP26" s="634">
        <f t="shared" si="19"/>
        <v>0.32458100558659225</v>
      </c>
      <c r="AQ26" s="634">
        <f t="shared" si="19"/>
        <v>0.35492957746478876</v>
      </c>
      <c r="AR26" s="634">
        <f t="shared" si="19"/>
        <v>0.44905660377358481</v>
      </c>
      <c r="AS26" s="634">
        <f t="shared" si="19"/>
        <v>0.55698924731182797</v>
      </c>
      <c r="AT26" s="634">
        <f t="shared" si="19"/>
        <v>0.64444444444444438</v>
      </c>
      <c r="AU26" s="635">
        <f t="shared" si="19"/>
        <v>0.7536170212765958</v>
      </c>
      <c r="AV26" s="639">
        <f t="shared" si="21"/>
        <v>0.34685816876122089</v>
      </c>
      <c r="AW26" s="640">
        <f t="shared" si="7"/>
        <v>0.33975529152569045</v>
      </c>
      <c r="AX26" s="641">
        <f t="shared" si="8"/>
        <v>0.60102682920161321</v>
      </c>
      <c r="AY26" s="639">
        <f t="shared" si="9"/>
        <v>0.34685816876122089</v>
      </c>
      <c r="AZ26" s="640">
        <f t="shared" si="10"/>
        <v>0.33975529152569051</v>
      </c>
      <c r="BA26" s="641">
        <f t="shared" si="11"/>
        <v>0.60102682920161321</v>
      </c>
      <c r="BB26" s="636">
        <f t="shared" si="14"/>
        <v>16433.229813664595</v>
      </c>
      <c r="BC26" s="636">
        <f t="shared" si="14"/>
        <v>17561.101549053354</v>
      </c>
      <c r="BD26" s="636">
        <f t="shared" si="14"/>
        <v>16059.523809523811</v>
      </c>
      <c r="BE26" s="636">
        <f t="shared" si="14"/>
        <v>12693.277310924372</v>
      </c>
      <c r="BF26" s="636">
        <f t="shared" si="14"/>
        <v>10233.590733590736</v>
      </c>
      <c r="BG26" s="636">
        <f t="shared" si="14"/>
        <v>8844.8275862068967</v>
      </c>
      <c r="BH26" s="636">
        <f t="shared" si="14"/>
        <v>7563.5234330886515</v>
      </c>
      <c r="BI26" s="636">
        <f t="shared" si="17"/>
        <v>16433.229813664595</v>
      </c>
      <c r="BJ26" s="636">
        <f t="shared" si="17"/>
        <v>17561.101549053354</v>
      </c>
      <c r="BK26" s="636">
        <f t="shared" si="17"/>
        <v>16059.523809523809</v>
      </c>
      <c r="BL26" s="636">
        <f t="shared" si="17"/>
        <v>12693.277310924372</v>
      </c>
      <c r="BM26" s="636">
        <f t="shared" si="17"/>
        <v>10233.590733590734</v>
      </c>
      <c r="BN26" s="636">
        <f t="shared" si="17"/>
        <v>8844.8275862068967</v>
      </c>
      <c r="BO26" s="636">
        <f t="shared" si="17"/>
        <v>7563.5234330886497</v>
      </c>
    </row>
    <row r="27" spans="1:67">
      <c r="A27" s="642"/>
      <c r="B27" s="643" t="s">
        <v>298</v>
      </c>
      <c r="C27" s="642"/>
      <c r="D27" s="649">
        <v>1</v>
      </c>
      <c r="E27" s="650">
        <v>1</v>
      </c>
      <c r="F27" s="650">
        <v>1</v>
      </c>
      <c r="G27" s="652">
        <f>'Compiled Articles'!K14</f>
        <v>120</v>
      </c>
      <c r="H27" s="246">
        <f>'Compiled Articles'!$K$11</f>
        <v>365</v>
      </c>
      <c r="I27" s="246">
        <f>I25</f>
        <v>1</v>
      </c>
      <c r="J27" s="624">
        <f t="shared" si="15"/>
        <v>6.9999999999999994E-5</v>
      </c>
      <c r="K27" s="625">
        <f t="shared" si="16"/>
        <v>1.3999999999999999E-4</v>
      </c>
      <c r="L27" s="644" t="s">
        <v>684</v>
      </c>
      <c r="M27" s="627">
        <f>(INDEX('Dermal Calcs'!$B$61:$H$67, MATCH($L27,'Dermal Calcs'!$A$61:$A$67, 0), MATCH(M$3, 'Dermal Calcs'!$B$60:$H$60, 0)))*$K27*$D27</f>
        <v>1.7342908438061045E-4</v>
      </c>
      <c r="N27" s="628">
        <f>(INDEX('Dermal Calcs'!$B$61:$H$67, MATCH($L27,'Dermal Calcs'!$A$61:$A$67, 0), MATCH(N$3, 'Dermal Calcs'!$B$60:$H$60, 0)))*$K27*$E27</f>
        <v>1.6229050279329611E-4</v>
      </c>
      <c r="O27" s="628">
        <f>(INDEX('Dermal Calcs'!$B$61:$H$67, MATCH($L27,'Dermal Calcs'!$A$61:$A$67, 0), MATCH(O$3, 'Dermal Calcs'!$B$60:$H$60, 0)))*$K27*$E27</f>
        <v>1.7746478873239437E-4</v>
      </c>
      <c r="P27" s="630">
        <f>(INDEX('Dermal Calcs'!$B$61:$H$67, MATCH($L27,'Dermal Calcs'!$A$61:$A$67, 0), MATCH(P$3, 'Dermal Calcs'!$B$60:$H$60, 0)))*$K27*$F27</f>
        <v>2.2452830188679241E-4</v>
      </c>
      <c r="Q27" s="630">
        <f>(INDEX('Dermal Calcs'!$B$61:$H$67, MATCH($L27,'Dermal Calcs'!$A$61:$A$67, 0), MATCH(Q$3, 'Dermal Calcs'!$B$60:$H$60, 0)))*$K27*$F27</f>
        <v>2.7849462365591397E-4</v>
      </c>
      <c r="R27" s="630">
        <f>(INDEX('Dermal Calcs'!$B$61:$H$67, MATCH($L27,'Dermal Calcs'!$A$61:$A$67, 0), MATCH(R$3, 'Dermal Calcs'!$B$60:$H$60, 0)))*$K27*$F27</f>
        <v>3.2222222222222217E-4</v>
      </c>
      <c r="S27" s="631">
        <f>(INDEX('Dermal Calcs'!$B$61:$H$67, MATCH($L27,'Dermal Calcs'!$A$61:$A$67, 0), MATCH(S$3, 'Dermal Calcs'!$B$60:$H$60, 0)))*$K27*$F27</f>
        <v>3.7680851063829788E-4</v>
      </c>
      <c r="T27" s="639">
        <f t="shared" si="2"/>
        <v>6.3301615798922808E-2</v>
      </c>
      <c r="U27" s="640">
        <f t="shared" si="2"/>
        <v>5.9236033519553082E-2</v>
      </c>
      <c r="V27" s="640">
        <f t="shared" si="2"/>
        <v>6.4774647887323941E-2</v>
      </c>
      <c r="W27" s="641">
        <f t="shared" si="2"/>
        <v>8.1952830188679229E-2</v>
      </c>
      <c r="X27" s="641">
        <f t="shared" si="2"/>
        <v>0.10165053763440859</v>
      </c>
      <c r="Y27" s="641">
        <f t="shared" si="2"/>
        <v>0.1176111111111111</v>
      </c>
      <c r="Z27" s="641">
        <f t="shared" si="2"/>
        <v>0.13753510638297872</v>
      </c>
      <c r="AA27" s="639">
        <f t="shared" si="3"/>
        <v>1.7342908438061045E-4</v>
      </c>
      <c r="AB27" s="640">
        <f t="shared" si="3"/>
        <v>1.6229050279329611E-4</v>
      </c>
      <c r="AC27" s="640">
        <f t="shared" si="3"/>
        <v>1.7746478873239437E-4</v>
      </c>
      <c r="AD27" s="641">
        <f t="shared" si="3"/>
        <v>2.2452830188679241E-4</v>
      </c>
      <c r="AE27" s="641">
        <f t="shared" si="3"/>
        <v>2.7849462365591397E-4</v>
      </c>
      <c r="AF27" s="641">
        <f t="shared" si="3"/>
        <v>3.2222222222222217E-4</v>
      </c>
      <c r="AG27" s="641">
        <f t="shared" si="3"/>
        <v>3.7680851063829788E-4</v>
      </c>
      <c r="AH27" s="633">
        <f t="shared" si="20"/>
        <v>0.17342908438061044</v>
      </c>
      <c r="AI27" s="634">
        <f t="shared" si="18"/>
        <v>0.16229050279329613</v>
      </c>
      <c r="AJ27" s="634">
        <f t="shared" si="18"/>
        <v>0.17746478873239435</v>
      </c>
      <c r="AK27" s="634">
        <f t="shared" si="18"/>
        <v>0.2245283018867924</v>
      </c>
      <c r="AL27" s="634">
        <f t="shared" si="18"/>
        <v>0.27849462365591393</v>
      </c>
      <c r="AM27" s="634">
        <f t="shared" si="18"/>
        <v>0.32222222222222219</v>
      </c>
      <c r="AN27" s="635">
        <f t="shared" si="18"/>
        <v>0.37680851063829784</v>
      </c>
      <c r="AO27" s="634">
        <f t="shared" si="19"/>
        <v>0.17342908438061044</v>
      </c>
      <c r="AP27" s="634">
        <f t="shared" si="19"/>
        <v>0.16229050279329613</v>
      </c>
      <c r="AQ27" s="634">
        <f t="shared" si="19"/>
        <v>0.17746478873239438</v>
      </c>
      <c r="AR27" s="634">
        <f t="shared" si="19"/>
        <v>0.2245283018867924</v>
      </c>
      <c r="AS27" s="634">
        <f t="shared" si="19"/>
        <v>0.27849462365591399</v>
      </c>
      <c r="AT27" s="634">
        <f t="shared" si="19"/>
        <v>0.32222222222222219</v>
      </c>
      <c r="AU27" s="635">
        <f t="shared" si="19"/>
        <v>0.3768085106382979</v>
      </c>
      <c r="AV27" s="639">
        <f t="shared" si="21"/>
        <v>0.17342908438061044</v>
      </c>
      <c r="AW27" s="640">
        <f t="shared" si="7"/>
        <v>0.16987764576284523</v>
      </c>
      <c r="AX27" s="641">
        <f t="shared" si="8"/>
        <v>0.30051341460080661</v>
      </c>
      <c r="AY27" s="639">
        <f t="shared" si="9"/>
        <v>0.17342908438061044</v>
      </c>
      <c r="AZ27" s="640">
        <f t="shared" si="10"/>
        <v>0.16987764576284525</v>
      </c>
      <c r="BA27" s="641">
        <f t="shared" si="11"/>
        <v>0.30051341460080661</v>
      </c>
      <c r="BB27" s="636">
        <f t="shared" si="14"/>
        <v>32866.45962732919</v>
      </c>
      <c r="BC27" s="636">
        <f t="shared" si="14"/>
        <v>35122.203098106707</v>
      </c>
      <c r="BD27" s="636">
        <f t="shared" si="14"/>
        <v>32119.047619047622</v>
      </c>
      <c r="BE27" s="636">
        <f t="shared" si="14"/>
        <v>25386.554621848743</v>
      </c>
      <c r="BF27" s="636">
        <f t="shared" si="14"/>
        <v>20467.181467181472</v>
      </c>
      <c r="BG27" s="636">
        <f t="shared" si="14"/>
        <v>17689.655172413793</v>
      </c>
      <c r="BH27" s="636">
        <f t="shared" si="14"/>
        <v>15127.046866177303</v>
      </c>
      <c r="BI27" s="636">
        <f t="shared" si="17"/>
        <v>32866.45962732919</v>
      </c>
      <c r="BJ27" s="636">
        <f t="shared" si="17"/>
        <v>35122.203098106707</v>
      </c>
      <c r="BK27" s="636">
        <f t="shared" si="17"/>
        <v>32119.047619047618</v>
      </c>
      <c r="BL27" s="636">
        <f t="shared" si="17"/>
        <v>25386.554621848743</v>
      </c>
      <c r="BM27" s="636">
        <f t="shared" si="17"/>
        <v>20467.181467181468</v>
      </c>
      <c r="BN27" s="636">
        <f t="shared" si="17"/>
        <v>17689.655172413793</v>
      </c>
      <c r="BO27" s="636">
        <f t="shared" si="17"/>
        <v>15127.046866177299</v>
      </c>
    </row>
    <row r="28" spans="1:67" ht="14.65" customHeight="1">
      <c r="A28" s="623" t="str">
        <f>'Compiled Articles'!L6</f>
        <v>Furniture Components (Textile)</v>
      </c>
      <c r="B28" s="651" t="s">
        <v>296</v>
      </c>
      <c r="C28" s="623" t="s">
        <v>205</v>
      </c>
      <c r="D28" s="615">
        <v>1</v>
      </c>
      <c r="E28" s="149">
        <v>1</v>
      </c>
      <c r="F28" s="149">
        <v>1</v>
      </c>
      <c r="G28" s="652">
        <f>'Compiled Articles'!L12</f>
        <v>480</v>
      </c>
      <c r="H28" s="246">
        <f>'Compiled Articles'!$L$11</f>
        <v>365</v>
      </c>
      <c r="I28" s="158">
        <v>1</v>
      </c>
      <c r="J28" s="624">
        <f t="shared" si="15"/>
        <v>6.9999999999999994E-5</v>
      </c>
      <c r="K28" s="625">
        <f t="shared" si="16"/>
        <v>5.5999999999999995E-4</v>
      </c>
      <c r="L28" s="626" t="s">
        <v>683</v>
      </c>
      <c r="M28" s="627">
        <f>(INDEX('Dermal Calcs'!$B$61:$H$67, MATCH($L28,'Dermal Calcs'!$A$61:$A$67, 0), MATCH(M$3, 'Dermal Calcs'!$B$60:$H$60, 0)))*$K28*$D28</f>
        <v>6.8848422672480106E-2</v>
      </c>
      <c r="N28" s="628">
        <f>(INDEX('Dermal Calcs'!$B$61:$H$67, MATCH($L28,'Dermal Calcs'!$A$61:$A$67, 0), MATCH(N$3, 'Dermal Calcs'!$B$60:$H$60, 0)))*$K28*$E28</f>
        <v>7.1955307262569837E-2</v>
      </c>
      <c r="O28" s="628">
        <f>(INDEX('Dermal Calcs'!$B$61:$H$67, MATCH($L28,'Dermal Calcs'!$A$61:$A$67, 0), MATCH(O$3, 'Dermal Calcs'!$B$60:$H$60, 0)))*$K28*$E28</f>
        <v>7.8380281690140843E-2</v>
      </c>
      <c r="P28" s="630">
        <f>(INDEX('Dermal Calcs'!$B$61:$H$67, MATCH($L28,'Dermal Calcs'!$A$61:$A$67, 0), MATCH(P$3, 'Dermal Calcs'!$B$60:$H$60, 0)))*$K28*$F28</f>
        <v>9.5094339622641494E-2</v>
      </c>
      <c r="Q28" s="630">
        <f>(INDEX('Dermal Calcs'!$B$61:$H$67, MATCH($L28,'Dermal Calcs'!$A$61:$A$67, 0), MATCH(Q$3, 'Dermal Calcs'!$B$60:$H$60, 0)))*$K28*$F28</f>
        <v>0.11440860215053761</v>
      </c>
      <c r="R28" s="630">
        <f>(INDEX('Dermal Calcs'!$B$61:$H$67, MATCH($L28,'Dermal Calcs'!$A$61:$A$67, 0), MATCH(R$3, 'Dermal Calcs'!$B$60:$H$60, 0)))*$K28*$F28</f>
        <v>0.12666666666666665</v>
      </c>
      <c r="S28" s="631">
        <f>(INDEX('Dermal Calcs'!$B$61:$H$67, MATCH($L28,'Dermal Calcs'!$A$61:$A$67, 0), MATCH(S$3, 'Dermal Calcs'!$B$60:$H$60, 0)))*$K28*$F28</f>
        <v>0.14268085106382977</v>
      </c>
      <c r="T28" s="627">
        <f t="shared" si="2"/>
        <v>25.129674275455237</v>
      </c>
      <c r="U28" s="628">
        <f t="shared" si="2"/>
        <v>26.263687150837992</v>
      </c>
      <c r="V28" s="628">
        <f t="shared" si="2"/>
        <v>28.608802816901409</v>
      </c>
      <c r="W28" s="632">
        <f t="shared" si="2"/>
        <v>34.709433962264143</v>
      </c>
      <c r="X28" s="632">
        <f t="shared" si="2"/>
        <v>41.759139784946228</v>
      </c>
      <c r="Y28" s="632">
        <f t="shared" si="2"/>
        <v>46.233333333333327</v>
      </c>
      <c r="Z28" s="632">
        <f t="shared" si="2"/>
        <v>52.078510638297864</v>
      </c>
      <c r="AA28" s="627">
        <f t="shared" si="3"/>
        <v>6.8848422672480106E-2</v>
      </c>
      <c r="AB28" s="628">
        <f t="shared" si="3"/>
        <v>7.1955307262569837E-2</v>
      </c>
      <c r="AC28" s="628">
        <f t="shared" si="3"/>
        <v>7.8380281690140843E-2</v>
      </c>
      <c r="AD28" s="632">
        <f t="shared" si="3"/>
        <v>9.5094339622641494E-2</v>
      </c>
      <c r="AE28" s="632">
        <f t="shared" si="3"/>
        <v>0.11440860215053761</v>
      </c>
      <c r="AF28" s="632">
        <f t="shared" si="3"/>
        <v>0.12666666666666665</v>
      </c>
      <c r="AG28" s="632">
        <f t="shared" si="3"/>
        <v>0.14268085106382977</v>
      </c>
      <c r="AH28" s="633">
        <f t="shared" si="20"/>
        <v>68.848422672480098</v>
      </c>
      <c r="AI28" s="634">
        <f t="shared" si="18"/>
        <v>71.955307262569846</v>
      </c>
      <c r="AJ28" s="634">
        <f t="shared" si="18"/>
        <v>78.380281690140848</v>
      </c>
      <c r="AK28" s="634">
        <f t="shared" si="18"/>
        <v>95.094339622641485</v>
      </c>
      <c r="AL28" s="634">
        <f t="shared" si="18"/>
        <v>114.40860215053762</v>
      </c>
      <c r="AM28" s="634">
        <f t="shared" si="18"/>
        <v>126.66666666666666</v>
      </c>
      <c r="AN28" s="635">
        <f t="shared" si="18"/>
        <v>142.68085106382975</v>
      </c>
      <c r="AO28" s="634">
        <f t="shared" si="19"/>
        <v>68.848422672480112</v>
      </c>
      <c r="AP28" s="634">
        <f t="shared" si="19"/>
        <v>71.955307262569832</v>
      </c>
      <c r="AQ28" s="634">
        <f t="shared" si="19"/>
        <v>78.380281690140848</v>
      </c>
      <c r="AR28" s="634">
        <f t="shared" si="19"/>
        <v>95.094339622641499</v>
      </c>
      <c r="AS28" s="634">
        <f t="shared" si="19"/>
        <v>114.4086021505376</v>
      </c>
      <c r="AT28" s="634">
        <f t="shared" si="19"/>
        <v>126.66666666666664</v>
      </c>
      <c r="AU28" s="635">
        <f t="shared" si="19"/>
        <v>142.68085106382978</v>
      </c>
      <c r="AV28" s="627">
        <f t="shared" si="21"/>
        <v>68.848422672480098</v>
      </c>
      <c r="AW28" s="628">
        <f t="shared" si="7"/>
        <v>75.16779447635534</v>
      </c>
      <c r="AX28" s="632">
        <f t="shared" si="8"/>
        <v>119.71261487591887</v>
      </c>
      <c r="AY28" s="627">
        <f t="shared" si="9"/>
        <v>68.848422672480112</v>
      </c>
      <c r="AZ28" s="628">
        <f t="shared" si="10"/>
        <v>75.16779447635534</v>
      </c>
      <c r="BA28" s="632">
        <f t="shared" si="11"/>
        <v>119.71261487591889</v>
      </c>
      <c r="BB28" s="636">
        <f t="shared" si="14"/>
        <v>82.790567724631231</v>
      </c>
      <c r="BC28" s="636">
        <f t="shared" si="14"/>
        <v>79.215838509316754</v>
      </c>
      <c r="BD28" s="636">
        <f t="shared" si="14"/>
        <v>72.722371967654979</v>
      </c>
      <c r="BE28" s="636">
        <f t="shared" si="14"/>
        <v>59.940476190476204</v>
      </c>
      <c r="BF28" s="636">
        <f t="shared" si="14"/>
        <v>49.821428571428577</v>
      </c>
      <c r="BG28" s="636">
        <f t="shared" si="14"/>
        <v>45</v>
      </c>
      <c r="BH28" s="636">
        <f t="shared" si="14"/>
        <v>39.949299135102905</v>
      </c>
      <c r="BI28" s="636">
        <f t="shared" si="17"/>
        <v>82.790567724631217</v>
      </c>
      <c r="BJ28" s="636">
        <f t="shared" si="17"/>
        <v>79.215838509316768</v>
      </c>
      <c r="BK28" s="636">
        <f t="shared" si="17"/>
        <v>72.722371967654979</v>
      </c>
      <c r="BL28" s="636">
        <f t="shared" si="17"/>
        <v>59.940476190476197</v>
      </c>
      <c r="BM28" s="636">
        <f t="shared" si="17"/>
        <v>49.821428571428584</v>
      </c>
      <c r="BN28" s="636">
        <f t="shared" si="17"/>
        <v>45.000000000000007</v>
      </c>
      <c r="BO28" s="636">
        <f t="shared" si="17"/>
        <v>39.949299135102898</v>
      </c>
    </row>
    <row r="29" spans="1:67">
      <c r="A29" s="637"/>
      <c r="B29" s="402" t="s">
        <v>297</v>
      </c>
      <c r="C29" s="637"/>
      <c r="D29" s="615">
        <v>1</v>
      </c>
      <c r="E29" s="149">
        <v>1</v>
      </c>
      <c r="F29" s="149">
        <v>1</v>
      </c>
      <c r="G29" s="652">
        <f>'Compiled Articles'!L13</f>
        <v>240</v>
      </c>
      <c r="H29" s="246">
        <f>'Compiled Articles'!$L$11</f>
        <v>365</v>
      </c>
      <c r="I29" s="246">
        <f>I28</f>
        <v>1</v>
      </c>
      <c r="J29" s="624">
        <f t="shared" si="15"/>
        <v>6.9999999999999994E-5</v>
      </c>
      <c r="K29" s="625">
        <f t="shared" si="16"/>
        <v>2.7999999999999998E-4</v>
      </c>
      <c r="L29" s="638" t="s">
        <v>686</v>
      </c>
      <c r="M29" s="627">
        <f>(INDEX('Dermal Calcs'!$B$61:$H$67, MATCH($L29,'Dermal Calcs'!$A$61:$A$67, 0), MATCH(M$3, 'Dermal Calcs'!$B$60:$H$60, 0)))*$K29*$D29</f>
        <v>4.4109387022313404E-3</v>
      </c>
      <c r="N29" s="628">
        <f>(INDEX('Dermal Calcs'!$B$61:$H$67, MATCH($L29,'Dermal Calcs'!$A$61:$A$67, 0), MATCH(N$3, 'Dermal Calcs'!$B$60:$H$60, 0)))*$K29*$E29</f>
        <v>4.1745810055865921E-3</v>
      </c>
      <c r="O29" s="628">
        <f>(INDEX('Dermal Calcs'!$B$61:$H$67, MATCH($L29,'Dermal Calcs'!$A$61:$A$67, 0), MATCH(O$3, 'Dermal Calcs'!$B$60:$H$60, 0)))*$K29*$E29</f>
        <v>4.5845070422535208E-3</v>
      </c>
      <c r="P29" s="630">
        <f>(INDEX('Dermal Calcs'!$B$61:$H$67, MATCH($L29,'Dermal Calcs'!$A$61:$A$67, 0), MATCH(P$3, 'Dermal Calcs'!$B$60:$H$60, 0)))*$K29*$F29</f>
        <v>5.8993710691823895E-3</v>
      </c>
      <c r="Q29" s="630">
        <f>(INDEX('Dermal Calcs'!$B$61:$H$67, MATCH($L29,'Dermal Calcs'!$A$61:$A$67, 0), MATCH(Q$3, 'Dermal Calcs'!$B$60:$H$60, 0)))*$K29*$F29</f>
        <v>7.6774193548387083E-3</v>
      </c>
      <c r="R29" s="630">
        <f>(INDEX('Dermal Calcs'!$B$61:$H$67, MATCH($L29,'Dermal Calcs'!$A$61:$A$67, 0), MATCH(R$3, 'Dermal Calcs'!$B$60:$H$60, 0)))*$K29*$F29</f>
        <v>9.8055555555555535E-3</v>
      </c>
      <c r="S29" s="631">
        <f>(INDEX('Dermal Calcs'!$B$61:$H$67, MATCH($L29,'Dermal Calcs'!$A$61:$A$67, 0), MATCH(S$3, 'Dermal Calcs'!$B$60:$H$60, 0)))*$K29*$F29</f>
        <v>2.2943617021276595E-2</v>
      </c>
      <c r="T29" s="639">
        <f t="shared" si="2"/>
        <v>1.6099926263144393</v>
      </c>
      <c r="U29" s="640">
        <f t="shared" si="2"/>
        <v>1.5237220670391061</v>
      </c>
      <c r="V29" s="640">
        <f t="shared" si="2"/>
        <v>1.673345070422535</v>
      </c>
      <c r="W29" s="641">
        <f t="shared" si="2"/>
        <v>2.1532704402515721</v>
      </c>
      <c r="X29" s="641">
        <f t="shared" si="2"/>
        <v>2.8022580645161286</v>
      </c>
      <c r="Y29" s="641">
        <f t="shared" si="2"/>
        <v>3.5790277777777768</v>
      </c>
      <c r="Z29" s="641">
        <f t="shared" si="2"/>
        <v>8.3744202127659566</v>
      </c>
      <c r="AA29" s="639">
        <f t="shared" si="3"/>
        <v>4.4109387022313404E-3</v>
      </c>
      <c r="AB29" s="640">
        <f t="shared" si="3"/>
        <v>4.1745810055865921E-3</v>
      </c>
      <c r="AC29" s="640">
        <f t="shared" si="3"/>
        <v>4.5845070422535208E-3</v>
      </c>
      <c r="AD29" s="641">
        <f t="shared" si="3"/>
        <v>5.8993710691823895E-3</v>
      </c>
      <c r="AE29" s="641">
        <f t="shared" si="3"/>
        <v>7.6774193548387083E-3</v>
      </c>
      <c r="AF29" s="641">
        <f t="shared" si="3"/>
        <v>9.8055555555555535E-3</v>
      </c>
      <c r="AG29" s="641">
        <f t="shared" si="3"/>
        <v>2.2943617021276595E-2</v>
      </c>
      <c r="AH29" s="633">
        <f t="shared" si="20"/>
        <v>4.4109387022313404</v>
      </c>
      <c r="AI29" s="634">
        <f t="shared" si="18"/>
        <v>4.1745810055865924</v>
      </c>
      <c r="AJ29" s="634">
        <f t="shared" si="18"/>
        <v>4.5845070422535201</v>
      </c>
      <c r="AK29" s="634">
        <f t="shared" si="18"/>
        <v>5.8993710691823891</v>
      </c>
      <c r="AL29" s="634">
        <f t="shared" si="18"/>
        <v>7.6774193548387091</v>
      </c>
      <c r="AM29" s="634">
        <f t="shared" si="18"/>
        <v>9.8055555555555536</v>
      </c>
      <c r="AN29" s="635">
        <f t="shared" si="18"/>
        <v>22.943617021276594</v>
      </c>
      <c r="AO29" s="634">
        <f t="shared" si="19"/>
        <v>4.4109387022313404</v>
      </c>
      <c r="AP29" s="634">
        <f t="shared" si="19"/>
        <v>4.1745810055865924</v>
      </c>
      <c r="AQ29" s="634">
        <f t="shared" si="19"/>
        <v>4.584507042253521</v>
      </c>
      <c r="AR29" s="634">
        <f t="shared" si="19"/>
        <v>5.8993710691823891</v>
      </c>
      <c r="AS29" s="634">
        <f t="shared" si="19"/>
        <v>7.6774193548387082</v>
      </c>
      <c r="AT29" s="634">
        <f t="shared" si="19"/>
        <v>9.8055555555555536</v>
      </c>
      <c r="AU29" s="635">
        <f t="shared" si="19"/>
        <v>22.943617021276594</v>
      </c>
      <c r="AV29" s="639">
        <f t="shared" si="21"/>
        <v>4.4109387022313404</v>
      </c>
      <c r="AW29" s="640">
        <f t="shared" si="7"/>
        <v>4.3795440239200563</v>
      </c>
      <c r="AX29" s="641">
        <f t="shared" si="8"/>
        <v>11.581490750213312</v>
      </c>
      <c r="AY29" s="639">
        <f t="shared" si="9"/>
        <v>4.4109387022313404</v>
      </c>
      <c r="AZ29" s="640">
        <f t="shared" si="10"/>
        <v>4.3795440239200563</v>
      </c>
      <c r="BA29" s="641">
        <f t="shared" si="11"/>
        <v>11.581490750213311</v>
      </c>
      <c r="BB29" s="636">
        <f t="shared" si="14"/>
        <v>1292.2419432209674</v>
      </c>
      <c r="BC29" s="636">
        <f t="shared" si="14"/>
        <v>1365.4064904650384</v>
      </c>
      <c r="BD29" s="636">
        <f t="shared" si="14"/>
        <v>1243.3179723502308</v>
      </c>
      <c r="BE29" s="636">
        <f t="shared" si="14"/>
        <v>966.2046908315566</v>
      </c>
      <c r="BF29" s="636">
        <f t="shared" si="14"/>
        <v>742.43697478991601</v>
      </c>
      <c r="BG29" s="636">
        <f t="shared" si="14"/>
        <v>581.30311614730886</v>
      </c>
      <c r="BH29" s="636">
        <f t="shared" si="14"/>
        <v>248.43510919460289</v>
      </c>
      <c r="BI29" s="636">
        <f t="shared" si="17"/>
        <v>1292.2419432209674</v>
      </c>
      <c r="BJ29" s="636">
        <f t="shared" si="17"/>
        <v>1365.4064904650384</v>
      </c>
      <c r="BK29" s="636">
        <f t="shared" si="17"/>
        <v>1243.3179723502305</v>
      </c>
      <c r="BL29" s="636">
        <f t="shared" si="17"/>
        <v>966.2046908315566</v>
      </c>
      <c r="BM29" s="636">
        <f t="shared" si="17"/>
        <v>742.43697478991612</v>
      </c>
      <c r="BN29" s="636">
        <f t="shared" si="17"/>
        <v>581.30311614730886</v>
      </c>
      <c r="BO29" s="636">
        <f t="shared" si="17"/>
        <v>248.43510919460289</v>
      </c>
    </row>
    <row r="30" spans="1:67">
      <c r="A30" s="642"/>
      <c r="B30" s="643" t="s">
        <v>298</v>
      </c>
      <c r="C30" s="642"/>
      <c r="D30" s="649">
        <v>1</v>
      </c>
      <c r="E30" s="650">
        <v>1</v>
      </c>
      <c r="F30" s="650">
        <v>1</v>
      </c>
      <c r="G30" s="652">
        <f>'Compiled Articles'!L14</f>
        <v>120</v>
      </c>
      <c r="H30" s="246">
        <f>'Compiled Articles'!$L$11</f>
        <v>365</v>
      </c>
      <c r="I30" s="246">
        <f>I28</f>
        <v>1</v>
      </c>
      <c r="J30" s="624">
        <f t="shared" si="15"/>
        <v>6.9999999999999994E-5</v>
      </c>
      <c r="K30" s="625">
        <f t="shared" si="16"/>
        <v>1.3999999999999999E-4</v>
      </c>
      <c r="L30" s="644" t="s">
        <v>685</v>
      </c>
      <c r="M30" s="627">
        <f>(INDEX('Dermal Calcs'!$B$61:$H$67, MATCH($L30,'Dermal Calcs'!$A$61:$A$67, 0), MATCH(M$3, 'Dermal Calcs'!$B$60:$H$60, 0)))*$K30*$D30</f>
        <v>8.6714542190305225E-4</v>
      </c>
      <c r="N30" s="628">
        <f>(INDEX('Dermal Calcs'!$B$61:$H$67, MATCH($L30,'Dermal Calcs'!$A$61:$A$67, 0), MATCH(N$3, 'Dermal Calcs'!$B$60:$H$60, 0)))*$K30*$E30</f>
        <v>8.1145251396648054E-4</v>
      </c>
      <c r="O30" s="628">
        <f>(INDEX('Dermal Calcs'!$B$61:$H$67, MATCH($L30,'Dermal Calcs'!$A$61:$A$67, 0), MATCH(O$3, 'Dermal Calcs'!$B$60:$H$60, 0)))*$K30*$E30</f>
        <v>8.8732394366197178E-4</v>
      </c>
      <c r="P30" s="630">
        <f>(INDEX('Dermal Calcs'!$B$61:$H$67, MATCH($L30,'Dermal Calcs'!$A$61:$A$67, 0), MATCH(P$3, 'Dermal Calcs'!$B$60:$H$60, 0)))*$K30*$F30</f>
        <v>1.122641509433962E-3</v>
      </c>
      <c r="Q30" s="630">
        <f>(INDEX('Dermal Calcs'!$B$61:$H$67, MATCH($L30,'Dermal Calcs'!$A$61:$A$67, 0), MATCH(Q$3, 'Dermal Calcs'!$B$60:$H$60, 0)))*$K30*$F30</f>
        <v>1.3924731182795697E-3</v>
      </c>
      <c r="R30" s="630">
        <f>(INDEX('Dermal Calcs'!$B$61:$H$67, MATCH($L30,'Dermal Calcs'!$A$61:$A$67, 0), MATCH(R$3, 'Dermal Calcs'!$B$60:$H$60, 0)))*$K30*$F30</f>
        <v>1.6111111111111107E-3</v>
      </c>
      <c r="S30" s="631">
        <f>(INDEX('Dermal Calcs'!$B$61:$H$67, MATCH($L30,'Dermal Calcs'!$A$61:$A$67, 0), MATCH(S$3, 'Dermal Calcs'!$B$60:$H$60, 0)))*$K30*$F30</f>
        <v>1.8840425531914892E-3</v>
      </c>
      <c r="T30" s="645">
        <f t="shared" si="2"/>
        <v>0.31650807899461408</v>
      </c>
      <c r="U30" s="646">
        <f t="shared" si="2"/>
        <v>0.29618016759776539</v>
      </c>
      <c r="V30" s="646">
        <f t="shared" si="2"/>
        <v>0.32387323943661972</v>
      </c>
      <c r="W30" s="647">
        <f t="shared" si="2"/>
        <v>0.40976415094339613</v>
      </c>
      <c r="X30" s="647">
        <f t="shared" si="2"/>
        <v>0.50825268817204294</v>
      </c>
      <c r="Y30" s="647">
        <f t="shared" si="2"/>
        <v>0.58805555555555544</v>
      </c>
      <c r="Z30" s="647">
        <f t="shared" si="2"/>
        <v>0.68767553191489361</v>
      </c>
      <c r="AA30" s="645">
        <f t="shared" si="3"/>
        <v>8.6714542190305225E-4</v>
      </c>
      <c r="AB30" s="646">
        <f t="shared" si="3"/>
        <v>8.1145251396648054E-4</v>
      </c>
      <c r="AC30" s="646">
        <f t="shared" si="3"/>
        <v>8.8732394366197178E-4</v>
      </c>
      <c r="AD30" s="647">
        <f t="shared" si="3"/>
        <v>1.122641509433962E-3</v>
      </c>
      <c r="AE30" s="647">
        <f t="shared" si="3"/>
        <v>1.3924731182795697E-3</v>
      </c>
      <c r="AF30" s="647">
        <f t="shared" si="3"/>
        <v>1.6111111111111107E-3</v>
      </c>
      <c r="AG30" s="647">
        <f t="shared" si="3"/>
        <v>1.8840425531914892E-3</v>
      </c>
      <c r="AH30" s="633">
        <f t="shared" si="20"/>
        <v>0.86714542190305233</v>
      </c>
      <c r="AI30" s="634">
        <f t="shared" si="18"/>
        <v>0.81145251396648044</v>
      </c>
      <c r="AJ30" s="634">
        <f t="shared" si="18"/>
        <v>0.88732394366197187</v>
      </c>
      <c r="AK30" s="634">
        <f t="shared" si="18"/>
        <v>1.1226415094339621</v>
      </c>
      <c r="AL30" s="634">
        <f t="shared" si="18"/>
        <v>1.3924731182795698</v>
      </c>
      <c r="AM30" s="634">
        <f t="shared" si="18"/>
        <v>1.6111111111111107</v>
      </c>
      <c r="AN30" s="635">
        <f t="shared" si="18"/>
        <v>1.8840425531914895</v>
      </c>
      <c r="AO30" s="634">
        <f t="shared" si="19"/>
        <v>0.86714542190305222</v>
      </c>
      <c r="AP30" s="634">
        <f t="shared" si="19"/>
        <v>0.81145251396648055</v>
      </c>
      <c r="AQ30" s="634">
        <f t="shared" si="19"/>
        <v>0.88732394366197176</v>
      </c>
      <c r="AR30" s="634">
        <f t="shared" si="19"/>
        <v>1.1226415094339619</v>
      </c>
      <c r="AS30" s="634">
        <f t="shared" si="19"/>
        <v>1.3924731182795698</v>
      </c>
      <c r="AT30" s="634">
        <f t="shared" si="19"/>
        <v>1.6111111111111107</v>
      </c>
      <c r="AU30" s="635">
        <f t="shared" si="19"/>
        <v>1.8840425531914893</v>
      </c>
      <c r="AV30" s="645">
        <f t="shared" si="21"/>
        <v>0.86714542190305233</v>
      </c>
      <c r="AW30" s="646">
        <f t="shared" si="7"/>
        <v>0.84938822881422604</v>
      </c>
      <c r="AX30" s="647">
        <f t="shared" si="8"/>
        <v>1.502567073004033</v>
      </c>
      <c r="AY30" s="645">
        <f t="shared" si="9"/>
        <v>0.86714542190305222</v>
      </c>
      <c r="AZ30" s="646">
        <f t="shared" si="10"/>
        <v>0.84938822881422626</v>
      </c>
      <c r="BA30" s="647">
        <f t="shared" si="11"/>
        <v>1.502567073004033</v>
      </c>
      <c r="BB30" s="636">
        <f t="shared" si="14"/>
        <v>6573.2919254658364</v>
      </c>
      <c r="BC30" s="636">
        <f t="shared" si="14"/>
        <v>7024.4406196213422</v>
      </c>
      <c r="BD30" s="636">
        <f t="shared" si="14"/>
        <v>6423.8095238095239</v>
      </c>
      <c r="BE30" s="636">
        <f t="shared" si="14"/>
        <v>5077.3109243697481</v>
      </c>
      <c r="BF30" s="636">
        <f t="shared" si="14"/>
        <v>4093.4362934362939</v>
      </c>
      <c r="BG30" s="636">
        <f t="shared" si="14"/>
        <v>3537.9310344827595</v>
      </c>
      <c r="BH30" s="636">
        <f t="shared" si="14"/>
        <v>3025.40937323546</v>
      </c>
      <c r="BI30" s="636">
        <f t="shared" si="17"/>
        <v>6573.2919254658373</v>
      </c>
      <c r="BJ30" s="636">
        <f t="shared" si="17"/>
        <v>7024.4406196213413</v>
      </c>
      <c r="BK30" s="636">
        <f t="shared" si="17"/>
        <v>6423.8095238095248</v>
      </c>
      <c r="BL30" s="636">
        <f t="shared" si="17"/>
        <v>5077.31092436975</v>
      </c>
      <c r="BM30" s="636">
        <f t="shared" si="17"/>
        <v>4093.4362934362939</v>
      </c>
      <c r="BN30" s="636">
        <f t="shared" si="17"/>
        <v>3537.9310344827595</v>
      </c>
      <c r="BO30" s="636">
        <f t="shared" si="17"/>
        <v>3025.4093732354604</v>
      </c>
    </row>
    <row r="31" spans="1:67">
      <c r="A31" s="623" t="str">
        <f>'Compiled Articles'!M6</f>
        <v>Shower Curtains</v>
      </c>
      <c r="B31" s="651" t="s">
        <v>296</v>
      </c>
      <c r="C31" s="623" t="s">
        <v>16</v>
      </c>
      <c r="D31" s="615">
        <v>1</v>
      </c>
      <c r="E31" s="149">
        <v>1</v>
      </c>
      <c r="F31" s="149">
        <v>1</v>
      </c>
      <c r="G31" s="652">
        <f>'Compiled Articles'!M12</f>
        <v>60</v>
      </c>
      <c r="H31" s="246">
        <f>'Compiled Articles'!$M$11</f>
        <v>365</v>
      </c>
      <c r="I31" s="158">
        <v>1</v>
      </c>
      <c r="J31" s="624">
        <f t="shared" si="15"/>
        <v>6.9999999999999994E-5</v>
      </c>
      <c r="K31" s="625">
        <f t="shared" si="16"/>
        <v>6.9999999999999994E-5</v>
      </c>
      <c r="L31" s="626" t="s">
        <v>687</v>
      </c>
      <c r="M31" s="627">
        <f>(INDEX('Dermal Calcs'!$B$61:$H$67, MATCH($L31,'Dermal Calcs'!$A$61:$A$67, 0), MATCH(M$3, 'Dermal Calcs'!$B$60:$H$60, 0)))*$K31*$D31</f>
        <v>2.1678635547576306E-4</v>
      </c>
      <c r="N31" s="628">
        <f>(INDEX('Dermal Calcs'!$B$61:$H$67, MATCH($L31,'Dermal Calcs'!$A$61:$A$67, 0), MATCH(N$3, 'Dermal Calcs'!$B$60:$H$60, 0)))*$K31*$E31</f>
        <v>2.0286312849162013E-4</v>
      </c>
      <c r="O31" s="628">
        <f>(INDEX('Dermal Calcs'!$B$61:$H$67, MATCH($L31,'Dermal Calcs'!$A$61:$A$67, 0), MATCH(O$3, 'Dermal Calcs'!$B$60:$H$60, 0)))*$K31*$E31</f>
        <v>2.2183098591549295E-4</v>
      </c>
      <c r="P31" s="630">
        <f>(INDEX('Dermal Calcs'!$B$61:$H$67, MATCH($L31,'Dermal Calcs'!$A$61:$A$67, 0), MATCH(P$3, 'Dermal Calcs'!$B$60:$H$60, 0)))*$K31*$F31</f>
        <v>2.806603773584905E-4</v>
      </c>
      <c r="Q31" s="630">
        <f>(INDEX('Dermal Calcs'!$B$61:$H$67, MATCH($L31,'Dermal Calcs'!$A$61:$A$67, 0), MATCH(Q$3, 'Dermal Calcs'!$B$60:$H$60, 0)))*$K31*$F31</f>
        <v>3.4811827956989243E-4</v>
      </c>
      <c r="R31" s="630">
        <f>(INDEX('Dermal Calcs'!$B$61:$H$67, MATCH($L31,'Dermal Calcs'!$A$61:$A$67, 0), MATCH(R$3, 'Dermal Calcs'!$B$60:$H$60, 0)))*$K31*$F31</f>
        <v>4.0277777777777767E-4</v>
      </c>
      <c r="S31" s="631">
        <f>(INDEX('Dermal Calcs'!$B$61:$H$67, MATCH($L31,'Dermal Calcs'!$A$61:$A$67, 0), MATCH(S$3, 'Dermal Calcs'!$B$60:$H$60, 0)))*$K31*$F31</f>
        <v>4.710106382978723E-4</v>
      </c>
      <c r="T31" s="639">
        <f t="shared" si="2"/>
        <v>7.9127019748653521E-2</v>
      </c>
      <c r="U31" s="640">
        <f t="shared" si="2"/>
        <v>7.4045041899441347E-2</v>
      </c>
      <c r="V31" s="640">
        <f t="shared" si="2"/>
        <v>8.096830985915493E-2</v>
      </c>
      <c r="W31" s="641">
        <f t="shared" si="2"/>
        <v>0.10244103773584903</v>
      </c>
      <c r="X31" s="641">
        <f t="shared" si="2"/>
        <v>0.12706317204301074</v>
      </c>
      <c r="Y31" s="641">
        <f t="shared" si="2"/>
        <v>0.14701388888888886</v>
      </c>
      <c r="Z31" s="641">
        <f t="shared" si="2"/>
        <v>0.1719188829787234</v>
      </c>
      <c r="AA31" s="639">
        <f t="shared" si="3"/>
        <v>2.1678635547576306E-4</v>
      </c>
      <c r="AB31" s="640">
        <f t="shared" si="3"/>
        <v>2.0286312849162013E-4</v>
      </c>
      <c r="AC31" s="640">
        <f t="shared" si="3"/>
        <v>2.2183098591549295E-4</v>
      </c>
      <c r="AD31" s="641">
        <f t="shared" si="3"/>
        <v>2.806603773584905E-4</v>
      </c>
      <c r="AE31" s="641">
        <f t="shared" si="3"/>
        <v>3.4811827956989243E-4</v>
      </c>
      <c r="AF31" s="641">
        <f t="shared" si="3"/>
        <v>4.0277777777777767E-4</v>
      </c>
      <c r="AG31" s="641">
        <f t="shared" si="3"/>
        <v>4.710106382978723E-4</v>
      </c>
      <c r="AH31" s="633">
        <f t="shared" si="20"/>
        <v>0.21678635547576308</v>
      </c>
      <c r="AI31" s="634">
        <f t="shared" si="18"/>
        <v>0.20286312849162011</v>
      </c>
      <c r="AJ31" s="634">
        <f t="shared" si="18"/>
        <v>0.22183098591549297</v>
      </c>
      <c r="AK31" s="634">
        <f t="shared" si="18"/>
        <v>0.28066037735849053</v>
      </c>
      <c r="AL31" s="634">
        <f t="shared" si="18"/>
        <v>0.34811827956989244</v>
      </c>
      <c r="AM31" s="634">
        <f t="shared" si="18"/>
        <v>0.40277777777777768</v>
      </c>
      <c r="AN31" s="635">
        <f t="shared" si="18"/>
        <v>0.47101063829787237</v>
      </c>
      <c r="AO31" s="634">
        <f t="shared" si="19"/>
        <v>0.21678635547576305</v>
      </c>
      <c r="AP31" s="634">
        <f t="shared" si="19"/>
        <v>0.20286312849162014</v>
      </c>
      <c r="AQ31" s="634">
        <f t="shared" si="19"/>
        <v>0.22183098591549294</v>
      </c>
      <c r="AR31" s="634">
        <f t="shared" si="19"/>
        <v>0.28066037735849048</v>
      </c>
      <c r="AS31" s="634">
        <f t="shared" si="19"/>
        <v>0.34811827956989244</v>
      </c>
      <c r="AT31" s="634">
        <f t="shared" si="19"/>
        <v>0.40277777777777768</v>
      </c>
      <c r="AU31" s="635">
        <f t="shared" si="19"/>
        <v>0.47101063829787232</v>
      </c>
      <c r="AV31" s="639">
        <f t="shared" si="21"/>
        <v>0.21678635547576308</v>
      </c>
      <c r="AW31" s="640">
        <f t="shared" si="7"/>
        <v>0.21234705720355651</v>
      </c>
      <c r="AX31" s="641">
        <f t="shared" si="8"/>
        <v>0.37564176825100826</v>
      </c>
      <c r="AY31" s="639">
        <f t="shared" si="9"/>
        <v>0.21678635547576305</v>
      </c>
      <c r="AZ31" s="640">
        <f t="shared" si="10"/>
        <v>0.21234705720355657</v>
      </c>
      <c r="BA31" s="641">
        <f t="shared" si="11"/>
        <v>0.37564176825100826</v>
      </c>
      <c r="BB31" s="636">
        <f t="shared" si="14"/>
        <v>26293.167701863345</v>
      </c>
      <c r="BC31" s="636">
        <f t="shared" si="14"/>
        <v>28097.762478485369</v>
      </c>
      <c r="BD31" s="636">
        <f t="shared" si="14"/>
        <v>25695.238095238095</v>
      </c>
      <c r="BE31" s="636">
        <f t="shared" si="14"/>
        <v>20309.243697478993</v>
      </c>
      <c r="BF31" s="636">
        <f t="shared" si="14"/>
        <v>16373.745173745176</v>
      </c>
      <c r="BG31" s="636">
        <f t="shared" si="14"/>
        <v>14151.724137931038</v>
      </c>
      <c r="BH31" s="636">
        <f t="shared" si="14"/>
        <v>12101.63749294184</v>
      </c>
      <c r="BI31" s="636">
        <f t="shared" si="17"/>
        <v>26293.167701863349</v>
      </c>
      <c r="BJ31" s="636">
        <f t="shared" si="17"/>
        <v>28097.762478485365</v>
      </c>
      <c r="BK31" s="636">
        <f t="shared" si="17"/>
        <v>25695.238095238099</v>
      </c>
      <c r="BL31" s="636">
        <f t="shared" si="17"/>
        <v>20309.243697479</v>
      </c>
      <c r="BM31" s="636">
        <f t="shared" si="17"/>
        <v>16373.745173745176</v>
      </c>
      <c r="BN31" s="636">
        <f t="shared" si="17"/>
        <v>14151.724137931038</v>
      </c>
      <c r="BO31" s="636">
        <f t="shared" si="17"/>
        <v>12101.637492941842</v>
      </c>
    </row>
    <row r="32" spans="1:67">
      <c r="A32" s="637"/>
      <c r="B32" s="402" t="s">
        <v>297</v>
      </c>
      <c r="C32" s="637"/>
      <c r="D32" s="615">
        <v>1</v>
      </c>
      <c r="E32" s="149">
        <v>1</v>
      </c>
      <c r="F32" s="149">
        <v>1</v>
      </c>
      <c r="G32" s="652">
        <f>'Compiled Articles'!M13</f>
        <v>30</v>
      </c>
      <c r="H32" s="246">
        <f>'Compiled Articles'!$M$11</f>
        <v>365</v>
      </c>
      <c r="I32" s="246">
        <f>I31</f>
        <v>1</v>
      </c>
      <c r="J32" s="624">
        <f t="shared" si="15"/>
        <v>6.9999999999999994E-5</v>
      </c>
      <c r="K32" s="625">
        <f t="shared" si="16"/>
        <v>3.4999999999999997E-5</v>
      </c>
      <c r="L32" s="638" t="s">
        <v>687</v>
      </c>
      <c r="M32" s="627">
        <f>(INDEX('Dermal Calcs'!$B$61:$H$67, MATCH($L32,'Dermal Calcs'!$A$61:$A$67, 0), MATCH(M$3, 'Dermal Calcs'!$B$60:$H$60, 0)))*$K32*$D32</f>
        <v>1.0839317773788153E-4</v>
      </c>
      <c r="N32" s="628">
        <f>(INDEX('Dermal Calcs'!$B$61:$H$67, MATCH($L32,'Dermal Calcs'!$A$61:$A$67, 0), MATCH(N$3, 'Dermal Calcs'!$B$60:$H$60, 0)))*$K32*$E32</f>
        <v>1.0143156424581007E-4</v>
      </c>
      <c r="O32" s="628">
        <f>(INDEX('Dermal Calcs'!$B$61:$H$67, MATCH($L32,'Dermal Calcs'!$A$61:$A$67, 0), MATCH(O$3, 'Dermal Calcs'!$B$60:$H$60, 0)))*$K32*$E32</f>
        <v>1.1091549295774647E-4</v>
      </c>
      <c r="P32" s="630">
        <f>(INDEX('Dermal Calcs'!$B$61:$H$67, MATCH($L32,'Dermal Calcs'!$A$61:$A$67, 0), MATCH(P$3, 'Dermal Calcs'!$B$60:$H$60, 0)))*$K32*$F32</f>
        <v>1.4033018867924525E-4</v>
      </c>
      <c r="Q32" s="630">
        <f>(INDEX('Dermal Calcs'!$B$61:$H$67, MATCH($L32,'Dermal Calcs'!$A$61:$A$67, 0), MATCH(Q$3, 'Dermal Calcs'!$B$60:$H$60, 0)))*$K32*$F32</f>
        <v>1.7405913978494621E-4</v>
      </c>
      <c r="R32" s="630">
        <f>(INDEX('Dermal Calcs'!$B$61:$H$67, MATCH($L32,'Dermal Calcs'!$A$61:$A$67, 0), MATCH(R$3, 'Dermal Calcs'!$B$60:$H$60, 0)))*$K32*$F32</f>
        <v>2.0138888888888884E-4</v>
      </c>
      <c r="S32" s="631">
        <f>(INDEX('Dermal Calcs'!$B$61:$H$67, MATCH($L32,'Dermal Calcs'!$A$61:$A$67, 0), MATCH(S$3, 'Dermal Calcs'!$B$60:$H$60, 0)))*$K32*$F32</f>
        <v>2.3550531914893615E-4</v>
      </c>
      <c r="T32" s="639">
        <f t="shared" si="2"/>
        <v>3.956350987432676E-2</v>
      </c>
      <c r="U32" s="640">
        <f t="shared" si="2"/>
        <v>3.7022520949720673E-2</v>
      </c>
      <c r="V32" s="640">
        <f t="shared" si="2"/>
        <v>4.0484154929577465E-2</v>
      </c>
      <c r="W32" s="641">
        <f t="shared" si="2"/>
        <v>5.1220518867924517E-2</v>
      </c>
      <c r="X32" s="641">
        <f t="shared" si="2"/>
        <v>6.3531586021505368E-2</v>
      </c>
      <c r="Y32" s="641">
        <f t="shared" si="2"/>
        <v>7.350694444444443E-2</v>
      </c>
      <c r="Z32" s="641">
        <f t="shared" si="2"/>
        <v>8.5959441489361701E-2</v>
      </c>
      <c r="AA32" s="639">
        <f t="shared" si="3"/>
        <v>1.0839317773788153E-4</v>
      </c>
      <c r="AB32" s="640">
        <f t="shared" si="3"/>
        <v>1.0143156424581007E-4</v>
      </c>
      <c r="AC32" s="640">
        <f t="shared" si="3"/>
        <v>1.1091549295774647E-4</v>
      </c>
      <c r="AD32" s="641">
        <f t="shared" si="3"/>
        <v>1.4033018867924525E-4</v>
      </c>
      <c r="AE32" s="641">
        <f t="shared" si="3"/>
        <v>1.7405913978494621E-4</v>
      </c>
      <c r="AF32" s="641">
        <f t="shared" si="3"/>
        <v>2.0138888888888884E-4</v>
      </c>
      <c r="AG32" s="641">
        <f t="shared" si="3"/>
        <v>2.3550531914893615E-4</v>
      </c>
      <c r="AH32" s="633">
        <f t="shared" si="20"/>
        <v>0.10839317773788154</v>
      </c>
      <c r="AI32" s="634">
        <f t="shared" si="18"/>
        <v>0.10143156424581005</v>
      </c>
      <c r="AJ32" s="634">
        <f t="shared" si="18"/>
        <v>0.11091549295774648</v>
      </c>
      <c r="AK32" s="634">
        <f t="shared" si="18"/>
        <v>0.14033018867924527</v>
      </c>
      <c r="AL32" s="634">
        <f t="shared" si="18"/>
        <v>0.17405913978494622</v>
      </c>
      <c r="AM32" s="634">
        <f t="shared" si="18"/>
        <v>0.20138888888888884</v>
      </c>
      <c r="AN32" s="635">
        <f t="shared" si="18"/>
        <v>0.23550531914893619</v>
      </c>
      <c r="AO32" s="634">
        <f t="shared" si="19"/>
        <v>0.10839317773788153</v>
      </c>
      <c r="AP32" s="634">
        <f t="shared" si="19"/>
        <v>0.10143156424581007</v>
      </c>
      <c r="AQ32" s="634">
        <f t="shared" si="19"/>
        <v>0.11091549295774647</v>
      </c>
      <c r="AR32" s="634">
        <f t="shared" si="19"/>
        <v>0.14033018867924524</v>
      </c>
      <c r="AS32" s="634">
        <f t="shared" si="19"/>
        <v>0.17405913978494622</v>
      </c>
      <c r="AT32" s="634">
        <f t="shared" si="19"/>
        <v>0.20138888888888884</v>
      </c>
      <c r="AU32" s="635">
        <f t="shared" si="19"/>
        <v>0.23550531914893616</v>
      </c>
      <c r="AV32" s="639">
        <f t="shared" si="21"/>
        <v>0.10839317773788154</v>
      </c>
      <c r="AW32" s="640">
        <f t="shared" si="7"/>
        <v>0.10617352860177826</v>
      </c>
      <c r="AX32" s="641">
        <f t="shared" si="8"/>
        <v>0.18782088412550413</v>
      </c>
      <c r="AY32" s="639">
        <f t="shared" si="9"/>
        <v>0.10839317773788153</v>
      </c>
      <c r="AZ32" s="640">
        <f t="shared" si="10"/>
        <v>0.10617352860177828</v>
      </c>
      <c r="BA32" s="641">
        <f t="shared" si="11"/>
        <v>0.18782088412550413</v>
      </c>
      <c r="BB32" s="636">
        <f t="shared" si="14"/>
        <v>52586.335403726691</v>
      </c>
      <c r="BC32" s="636">
        <f t="shared" si="14"/>
        <v>56195.524956970738</v>
      </c>
      <c r="BD32" s="636">
        <f t="shared" si="14"/>
        <v>51390.476190476191</v>
      </c>
      <c r="BE32" s="636">
        <f t="shared" si="14"/>
        <v>40618.487394957985</v>
      </c>
      <c r="BF32" s="636">
        <f t="shared" si="14"/>
        <v>32747.490347490351</v>
      </c>
      <c r="BG32" s="636">
        <f t="shared" si="14"/>
        <v>28303.448275862076</v>
      </c>
      <c r="BH32" s="636">
        <f t="shared" si="14"/>
        <v>24203.27498588368</v>
      </c>
      <c r="BI32" s="636">
        <f t="shared" si="17"/>
        <v>52586.335403726698</v>
      </c>
      <c r="BJ32" s="636">
        <f t="shared" si="17"/>
        <v>56195.52495697073</v>
      </c>
      <c r="BK32" s="636">
        <f t="shared" si="17"/>
        <v>51390.476190476198</v>
      </c>
      <c r="BL32" s="636">
        <f t="shared" si="17"/>
        <v>40618.487394958</v>
      </c>
      <c r="BM32" s="636">
        <f t="shared" si="17"/>
        <v>32747.490347490351</v>
      </c>
      <c r="BN32" s="636">
        <f t="shared" si="17"/>
        <v>28303.448275862076</v>
      </c>
      <c r="BO32" s="636">
        <f t="shared" si="17"/>
        <v>24203.274985883683</v>
      </c>
    </row>
    <row r="33" spans="1:67">
      <c r="A33" s="642"/>
      <c r="B33" s="643" t="s">
        <v>298</v>
      </c>
      <c r="C33" s="642"/>
      <c r="D33" s="618">
        <v>1</v>
      </c>
      <c r="E33" s="619">
        <v>1</v>
      </c>
      <c r="F33" s="619">
        <v>1</v>
      </c>
      <c r="G33" s="652">
        <f>'Compiled Articles'!M14</f>
        <v>15</v>
      </c>
      <c r="H33" s="246">
        <f>'Compiled Articles'!$M$11</f>
        <v>365</v>
      </c>
      <c r="I33" s="246">
        <f>I31</f>
        <v>1</v>
      </c>
      <c r="J33" s="624">
        <f t="shared" si="15"/>
        <v>6.9999999999999994E-5</v>
      </c>
      <c r="K33" s="625">
        <f t="shared" si="16"/>
        <v>1.7499999999999998E-5</v>
      </c>
      <c r="L33" s="644" t="s">
        <v>687</v>
      </c>
      <c r="M33" s="627">
        <f>(INDEX('Dermal Calcs'!$B$61:$H$67, MATCH($L33,'Dermal Calcs'!$A$61:$A$67, 0), MATCH(M$3, 'Dermal Calcs'!$B$60:$H$60, 0)))*$K33*$D33</f>
        <v>5.4196588868940766E-5</v>
      </c>
      <c r="N33" s="628">
        <f>(INDEX('Dermal Calcs'!$B$61:$H$67, MATCH($L33,'Dermal Calcs'!$A$61:$A$67, 0), MATCH(N$3, 'Dermal Calcs'!$B$60:$H$60, 0)))*$K33*$E33</f>
        <v>5.0715782122905034E-5</v>
      </c>
      <c r="O33" s="628">
        <f>(INDEX('Dermal Calcs'!$B$61:$H$67, MATCH($L33,'Dermal Calcs'!$A$61:$A$67, 0), MATCH(O$3, 'Dermal Calcs'!$B$60:$H$60, 0)))*$K33*$E33</f>
        <v>5.5457746478873236E-5</v>
      </c>
      <c r="P33" s="630">
        <f>(INDEX('Dermal Calcs'!$B$61:$H$67, MATCH($L33,'Dermal Calcs'!$A$61:$A$67, 0), MATCH(P$3, 'Dermal Calcs'!$B$60:$H$60, 0)))*$K33*$F33</f>
        <v>7.0165094339622624E-5</v>
      </c>
      <c r="Q33" s="630">
        <f>(INDEX('Dermal Calcs'!$B$61:$H$67, MATCH($L33,'Dermal Calcs'!$A$61:$A$67, 0), MATCH(Q$3, 'Dermal Calcs'!$B$60:$H$60, 0)))*$K33*$F33</f>
        <v>8.7029569892473107E-5</v>
      </c>
      <c r="R33" s="630">
        <f>(INDEX('Dermal Calcs'!$B$61:$H$67, MATCH($L33,'Dermal Calcs'!$A$61:$A$67, 0), MATCH(R$3, 'Dermal Calcs'!$B$60:$H$60, 0)))*$K33*$F33</f>
        <v>1.0069444444444442E-4</v>
      </c>
      <c r="S33" s="631">
        <f>(INDEX('Dermal Calcs'!$B$61:$H$67, MATCH($L33,'Dermal Calcs'!$A$61:$A$67, 0), MATCH(S$3, 'Dermal Calcs'!$B$60:$H$60, 0)))*$K33*$F33</f>
        <v>1.1775265957446807E-4</v>
      </c>
      <c r="T33" s="639">
        <f t="shared" si="2"/>
        <v>1.978175493716338E-2</v>
      </c>
      <c r="U33" s="640">
        <f t="shared" si="2"/>
        <v>1.8511260474860337E-2</v>
      </c>
      <c r="V33" s="640">
        <f t="shared" si="2"/>
        <v>2.0242077464788732E-2</v>
      </c>
      <c r="W33" s="641">
        <f t="shared" si="2"/>
        <v>2.5610259433962258E-2</v>
      </c>
      <c r="X33" s="641">
        <f t="shared" si="2"/>
        <v>3.1765793010752684E-2</v>
      </c>
      <c r="Y33" s="641">
        <f t="shared" si="2"/>
        <v>3.6753472222222215E-2</v>
      </c>
      <c r="Z33" s="641">
        <f t="shared" si="2"/>
        <v>4.2979720744680851E-2</v>
      </c>
      <c r="AA33" s="639">
        <f t="shared" si="3"/>
        <v>5.4196588868940766E-5</v>
      </c>
      <c r="AB33" s="640">
        <f t="shared" si="3"/>
        <v>5.0715782122905034E-5</v>
      </c>
      <c r="AC33" s="640">
        <f t="shared" si="3"/>
        <v>5.5457746478873236E-5</v>
      </c>
      <c r="AD33" s="641">
        <f t="shared" si="3"/>
        <v>7.0165094339622624E-5</v>
      </c>
      <c r="AE33" s="641">
        <f t="shared" si="3"/>
        <v>8.7029569892473107E-5</v>
      </c>
      <c r="AF33" s="641">
        <f t="shared" si="3"/>
        <v>1.0069444444444442E-4</v>
      </c>
      <c r="AG33" s="641">
        <f t="shared" si="3"/>
        <v>1.1775265957446807E-4</v>
      </c>
      <c r="AH33" s="633">
        <f t="shared" si="20"/>
        <v>5.419658886894077E-2</v>
      </c>
      <c r="AI33" s="634">
        <f t="shared" si="18"/>
        <v>5.0715782122905027E-2</v>
      </c>
      <c r="AJ33" s="634">
        <f t="shared" si="18"/>
        <v>5.5457746478873242E-2</v>
      </c>
      <c r="AK33" s="634">
        <f t="shared" si="18"/>
        <v>7.0165094339622633E-2</v>
      </c>
      <c r="AL33" s="634">
        <f t="shared" si="18"/>
        <v>8.702956989247311E-2</v>
      </c>
      <c r="AM33" s="634">
        <f t="shared" si="18"/>
        <v>0.10069444444444442</v>
      </c>
      <c r="AN33" s="635">
        <f t="shared" si="18"/>
        <v>0.11775265957446809</v>
      </c>
      <c r="AO33" s="634">
        <f t="shared" si="19"/>
        <v>5.4196588868940763E-2</v>
      </c>
      <c r="AP33" s="634">
        <f t="shared" si="19"/>
        <v>5.0715782122905034E-2</v>
      </c>
      <c r="AQ33" s="634">
        <f t="shared" si="19"/>
        <v>5.5457746478873235E-2</v>
      </c>
      <c r="AR33" s="634">
        <f t="shared" si="19"/>
        <v>7.0165094339622619E-2</v>
      </c>
      <c r="AS33" s="634">
        <f t="shared" si="19"/>
        <v>8.702956989247311E-2</v>
      </c>
      <c r="AT33" s="634">
        <f t="shared" si="19"/>
        <v>0.10069444444444442</v>
      </c>
      <c r="AU33" s="635">
        <f t="shared" si="19"/>
        <v>0.11775265957446808</v>
      </c>
      <c r="AV33" s="639">
        <f t="shared" si="21"/>
        <v>5.419658886894077E-2</v>
      </c>
      <c r="AW33" s="640">
        <f t="shared" si="7"/>
        <v>5.3086764300889128E-2</v>
      </c>
      <c r="AX33" s="641">
        <f t="shared" si="8"/>
        <v>9.3910442062752064E-2</v>
      </c>
      <c r="AY33" s="639">
        <f t="shared" si="9"/>
        <v>5.4196588868940763E-2</v>
      </c>
      <c r="AZ33" s="640">
        <f t="shared" si="10"/>
        <v>5.3086764300889142E-2</v>
      </c>
      <c r="BA33" s="641">
        <f t="shared" si="11"/>
        <v>9.3910442062752064E-2</v>
      </c>
      <c r="BB33" s="636">
        <f t="shared" si="14"/>
        <v>105172.67080745338</v>
      </c>
      <c r="BC33" s="636">
        <f t="shared" si="14"/>
        <v>112391.04991394148</v>
      </c>
      <c r="BD33" s="636">
        <f t="shared" si="14"/>
        <v>102780.95238095238</v>
      </c>
      <c r="BE33" s="636">
        <f t="shared" si="14"/>
        <v>81236.97478991597</v>
      </c>
      <c r="BF33" s="636">
        <f t="shared" si="14"/>
        <v>65494.980694980703</v>
      </c>
      <c r="BG33" s="636">
        <f t="shared" si="14"/>
        <v>56606.896551724152</v>
      </c>
      <c r="BH33" s="636">
        <f t="shared" si="14"/>
        <v>48406.549971767359</v>
      </c>
      <c r="BI33" s="636">
        <f t="shared" si="17"/>
        <v>105172.6708074534</v>
      </c>
      <c r="BJ33" s="636">
        <f t="shared" si="17"/>
        <v>112391.04991394146</v>
      </c>
      <c r="BK33" s="636">
        <f t="shared" si="17"/>
        <v>102780.9523809524</v>
      </c>
      <c r="BL33" s="636">
        <f t="shared" si="17"/>
        <v>81236.974789915999</v>
      </c>
      <c r="BM33" s="636">
        <f t="shared" si="17"/>
        <v>65494.980694980703</v>
      </c>
      <c r="BN33" s="636">
        <f t="shared" si="17"/>
        <v>56606.896551724152</v>
      </c>
      <c r="BO33" s="636">
        <f t="shared" si="17"/>
        <v>48406.549971767367</v>
      </c>
    </row>
    <row r="34" spans="1:67" ht="14.65" customHeight="1">
      <c r="A34" s="623" t="str">
        <f>'Compiled Articles'!N6</f>
        <v>Small Articles with Potential for semi-routine contact</v>
      </c>
      <c r="B34" s="651" t="s">
        <v>296</v>
      </c>
      <c r="C34" s="623" t="s">
        <v>311</v>
      </c>
      <c r="D34" s="615">
        <v>1</v>
      </c>
      <c r="E34" s="149">
        <v>1</v>
      </c>
      <c r="F34" s="149">
        <v>1</v>
      </c>
      <c r="G34" s="652">
        <f>'Compiled Articles'!N12</f>
        <v>120</v>
      </c>
      <c r="H34" s="246">
        <f>'Compiled Articles'!$N$11</f>
        <v>365</v>
      </c>
      <c r="I34" s="158">
        <v>1</v>
      </c>
      <c r="J34" s="624">
        <f t="shared" si="15"/>
        <v>6.9999999999999994E-5</v>
      </c>
      <c r="K34" s="625">
        <f t="shared" si="16"/>
        <v>1.3999999999999999E-4</v>
      </c>
      <c r="L34" s="626" t="s">
        <v>688</v>
      </c>
      <c r="M34" s="627">
        <f>(INDEX('Dermal Calcs'!$B$61:$H$67, MATCH($L34,'Dermal Calcs'!$A$61:$A$67, 0), MATCH(M$3, 'Dermal Calcs'!$B$60:$H$60, 0)))*$K34*$D34</f>
        <v>1.7342908438061045E-3</v>
      </c>
      <c r="N34" s="628">
        <f>(INDEX('Dermal Calcs'!$B$61:$H$67, MATCH($L34,'Dermal Calcs'!$A$61:$A$67, 0), MATCH(N$3, 'Dermal Calcs'!$B$60:$H$60, 0)))*$K34*$E34</f>
        <v>1.6229050279329611E-3</v>
      </c>
      <c r="O34" s="628">
        <f>(INDEX('Dermal Calcs'!$B$61:$H$67, MATCH($L34,'Dermal Calcs'!$A$61:$A$67, 0), MATCH(O$3, 'Dermal Calcs'!$B$60:$H$60, 0)))*$K34*$E34</f>
        <v>1.7746478873239436E-3</v>
      </c>
      <c r="P34" s="630">
        <f>(INDEX('Dermal Calcs'!$B$61:$H$67, MATCH($L34,'Dermal Calcs'!$A$61:$A$67, 0), MATCH(P$3, 'Dermal Calcs'!$B$60:$H$60, 0)))*$K34*$F34</f>
        <v>2.245283018867924E-3</v>
      </c>
      <c r="Q34" s="630">
        <f>(INDEX('Dermal Calcs'!$B$61:$H$67, MATCH($L34,'Dermal Calcs'!$A$61:$A$67, 0), MATCH(Q$3, 'Dermal Calcs'!$B$60:$H$60, 0)))*$K34*$F34</f>
        <v>2.7849462365591394E-3</v>
      </c>
      <c r="R34" s="630">
        <f>(INDEX('Dermal Calcs'!$B$61:$H$67, MATCH($L34,'Dermal Calcs'!$A$61:$A$67, 0), MATCH(R$3, 'Dermal Calcs'!$B$60:$H$60, 0)))*$K34*$F34</f>
        <v>3.2222222222222214E-3</v>
      </c>
      <c r="S34" s="631">
        <f>(INDEX('Dermal Calcs'!$B$61:$H$67, MATCH($L34,'Dermal Calcs'!$A$61:$A$67, 0), MATCH(S$3, 'Dermal Calcs'!$B$60:$H$60, 0)))*$K34*$F34</f>
        <v>3.7680851063829784E-3</v>
      </c>
      <c r="T34" s="627">
        <f t="shared" si="2"/>
        <v>0.63301615798922817</v>
      </c>
      <c r="U34" s="628">
        <f t="shared" si="2"/>
        <v>0.59236033519553077</v>
      </c>
      <c r="V34" s="628">
        <f t="shared" si="2"/>
        <v>0.64774647887323944</v>
      </c>
      <c r="W34" s="632">
        <f t="shared" si="2"/>
        <v>0.81952830188679227</v>
      </c>
      <c r="X34" s="632">
        <f t="shared" si="2"/>
        <v>1.0165053763440859</v>
      </c>
      <c r="Y34" s="632">
        <f t="shared" si="2"/>
        <v>1.1761111111111109</v>
      </c>
      <c r="Z34" s="632">
        <f t="shared" si="2"/>
        <v>1.3753510638297872</v>
      </c>
      <c r="AA34" s="627">
        <f t="shared" si="3"/>
        <v>1.7342908438061045E-3</v>
      </c>
      <c r="AB34" s="628">
        <f t="shared" si="3"/>
        <v>1.6229050279329611E-3</v>
      </c>
      <c r="AC34" s="628">
        <f t="shared" si="3"/>
        <v>1.7746478873239436E-3</v>
      </c>
      <c r="AD34" s="632">
        <f t="shared" si="3"/>
        <v>2.245283018867924E-3</v>
      </c>
      <c r="AE34" s="632">
        <f t="shared" si="3"/>
        <v>2.7849462365591394E-3</v>
      </c>
      <c r="AF34" s="632">
        <f t="shared" si="3"/>
        <v>3.2222222222222214E-3</v>
      </c>
      <c r="AG34" s="632">
        <f t="shared" si="3"/>
        <v>3.7680851063829784E-3</v>
      </c>
      <c r="AH34" s="633">
        <f t="shared" si="20"/>
        <v>1.7342908438061047</v>
      </c>
      <c r="AI34" s="634">
        <f t="shared" si="18"/>
        <v>1.6229050279329609</v>
      </c>
      <c r="AJ34" s="634">
        <f t="shared" si="18"/>
        <v>1.7746478873239437</v>
      </c>
      <c r="AK34" s="634">
        <f t="shared" si="18"/>
        <v>2.2452830188679243</v>
      </c>
      <c r="AL34" s="634">
        <f t="shared" si="18"/>
        <v>2.7849462365591395</v>
      </c>
      <c r="AM34" s="634">
        <f t="shared" si="18"/>
        <v>3.2222222222222214</v>
      </c>
      <c r="AN34" s="635">
        <f t="shared" si="18"/>
        <v>3.768085106382979</v>
      </c>
      <c r="AO34" s="634">
        <f t="shared" si="19"/>
        <v>1.7342908438061044</v>
      </c>
      <c r="AP34" s="634">
        <f t="shared" si="19"/>
        <v>1.6229050279329611</v>
      </c>
      <c r="AQ34" s="634">
        <f t="shared" si="19"/>
        <v>1.7746478873239435</v>
      </c>
      <c r="AR34" s="634">
        <f t="shared" si="19"/>
        <v>2.2452830188679238</v>
      </c>
      <c r="AS34" s="634">
        <f t="shared" si="19"/>
        <v>2.7849462365591395</v>
      </c>
      <c r="AT34" s="634">
        <f t="shared" si="19"/>
        <v>3.2222222222222214</v>
      </c>
      <c r="AU34" s="635">
        <f t="shared" si="19"/>
        <v>3.7680851063829786</v>
      </c>
      <c r="AV34" s="627">
        <f t="shared" si="21"/>
        <v>1.7342908438061047</v>
      </c>
      <c r="AW34" s="628">
        <f t="shared" si="7"/>
        <v>1.6987764576284521</v>
      </c>
      <c r="AX34" s="632">
        <f t="shared" si="8"/>
        <v>3.0051341460080661</v>
      </c>
      <c r="AY34" s="627">
        <f t="shared" si="9"/>
        <v>1.7342908438061044</v>
      </c>
      <c r="AZ34" s="628">
        <f t="shared" si="10"/>
        <v>1.6987764576284525</v>
      </c>
      <c r="BA34" s="632">
        <f t="shared" si="11"/>
        <v>3.0051341460080661</v>
      </c>
      <c r="BB34" s="636">
        <f t="shared" si="14"/>
        <v>3286.6459627329182</v>
      </c>
      <c r="BC34" s="636">
        <f t="shared" si="14"/>
        <v>3512.2203098106711</v>
      </c>
      <c r="BD34" s="636">
        <f t="shared" si="14"/>
        <v>3211.9047619047619</v>
      </c>
      <c r="BE34" s="636">
        <f t="shared" si="14"/>
        <v>2538.6554621848741</v>
      </c>
      <c r="BF34" s="636">
        <f t="shared" si="14"/>
        <v>2046.718146718147</v>
      </c>
      <c r="BG34" s="636">
        <f t="shared" si="14"/>
        <v>1768.9655172413798</v>
      </c>
      <c r="BH34" s="636">
        <f t="shared" si="14"/>
        <v>1512.70468661773</v>
      </c>
      <c r="BI34" s="636">
        <f t="shared" si="17"/>
        <v>3286.6459627329186</v>
      </c>
      <c r="BJ34" s="636">
        <f t="shared" si="17"/>
        <v>3512.2203098106706</v>
      </c>
      <c r="BK34" s="636">
        <f t="shared" si="17"/>
        <v>3211.9047619047624</v>
      </c>
      <c r="BL34" s="636">
        <f t="shared" si="17"/>
        <v>2538.655462184875</v>
      </c>
      <c r="BM34" s="636">
        <f t="shared" si="17"/>
        <v>2046.718146718147</v>
      </c>
      <c r="BN34" s="636">
        <f t="shared" si="17"/>
        <v>1768.9655172413798</v>
      </c>
      <c r="BO34" s="636">
        <f t="shared" si="17"/>
        <v>1512.7046866177302</v>
      </c>
    </row>
    <row r="35" spans="1:67">
      <c r="A35" s="637"/>
      <c r="B35" s="402" t="s">
        <v>297</v>
      </c>
      <c r="C35" s="637"/>
      <c r="D35" s="615">
        <v>1</v>
      </c>
      <c r="E35" s="149">
        <v>1</v>
      </c>
      <c r="F35" s="149">
        <v>1</v>
      </c>
      <c r="G35" s="652">
        <f>'Compiled Articles'!N13</f>
        <v>60</v>
      </c>
      <c r="H35" s="246">
        <f>'Compiled Articles'!$N$11</f>
        <v>365</v>
      </c>
      <c r="I35" s="246">
        <f>I34</f>
        <v>1</v>
      </c>
      <c r="J35" s="624">
        <f t="shared" si="15"/>
        <v>6.9999999999999994E-5</v>
      </c>
      <c r="K35" s="625">
        <f t="shared" si="16"/>
        <v>6.9999999999999994E-5</v>
      </c>
      <c r="L35" s="638" t="s">
        <v>685</v>
      </c>
      <c r="M35" s="627">
        <f>(INDEX('Dermal Calcs'!$B$61:$H$67, MATCH($L35,'Dermal Calcs'!$A$61:$A$67, 0), MATCH(M$3, 'Dermal Calcs'!$B$60:$H$60, 0)))*$K35*$D35</f>
        <v>4.3357271095152613E-4</v>
      </c>
      <c r="N35" s="628">
        <f>(INDEX('Dermal Calcs'!$B$61:$H$67, MATCH($L35,'Dermal Calcs'!$A$61:$A$67, 0), MATCH(N$3, 'Dermal Calcs'!$B$60:$H$60, 0)))*$K35*$E35</f>
        <v>4.0572625698324027E-4</v>
      </c>
      <c r="O35" s="628">
        <f>(INDEX('Dermal Calcs'!$B$61:$H$67, MATCH($L35,'Dermal Calcs'!$A$61:$A$67, 0), MATCH(O$3, 'Dermal Calcs'!$B$60:$H$60, 0)))*$K35*$E35</f>
        <v>4.4366197183098589E-4</v>
      </c>
      <c r="P35" s="630">
        <f>(INDEX('Dermal Calcs'!$B$61:$H$67, MATCH($L35,'Dermal Calcs'!$A$61:$A$67, 0), MATCH(P$3, 'Dermal Calcs'!$B$60:$H$60, 0)))*$K35*$F35</f>
        <v>5.6132075471698099E-4</v>
      </c>
      <c r="Q35" s="630">
        <f>(INDEX('Dermal Calcs'!$B$61:$H$67, MATCH($L35,'Dermal Calcs'!$A$61:$A$67, 0), MATCH(Q$3, 'Dermal Calcs'!$B$60:$H$60, 0)))*$K35*$F35</f>
        <v>6.9623655913978485E-4</v>
      </c>
      <c r="R35" s="630">
        <f>(INDEX('Dermal Calcs'!$B$61:$H$67, MATCH($L35,'Dermal Calcs'!$A$61:$A$67, 0), MATCH(R$3, 'Dermal Calcs'!$B$60:$H$60, 0)))*$K35*$F35</f>
        <v>8.0555555555555534E-4</v>
      </c>
      <c r="S35" s="631">
        <f>(INDEX('Dermal Calcs'!$B$61:$H$67, MATCH($L35,'Dermal Calcs'!$A$61:$A$67, 0), MATCH(S$3, 'Dermal Calcs'!$B$60:$H$60, 0)))*$K35*$F35</f>
        <v>9.420212765957446E-4</v>
      </c>
      <c r="T35" s="639">
        <f t="shared" si="2"/>
        <v>0.15825403949730704</v>
      </c>
      <c r="U35" s="640">
        <f t="shared" si="2"/>
        <v>0.14809008379888269</v>
      </c>
      <c r="V35" s="640">
        <f t="shared" si="2"/>
        <v>0.16193661971830986</v>
      </c>
      <c r="W35" s="641">
        <f t="shared" si="2"/>
        <v>0.20488207547169807</v>
      </c>
      <c r="X35" s="641">
        <f t="shared" si="2"/>
        <v>0.25412634408602147</v>
      </c>
      <c r="Y35" s="641">
        <f t="shared" si="2"/>
        <v>0.29402777777777772</v>
      </c>
      <c r="Z35" s="641">
        <f t="shared" si="2"/>
        <v>0.34383776595744681</v>
      </c>
      <c r="AA35" s="639">
        <f t="shared" si="3"/>
        <v>4.3357271095152613E-4</v>
      </c>
      <c r="AB35" s="640">
        <f t="shared" si="3"/>
        <v>4.0572625698324027E-4</v>
      </c>
      <c r="AC35" s="640">
        <f t="shared" si="3"/>
        <v>4.4366197183098589E-4</v>
      </c>
      <c r="AD35" s="641">
        <f t="shared" si="3"/>
        <v>5.6132075471698099E-4</v>
      </c>
      <c r="AE35" s="641">
        <f t="shared" si="3"/>
        <v>6.9623655913978485E-4</v>
      </c>
      <c r="AF35" s="641">
        <f t="shared" si="3"/>
        <v>8.0555555555555534E-4</v>
      </c>
      <c r="AG35" s="641">
        <f t="shared" si="3"/>
        <v>9.420212765957446E-4</v>
      </c>
      <c r="AH35" s="633">
        <f t="shared" si="20"/>
        <v>0.43357271095152616</v>
      </c>
      <c r="AI35" s="634">
        <f t="shared" si="18"/>
        <v>0.40572625698324022</v>
      </c>
      <c r="AJ35" s="634">
        <f t="shared" si="18"/>
        <v>0.44366197183098594</v>
      </c>
      <c r="AK35" s="634">
        <f t="shared" si="18"/>
        <v>0.56132075471698106</v>
      </c>
      <c r="AL35" s="634">
        <f t="shared" si="18"/>
        <v>0.69623655913978488</v>
      </c>
      <c r="AM35" s="634">
        <f t="shared" si="18"/>
        <v>0.80555555555555536</v>
      </c>
      <c r="AN35" s="635">
        <f t="shared" si="18"/>
        <v>0.94202127659574475</v>
      </c>
      <c r="AO35" s="634">
        <f t="shared" si="19"/>
        <v>0.43357271095152611</v>
      </c>
      <c r="AP35" s="634">
        <f t="shared" si="19"/>
        <v>0.40572625698324027</v>
      </c>
      <c r="AQ35" s="634">
        <f t="shared" si="19"/>
        <v>0.44366197183098588</v>
      </c>
      <c r="AR35" s="634">
        <f t="shared" si="19"/>
        <v>0.56132075471698095</v>
      </c>
      <c r="AS35" s="634">
        <f t="shared" si="19"/>
        <v>0.69623655913978488</v>
      </c>
      <c r="AT35" s="634">
        <f t="shared" si="19"/>
        <v>0.80555555555555536</v>
      </c>
      <c r="AU35" s="635">
        <f t="shared" si="19"/>
        <v>0.94202127659574464</v>
      </c>
      <c r="AV35" s="639">
        <f t="shared" si="21"/>
        <v>0.43357271095152616</v>
      </c>
      <c r="AW35" s="640">
        <f t="shared" si="7"/>
        <v>0.42469411440711302</v>
      </c>
      <c r="AX35" s="641">
        <f t="shared" si="8"/>
        <v>0.75128353650201651</v>
      </c>
      <c r="AY35" s="639">
        <f t="shared" si="9"/>
        <v>0.43357271095152611</v>
      </c>
      <c r="AZ35" s="640">
        <f t="shared" si="10"/>
        <v>0.42469411440711313</v>
      </c>
      <c r="BA35" s="641">
        <f t="shared" si="11"/>
        <v>0.75128353650201651</v>
      </c>
      <c r="BB35" s="636">
        <f t="shared" si="14"/>
        <v>13146.583850931673</v>
      </c>
      <c r="BC35" s="636">
        <f t="shared" si="14"/>
        <v>14048.881239242684</v>
      </c>
      <c r="BD35" s="636">
        <f t="shared" si="14"/>
        <v>12847.619047619048</v>
      </c>
      <c r="BE35" s="636">
        <f t="shared" si="14"/>
        <v>10154.621848739496</v>
      </c>
      <c r="BF35" s="636">
        <f t="shared" si="14"/>
        <v>8186.8725868725878</v>
      </c>
      <c r="BG35" s="636">
        <f t="shared" si="14"/>
        <v>7075.862068965519</v>
      </c>
      <c r="BH35" s="636">
        <f t="shared" si="14"/>
        <v>6050.8187464709199</v>
      </c>
      <c r="BI35" s="636">
        <f t="shared" si="17"/>
        <v>13146.583850931675</v>
      </c>
      <c r="BJ35" s="636">
        <f t="shared" si="17"/>
        <v>14048.881239242683</v>
      </c>
      <c r="BK35" s="636">
        <f t="shared" si="17"/>
        <v>12847.61904761905</v>
      </c>
      <c r="BL35" s="636">
        <f t="shared" si="17"/>
        <v>10154.6218487395</v>
      </c>
      <c r="BM35" s="636">
        <f t="shared" si="17"/>
        <v>8186.8725868725878</v>
      </c>
      <c r="BN35" s="636">
        <f t="shared" si="17"/>
        <v>7075.862068965519</v>
      </c>
      <c r="BO35" s="636">
        <f t="shared" si="17"/>
        <v>6050.8187464709208</v>
      </c>
    </row>
    <row r="36" spans="1:67">
      <c r="A36" s="642"/>
      <c r="B36" s="643" t="s">
        <v>298</v>
      </c>
      <c r="C36" s="642"/>
      <c r="D36" s="649">
        <v>1</v>
      </c>
      <c r="E36" s="650">
        <v>1</v>
      </c>
      <c r="F36" s="650">
        <v>1</v>
      </c>
      <c r="G36" s="656">
        <f>'Compiled Articles'!N14</f>
        <v>30</v>
      </c>
      <c r="H36" s="246">
        <f>'Compiled Articles'!$N$11</f>
        <v>365</v>
      </c>
      <c r="I36" s="246">
        <f>I34</f>
        <v>1</v>
      </c>
      <c r="J36" s="624">
        <f t="shared" si="15"/>
        <v>6.9999999999999994E-5</v>
      </c>
      <c r="K36" s="625">
        <f t="shared" si="16"/>
        <v>3.4999999999999997E-5</v>
      </c>
      <c r="L36" s="644" t="s">
        <v>684</v>
      </c>
      <c r="M36" s="627">
        <f>(INDEX('Dermal Calcs'!$B$61:$H$67, MATCH($L36,'Dermal Calcs'!$A$61:$A$67, 0), MATCH(M$3, 'Dermal Calcs'!$B$60:$H$60, 0)))*$K36*$D36</f>
        <v>4.3357271095152611E-5</v>
      </c>
      <c r="N36" s="628">
        <f>(INDEX('Dermal Calcs'!$B$61:$H$67, MATCH($L36,'Dermal Calcs'!$A$61:$A$67, 0), MATCH(N$3, 'Dermal Calcs'!$B$60:$H$60, 0)))*$K36*$E36</f>
        <v>4.0572625698324028E-5</v>
      </c>
      <c r="O36" s="628">
        <f>(INDEX('Dermal Calcs'!$B$61:$H$67, MATCH($L36,'Dermal Calcs'!$A$61:$A$67, 0), MATCH(O$3, 'Dermal Calcs'!$B$60:$H$60, 0)))*$K36*$E36</f>
        <v>4.4366197183098593E-5</v>
      </c>
      <c r="P36" s="630">
        <f>(INDEX('Dermal Calcs'!$B$61:$H$67, MATCH($L36,'Dermal Calcs'!$A$61:$A$67, 0), MATCH(P$3, 'Dermal Calcs'!$B$60:$H$60, 0)))*$K36*$F36</f>
        <v>5.6132075471698102E-5</v>
      </c>
      <c r="Q36" s="630">
        <f>(INDEX('Dermal Calcs'!$B$61:$H$67, MATCH($L36,'Dermal Calcs'!$A$61:$A$67, 0), MATCH(Q$3, 'Dermal Calcs'!$B$60:$H$60, 0)))*$K36*$F36</f>
        <v>6.9623655913978493E-5</v>
      </c>
      <c r="R36" s="630">
        <f>(INDEX('Dermal Calcs'!$B$61:$H$67, MATCH($L36,'Dermal Calcs'!$A$61:$A$67, 0), MATCH(R$3, 'Dermal Calcs'!$B$60:$H$60, 0)))*$K36*$F36</f>
        <v>8.0555555555555542E-5</v>
      </c>
      <c r="S36" s="631">
        <f>(INDEX('Dermal Calcs'!$B$61:$H$67, MATCH($L36,'Dermal Calcs'!$A$61:$A$67, 0), MATCH(S$3, 'Dermal Calcs'!$B$60:$H$60, 0)))*$K36*$F36</f>
        <v>9.4202127659574471E-5</v>
      </c>
      <c r="T36" s="645">
        <f t="shared" ref="T36:Z51" si="22">M36*$H36</f>
        <v>1.5825403949730702E-2</v>
      </c>
      <c r="U36" s="646">
        <f t="shared" si="22"/>
        <v>1.480900837988827E-2</v>
      </c>
      <c r="V36" s="646">
        <f t="shared" si="22"/>
        <v>1.6193661971830985E-2</v>
      </c>
      <c r="W36" s="647">
        <f t="shared" si="22"/>
        <v>2.0488207547169807E-2</v>
      </c>
      <c r="X36" s="647">
        <f t="shared" si="22"/>
        <v>2.5412634408602149E-2</v>
      </c>
      <c r="Y36" s="647">
        <f t="shared" si="22"/>
        <v>2.9402777777777774E-2</v>
      </c>
      <c r="Z36" s="647">
        <f t="shared" si="22"/>
        <v>3.4383776595744681E-2</v>
      </c>
      <c r="AA36" s="645">
        <f t="shared" ref="AA36:AG51" si="23">M36*$I36</f>
        <v>4.3357271095152611E-5</v>
      </c>
      <c r="AB36" s="646">
        <f t="shared" si="23"/>
        <v>4.0572625698324028E-5</v>
      </c>
      <c r="AC36" s="646">
        <f t="shared" si="23"/>
        <v>4.4366197183098593E-5</v>
      </c>
      <c r="AD36" s="647">
        <f t="shared" si="23"/>
        <v>5.6132075471698102E-5</v>
      </c>
      <c r="AE36" s="647">
        <f t="shared" si="23"/>
        <v>6.9623655913978493E-5</v>
      </c>
      <c r="AF36" s="647">
        <f t="shared" si="23"/>
        <v>8.0555555555555542E-5</v>
      </c>
      <c r="AG36" s="647">
        <f t="shared" si="23"/>
        <v>9.4202127659574471E-5</v>
      </c>
      <c r="AH36" s="633">
        <f t="shared" si="20"/>
        <v>4.3357271095152611E-2</v>
      </c>
      <c r="AI36" s="634">
        <f t="shared" si="18"/>
        <v>4.0572625698324032E-2</v>
      </c>
      <c r="AJ36" s="634">
        <f t="shared" si="18"/>
        <v>4.4366197183098588E-2</v>
      </c>
      <c r="AK36" s="634">
        <f t="shared" si="18"/>
        <v>5.6132075471698101E-2</v>
      </c>
      <c r="AL36" s="634">
        <f t="shared" si="18"/>
        <v>6.9623655913978483E-2</v>
      </c>
      <c r="AM36" s="634">
        <f t="shared" si="18"/>
        <v>8.0555555555555547E-2</v>
      </c>
      <c r="AN36" s="635">
        <f t="shared" si="18"/>
        <v>9.4202127659574461E-2</v>
      </c>
      <c r="AO36" s="634">
        <f t="shared" si="19"/>
        <v>4.3357271095152611E-2</v>
      </c>
      <c r="AP36" s="634">
        <f t="shared" si="19"/>
        <v>4.0572625698324032E-2</v>
      </c>
      <c r="AQ36" s="634">
        <f t="shared" si="19"/>
        <v>4.4366197183098595E-2</v>
      </c>
      <c r="AR36" s="634">
        <f t="shared" si="19"/>
        <v>5.6132075471698101E-2</v>
      </c>
      <c r="AS36" s="634">
        <f t="shared" si="19"/>
        <v>6.9623655913978497E-2</v>
      </c>
      <c r="AT36" s="634">
        <f t="shared" si="19"/>
        <v>8.0555555555555547E-2</v>
      </c>
      <c r="AU36" s="635">
        <f t="shared" si="19"/>
        <v>9.4202127659574475E-2</v>
      </c>
      <c r="AV36" s="645">
        <f t="shared" si="21"/>
        <v>4.3357271095152611E-2</v>
      </c>
      <c r="AW36" s="646">
        <f t="shared" si="7"/>
        <v>4.2469411440711306E-2</v>
      </c>
      <c r="AX36" s="647">
        <f t="shared" si="8"/>
        <v>7.5128353650201651E-2</v>
      </c>
      <c r="AY36" s="645">
        <f t="shared" si="9"/>
        <v>4.3357271095152611E-2</v>
      </c>
      <c r="AZ36" s="646">
        <f t="shared" si="10"/>
        <v>4.2469411440711313E-2</v>
      </c>
      <c r="BA36" s="647">
        <f t="shared" si="11"/>
        <v>7.5128353650201651E-2</v>
      </c>
      <c r="BB36" s="636">
        <f t="shared" si="14"/>
        <v>131465.83850931676</v>
      </c>
      <c r="BC36" s="636">
        <f t="shared" si="14"/>
        <v>140488.81239242683</v>
      </c>
      <c r="BD36" s="636">
        <f t="shared" si="14"/>
        <v>128476.19047619049</v>
      </c>
      <c r="BE36" s="636">
        <f t="shared" si="14"/>
        <v>101546.21848739497</v>
      </c>
      <c r="BF36" s="636">
        <f t="shared" si="14"/>
        <v>81868.725868725887</v>
      </c>
      <c r="BG36" s="636">
        <f t="shared" si="14"/>
        <v>70758.620689655174</v>
      </c>
      <c r="BH36" s="636">
        <f t="shared" si="14"/>
        <v>60508.187464709212</v>
      </c>
      <c r="BI36" s="636">
        <f t="shared" si="17"/>
        <v>131465.83850931676</v>
      </c>
      <c r="BJ36" s="636">
        <f t="shared" si="17"/>
        <v>140488.81239242683</v>
      </c>
      <c r="BK36" s="636">
        <f t="shared" si="17"/>
        <v>128476.19047619047</v>
      </c>
      <c r="BL36" s="636">
        <f t="shared" si="17"/>
        <v>101546.21848739497</v>
      </c>
      <c r="BM36" s="636">
        <f t="shared" si="17"/>
        <v>81868.725868725873</v>
      </c>
      <c r="BN36" s="636">
        <f t="shared" si="17"/>
        <v>70758.620689655174</v>
      </c>
      <c r="BO36" s="636">
        <f t="shared" si="17"/>
        <v>60508.187464709197</v>
      </c>
    </row>
    <row r="37" spans="1:67" ht="14.65" customHeight="1">
      <c r="A37" s="623" t="str">
        <f>'Compiled Articles'!O6</f>
        <v>Vinyl Flooring</v>
      </c>
      <c r="B37" s="402" t="s">
        <v>296</v>
      </c>
      <c r="C37" s="623" t="s">
        <v>37</v>
      </c>
      <c r="D37" s="615">
        <v>1</v>
      </c>
      <c r="E37" s="149">
        <v>1</v>
      </c>
      <c r="F37" s="149">
        <v>1</v>
      </c>
      <c r="G37" s="657">
        <f>'Compiled Articles'!O12</f>
        <v>120</v>
      </c>
      <c r="H37" s="246">
        <f>'Compiled Articles'!$O$11</f>
        <v>365</v>
      </c>
      <c r="I37" s="158">
        <v>1</v>
      </c>
      <c r="J37" s="624">
        <f t="shared" si="15"/>
        <v>6.9999999999999994E-5</v>
      </c>
      <c r="K37" s="625">
        <f t="shared" si="16"/>
        <v>1.3999999999999999E-4</v>
      </c>
      <c r="L37" s="638" t="s">
        <v>687</v>
      </c>
      <c r="M37" s="627">
        <f>(INDEX('Dermal Calcs'!$B$61:$H$67, MATCH($L37,'Dermal Calcs'!$A$61:$A$67, 0), MATCH(M$3, 'Dermal Calcs'!$B$60:$H$60, 0)))*$K37*$D37</f>
        <v>4.3357271095152613E-4</v>
      </c>
      <c r="N37" s="628">
        <f>(INDEX('Dermal Calcs'!$B$61:$H$67, MATCH($L37,'Dermal Calcs'!$A$61:$A$67, 0), MATCH(N$3, 'Dermal Calcs'!$B$60:$H$60, 0)))*$K37*$E37</f>
        <v>4.0572625698324027E-4</v>
      </c>
      <c r="O37" s="628">
        <f>(INDEX('Dermal Calcs'!$B$61:$H$67, MATCH($L37,'Dermal Calcs'!$A$61:$A$67, 0), MATCH(O$3, 'Dermal Calcs'!$B$60:$H$60, 0)))*$K37*$E37</f>
        <v>4.4366197183098589E-4</v>
      </c>
      <c r="P37" s="630">
        <f>(INDEX('Dermal Calcs'!$B$61:$H$67, MATCH($L37,'Dermal Calcs'!$A$61:$A$67, 0), MATCH(P$3, 'Dermal Calcs'!$B$60:$H$60, 0)))*$K37*$F37</f>
        <v>5.6132075471698099E-4</v>
      </c>
      <c r="Q37" s="630">
        <f>(INDEX('Dermal Calcs'!$B$61:$H$67, MATCH($L37,'Dermal Calcs'!$A$61:$A$67, 0), MATCH(Q$3, 'Dermal Calcs'!$B$60:$H$60, 0)))*$K37*$F37</f>
        <v>6.9623655913978485E-4</v>
      </c>
      <c r="R37" s="630">
        <f>(INDEX('Dermal Calcs'!$B$61:$H$67, MATCH($L37,'Dermal Calcs'!$A$61:$A$67, 0), MATCH(R$3, 'Dermal Calcs'!$B$60:$H$60, 0)))*$K37*$F37</f>
        <v>8.0555555555555534E-4</v>
      </c>
      <c r="S37" s="631">
        <f>(INDEX('Dermal Calcs'!$B$61:$H$67, MATCH($L37,'Dermal Calcs'!$A$61:$A$67, 0), MATCH(S$3, 'Dermal Calcs'!$B$60:$H$60, 0)))*$K37*$F37</f>
        <v>9.420212765957446E-4</v>
      </c>
      <c r="T37" s="627">
        <f t="shared" si="22"/>
        <v>0.15825403949730704</v>
      </c>
      <c r="U37" s="628">
        <f t="shared" si="22"/>
        <v>0.14809008379888269</v>
      </c>
      <c r="V37" s="628">
        <f t="shared" si="22"/>
        <v>0.16193661971830986</v>
      </c>
      <c r="W37" s="632">
        <f t="shared" si="22"/>
        <v>0.20488207547169807</v>
      </c>
      <c r="X37" s="632">
        <f t="shared" si="22"/>
        <v>0.25412634408602147</v>
      </c>
      <c r="Y37" s="632">
        <f t="shared" si="22"/>
        <v>0.29402777777777772</v>
      </c>
      <c r="Z37" s="632">
        <f t="shared" si="22"/>
        <v>0.34383776595744681</v>
      </c>
      <c r="AA37" s="627">
        <f t="shared" si="23"/>
        <v>4.3357271095152613E-4</v>
      </c>
      <c r="AB37" s="628">
        <f t="shared" si="23"/>
        <v>4.0572625698324027E-4</v>
      </c>
      <c r="AC37" s="632">
        <f t="shared" si="23"/>
        <v>4.4366197183098589E-4</v>
      </c>
      <c r="AD37" s="632">
        <f t="shared" si="23"/>
        <v>5.6132075471698099E-4</v>
      </c>
      <c r="AE37" s="632">
        <f t="shared" si="23"/>
        <v>6.9623655913978485E-4</v>
      </c>
      <c r="AF37" s="632">
        <f t="shared" si="23"/>
        <v>8.0555555555555534E-4</v>
      </c>
      <c r="AG37" s="632">
        <f t="shared" si="23"/>
        <v>9.420212765957446E-4</v>
      </c>
      <c r="AH37" s="633">
        <f t="shared" si="20"/>
        <v>0.43357271095152616</v>
      </c>
      <c r="AI37" s="634">
        <f>(U37*1000)/365</f>
        <v>0.40572625698324022</v>
      </c>
      <c r="AJ37" s="634">
        <f t="shared" si="18"/>
        <v>0.44366197183098594</v>
      </c>
      <c r="AK37" s="634">
        <f t="shared" si="18"/>
        <v>0.56132075471698106</v>
      </c>
      <c r="AL37" s="634">
        <f t="shared" si="18"/>
        <v>0.69623655913978488</v>
      </c>
      <c r="AM37" s="634">
        <f t="shared" si="18"/>
        <v>0.80555555555555536</v>
      </c>
      <c r="AN37" s="635">
        <f t="shared" si="18"/>
        <v>0.94202127659574475</v>
      </c>
      <c r="AO37" s="634">
        <f t="shared" si="19"/>
        <v>0.43357271095152611</v>
      </c>
      <c r="AP37" s="634">
        <f t="shared" si="19"/>
        <v>0.40572625698324027</v>
      </c>
      <c r="AQ37" s="634">
        <f t="shared" si="19"/>
        <v>0.44366197183098588</v>
      </c>
      <c r="AR37" s="634">
        <f t="shared" si="19"/>
        <v>0.56132075471698095</v>
      </c>
      <c r="AS37" s="634">
        <f t="shared" si="19"/>
        <v>0.69623655913978488</v>
      </c>
      <c r="AT37" s="634">
        <f t="shared" si="19"/>
        <v>0.80555555555555536</v>
      </c>
      <c r="AU37" s="635">
        <f t="shared" si="19"/>
        <v>0.94202127659574464</v>
      </c>
      <c r="AV37" s="627">
        <f t="shared" si="21"/>
        <v>0.43357271095152616</v>
      </c>
      <c r="AW37" s="628">
        <f t="shared" si="7"/>
        <v>0.42469411440711302</v>
      </c>
      <c r="AX37" s="632">
        <f t="shared" si="8"/>
        <v>0.75128353650201651</v>
      </c>
      <c r="AY37" s="627">
        <f t="shared" si="9"/>
        <v>0.43357271095152611</v>
      </c>
      <c r="AZ37" s="628">
        <f t="shared" si="10"/>
        <v>0.42469411440711313</v>
      </c>
      <c r="BA37" s="632">
        <f t="shared" si="11"/>
        <v>0.75128353650201651</v>
      </c>
      <c r="BB37" s="636">
        <f t="shared" si="14"/>
        <v>13146.583850931673</v>
      </c>
      <c r="BC37" s="636">
        <f t="shared" si="14"/>
        <v>14048.881239242684</v>
      </c>
      <c r="BD37" s="636">
        <f t="shared" si="14"/>
        <v>12847.619047619048</v>
      </c>
      <c r="BE37" s="636">
        <f t="shared" si="14"/>
        <v>10154.621848739496</v>
      </c>
      <c r="BF37" s="636">
        <f t="shared" si="14"/>
        <v>8186.8725868725878</v>
      </c>
      <c r="BG37" s="636">
        <f t="shared" si="14"/>
        <v>7075.862068965519</v>
      </c>
      <c r="BH37" s="636">
        <f t="shared" si="14"/>
        <v>6050.8187464709199</v>
      </c>
      <c r="BI37" s="636">
        <f t="shared" si="17"/>
        <v>13146.583850931675</v>
      </c>
      <c r="BJ37" s="636">
        <f t="shared" si="17"/>
        <v>14048.881239242683</v>
      </c>
      <c r="BK37" s="636">
        <f t="shared" si="17"/>
        <v>12847.61904761905</v>
      </c>
      <c r="BL37" s="636">
        <f t="shared" si="17"/>
        <v>10154.6218487395</v>
      </c>
      <c r="BM37" s="636">
        <f t="shared" si="17"/>
        <v>8186.8725868725878</v>
      </c>
      <c r="BN37" s="636">
        <f t="shared" si="17"/>
        <v>7075.862068965519</v>
      </c>
      <c r="BO37" s="636">
        <f t="shared" si="17"/>
        <v>6050.8187464709208</v>
      </c>
    </row>
    <row r="38" spans="1:67">
      <c r="A38" s="637"/>
      <c r="B38" s="402" t="s">
        <v>297</v>
      </c>
      <c r="C38" s="637"/>
      <c r="D38" s="615">
        <v>1</v>
      </c>
      <c r="E38" s="149">
        <v>1</v>
      </c>
      <c r="F38" s="149">
        <v>1</v>
      </c>
      <c r="G38" s="652">
        <f>'Compiled Articles'!O13</f>
        <v>60</v>
      </c>
      <c r="H38" s="246">
        <f>'Compiled Articles'!$O$11</f>
        <v>365</v>
      </c>
      <c r="I38" s="246">
        <f>I37</f>
        <v>1</v>
      </c>
      <c r="J38" s="624">
        <f t="shared" si="15"/>
        <v>6.9999999999999994E-5</v>
      </c>
      <c r="K38" s="625">
        <f t="shared" si="16"/>
        <v>6.9999999999999994E-5</v>
      </c>
      <c r="L38" s="638" t="s">
        <v>687</v>
      </c>
      <c r="M38" s="627">
        <f>(INDEX('Dermal Calcs'!$B$61:$H$67, MATCH($L38,'Dermal Calcs'!$A$61:$A$67, 0), MATCH(M$3, 'Dermal Calcs'!$B$60:$H$60, 0)))*$K38*$D38</f>
        <v>2.1678635547576306E-4</v>
      </c>
      <c r="N38" s="628">
        <f>(INDEX('Dermal Calcs'!$B$61:$H$67, MATCH($L38,'Dermal Calcs'!$A$61:$A$67, 0), MATCH(N$3, 'Dermal Calcs'!$B$60:$H$60, 0)))*$K38*$E38</f>
        <v>2.0286312849162013E-4</v>
      </c>
      <c r="O38" s="628">
        <f>(INDEX('Dermal Calcs'!$B$61:$H$67, MATCH($L38,'Dermal Calcs'!$A$61:$A$67, 0), MATCH(O$3, 'Dermal Calcs'!$B$60:$H$60, 0)))*$K38*$E38</f>
        <v>2.2183098591549295E-4</v>
      </c>
      <c r="P38" s="630">
        <f>(INDEX('Dermal Calcs'!$B$61:$H$67, MATCH($L38,'Dermal Calcs'!$A$61:$A$67, 0), MATCH(P$3, 'Dermal Calcs'!$B$60:$H$60, 0)))*$K38*$F38</f>
        <v>2.806603773584905E-4</v>
      </c>
      <c r="Q38" s="630">
        <f>(INDEX('Dermal Calcs'!$B$61:$H$67, MATCH($L38,'Dermal Calcs'!$A$61:$A$67, 0), MATCH(Q$3, 'Dermal Calcs'!$B$60:$H$60, 0)))*$K38*$F38</f>
        <v>3.4811827956989243E-4</v>
      </c>
      <c r="R38" s="630">
        <f>(INDEX('Dermal Calcs'!$B$61:$H$67, MATCH($L38,'Dermal Calcs'!$A$61:$A$67, 0), MATCH(R$3, 'Dermal Calcs'!$B$60:$H$60, 0)))*$K38*$F38</f>
        <v>4.0277777777777767E-4</v>
      </c>
      <c r="S38" s="631">
        <f>(INDEX('Dermal Calcs'!$B$61:$H$67, MATCH($L38,'Dermal Calcs'!$A$61:$A$67, 0), MATCH(S$3, 'Dermal Calcs'!$B$60:$H$60, 0)))*$K38*$F38</f>
        <v>4.710106382978723E-4</v>
      </c>
      <c r="T38" s="639">
        <f t="shared" si="22"/>
        <v>7.9127019748653521E-2</v>
      </c>
      <c r="U38" s="640">
        <f t="shared" si="22"/>
        <v>7.4045041899441347E-2</v>
      </c>
      <c r="V38" s="640">
        <f t="shared" si="22"/>
        <v>8.096830985915493E-2</v>
      </c>
      <c r="W38" s="641">
        <f t="shared" si="22"/>
        <v>0.10244103773584903</v>
      </c>
      <c r="X38" s="641">
        <f t="shared" si="22"/>
        <v>0.12706317204301074</v>
      </c>
      <c r="Y38" s="641">
        <f t="shared" si="22"/>
        <v>0.14701388888888886</v>
      </c>
      <c r="Z38" s="641">
        <f t="shared" si="22"/>
        <v>0.1719188829787234</v>
      </c>
      <c r="AA38" s="639">
        <f t="shared" si="23"/>
        <v>2.1678635547576306E-4</v>
      </c>
      <c r="AB38" s="640">
        <f t="shared" si="23"/>
        <v>2.0286312849162013E-4</v>
      </c>
      <c r="AC38" s="641">
        <f t="shared" si="23"/>
        <v>2.2183098591549295E-4</v>
      </c>
      <c r="AD38" s="641">
        <f t="shared" si="23"/>
        <v>2.806603773584905E-4</v>
      </c>
      <c r="AE38" s="641">
        <f t="shared" si="23"/>
        <v>3.4811827956989243E-4</v>
      </c>
      <c r="AF38" s="641">
        <f t="shared" si="23"/>
        <v>4.0277777777777767E-4</v>
      </c>
      <c r="AG38" s="641">
        <f t="shared" si="23"/>
        <v>4.710106382978723E-4</v>
      </c>
      <c r="AH38" s="633">
        <f t="shared" si="20"/>
        <v>0.21678635547576308</v>
      </c>
      <c r="AI38" s="634">
        <f t="shared" si="20"/>
        <v>0.20286312849162011</v>
      </c>
      <c r="AJ38" s="634">
        <f t="shared" si="20"/>
        <v>0.22183098591549297</v>
      </c>
      <c r="AK38" s="634">
        <f t="shared" si="20"/>
        <v>0.28066037735849053</v>
      </c>
      <c r="AL38" s="634">
        <f t="shared" si="20"/>
        <v>0.34811827956989244</v>
      </c>
      <c r="AM38" s="634">
        <f t="shared" si="20"/>
        <v>0.40277777777777768</v>
      </c>
      <c r="AN38" s="635">
        <f t="shared" si="20"/>
        <v>0.47101063829787237</v>
      </c>
      <c r="AO38" s="634">
        <f t="shared" si="19"/>
        <v>0.21678635547576305</v>
      </c>
      <c r="AP38" s="634">
        <f t="shared" si="19"/>
        <v>0.20286312849162014</v>
      </c>
      <c r="AQ38" s="634">
        <f t="shared" si="19"/>
        <v>0.22183098591549294</v>
      </c>
      <c r="AR38" s="634">
        <f t="shared" si="19"/>
        <v>0.28066037735849048</v>
      </c>
      <c r="AS38" s="634">
        <f t="shared" si="19"/>
        <v>0.34811827956989244</v>
      </c>
      <c r="AT38" s="634">
        <f t="shared" si="19"/>
        <v>0.40277777777777768</v>
      </c>
      <c r="AU38" s="635">
        <f t="shared" si="19"/>
        <v>0.47101063829787232</v>
      </c>
      <c r="AV38" s="639">
        <f t="shared" si="21"/>
        <v>0.21678635547576308</v>
      </c>
      <c r="AW38" s="640">
        <f t="shared" si="7"/>
        <v>0.21234705720355651</v>
      </c>
      <c r="AX38" s="641">
        <f t="shared" si="8"/>
        <v>0.37564176825100826</v>
      </c>
      <c r="AY38" s="639">
        <f t="shared" si="9"/>
        <v>0.21678635547576305</v>
      </c>
      <c r="AZ38" s="640">
        <f t="shared" si="10"/>
        <v>0.21234705720355657</v>
      </c>
      <c r="BA38" s="641">
        <f t="shared" si="11"/>
        <v>0.37564176825100826</v>
      </c>
      <c r="BB38" s="636">
        <f t="shared" si="14"/>
        <v>26293.167701863345</v>
      </c>
      <c r="BC38" s="636">
        <f t="shared" si="14"/>
        <v>28097.762478485369</v>
      </c>
      <c r="BD38" s="636">
        <f t="shared" si="14"/>
        <v>25695.238095238095</v>
      </c>
      <c r="BE38" s="636">
        <f t="shared" si="14"/>
        <v>20309.243697478993</v>
      </c>
      <c r="BF38" s="636">
        <f t="shared" si="14"/>
        <v>16373.745173745176</v>
      </c>
      <c r="BG38" s="636">
        <f t="shared" si="14"/>
        <v>14151.724137931038</v>
      </c>
      <c r="BH38" s="636">
        <f t="shared" si="14"/>
        <v>12101.63749294184</v>
      </c>
      <c r="BI38" s="636">
        <f t="shared" si="17"/>
        <v>26293.167701863349</v>
      </c>
      <c r="BJ38" s="636">
        <f t="shared" si="17"/>
        <v>28097.762478485365</v>
      </c>
      <c r="BK38" s="636">
        <f t="shared" si="17"/>
        <v>25695.238095238099</v>
      </c>
      <c r="BL38" s="636">
        <f t="shared" si="17"/>
        <v>20309.243697479</v>
      </c>
      <c r="BM38" s="636">
        <f t="shared" si="17"/>
        <v>16373.745173745176</v>
      </c>
      <c r="BN38" s="636">
        <f t="shared" si="17"/>
        <v>14151.724137931038</v>
      </c>
      <c r="BO38" s="636">
        <f t="shared" si="17"/>
        <v>12101.637492941842</v>
      </c>
    </row>
    <row r="39" spans="1:67">
      <c r="A39" s="642"/>
      <c r="B39" s="402" t="s">
        <v>298</v>
      </c>
      <c r="C39" s="642"/>
      <c r="D39" s="649">
        <v>1</v>
      </c>
      <c r="E39" s="650">
        <v>1</v>
      </c>
      <c r="F39" s="650">
        <v>1</v>
      </c>
      <c r="G39" s="652">
        <f>'Compiled Articles'!O14</f>
        <v>30</v>
      </c>
      <c r="H39" s="246">
        <f>'Compiled Articles'!$O$11</f>
        <v>365</v>
      </c>
      <c r="I39" s="246">
        <f>I37</f>
        <v>1</v>
      </c>
      <c r="J39" s="624">
        <f t="shared" si="15"/>
        <v>6.9999999999999994E-5</v>
      </c>
      <c r="K39" s="625">
        <f t="shared" si="16"/>
        <v>3.4999999999999997E-5</v>
      </c>
      <c r="L39" s="638" t="s">
        <v>687</v>
      </c>
      <c r="M39" s="627">
        <f>(INDEX('Dermal Calcs'!$B$61:$H$67, MATCH($L39,'Dermal Calcs'!$A$61:$A$67, 0), MATCH(M$3, 'Dermal Calcs'!$B$60:$H$60, 0)))*$K39*$D39</f>
        <v>1.0839317773788153E-4</v>
      </c>
      <c r="N39" s="628">
        <f>(INDEX('Dermal Calcs'!$B$61:$H$67, MATCH($L39,'Dermal Calcs'!$A$61:$A$67, 0), MATCH(N$3, 'Dermal Calcs'!$B$60:$H$60, 0)))*$K39*$E39</f>
        <v>1.0143156424581007E-4</v>
      </c>
      <c r="O39" s="628">
        <f>(INDEX('Dermal Calcs'!$B$61:$H$67, MATCH($L39,'Dermal Calcs'!$A$61:$A$67, 0), MATCH(O$3, 'Dermal Calcs'!$B$60:$H$60, 0)))*$K39*$E39</f>
        <v>1.1091549295774647E-4</v>
      </c>
      <c r="P39" s="630">
        <f>(INDEX('Dermal Calcs'!$B$61:$H$67, MATCH($L39,'Dermal Calcs'!$A$61:$A$67, 0), MATCH(P$3, 'Dermal Calcs'!$B$60:$H$60, 0)))*$K39*$F39</f>
        <v>1.4033018867924525E-4</v>
      </c>
      <c r="Q39" s="630">
        <f>(INDEX('Dermal Calcs'!$B$61:$H$67, MATCH($L39,'Dermal Calcs'!$A$61:$A$67, 0), MATCH(Q$3, 'Dermal Calcs'!$B$60:$H$60, 0)))*$K39*$F39</f>
        <v>1.7405913978494621E-4</v>
      </c>
      <c r="R39" s="630">
        <f>(INDEX('Dermal Calcs'!$B$61:$H$67, MATCH($L39,'Dermal Calcs'!$A$61:$A$67, 0), MATCH(R$3, 'Dermal Calcs'!$B$60:$H$60, 0)))*$K39*$F39</f>
        <v>2.0138888888888884E-4</v>
      </c>
      <c r="S39" s="631">
        <f>(INDEX('Dermal Calcs'!$B$61:$H$67, MATCH($L39,'Dermal Calcs'!$A$61:$A$67, 0), MATCH(S$3, 'Dermal Calcs'!$B$60:$H$60, 0)))*$K39*$F39</f>
        <v>2.3550531914893615E-4</v>
      </c>
      <c r="T39" s="645">
        <f t="shared" si="22"/>
        <v>3.956350987432676E-2</v>
      </c>
      <c r="U39" s="646">
        <f t="shared" si="22"/>
        <v>3.7022520949720673E-2</v>
      </c>
      <c r="V39" s="646">
        <f t="shared" si="22"/>
        <v>4.0484154929577465E-2</v>
      </c>
      <c r="W39" s="647">
        <f t="shared" si="22"/>
        <v>5.1220518867924517E-2</v>
      </c>
      <c r="X39" s="647">
        <f t="shared" si="22"/>
        <v>6.3531586021505368E-2</v>
      </c>
      <c r="Y39" s="647">
        <f t="shared" si="22"/>
        <v>7.350694444444443E-2</v>
      </c>
      <c r="Z39" s="658">
        <f t="shared" si="22"/>
        <v>8.5959441489361701E-2</v>
      </c>
      <c r="AA39" s="645">
        <f t="shared" si="23"/>
        <v>1.0839317773788153E-4</v>
      </c>
      <c r="AB39" s="646">
        <f t="shared" si="23"/>
        <v>1.0143156424581007E-4</v>
      </c>
      <c r="AC39" s="647">
        <f t="shared" si="23"/>
        <v>1.1091549295774647E-4</v>
      </c>
      <c r="AD39" s="647">
        <f t="shared" si="23"/>
        <v>1.4033018867924525E-4</v>
      </c>
      <c r="AE39" s="647">
        <f t="shared" si="23"/>
        <v>1.7405913978494621E-4</v>
      </c>
      <c r="AF39" s="647">
        <f t="shared" si="23"/>
        <v>2.0138888888888884E-4</v>
      </c>
      <c r="AG39" s="647">
        <f t="shared" si="23"/>
        <v>2.3550531914893615E-4</v>
      </c>
      <c r="AH39" s="633">
        <f t="shared" ref="AH39:AN54" si="24">(T39*1000)/365</f>
        <v>0.10839317773788154</v>
      </c>
      <c r="AI39" s="634">
        <f t="shared" si="24"/>
        <v>0.10143156424581005</v>
      </c>
      <c r="AJ39" s="634">
        <f t="shared" si="24"/>
        <v>0.11091549295774648</v>
      </c>
      <c r="AK39" s="634">
        <f t="shared" si="24"/>
        <v>0.14033018867924527</v>
      </c>
      <c r="AL39" s="634">
        <f t="shared" si="24"/>
        <v>0.17405913978494622</v>
      </c>
      <c r="AM39" s="634">
        <f t="shared" si="24"/>
        <v>0.20138888888888884</v>
      </c>
      <c r="AN39" s="635">
        <f t="shared" si="24"/>
        <v>0.23550531914893619</v>
      </c>
      <c r="AO39" s="634">
        <f t="shared" si="19"/>
        <v>0.10839317773788153</v>
      </c>
      <c r="AP39" s="634">
        <f t="shared" si="19"/>
        <v>0.10143156424581007</v>
      </c>
      <c r="AQ39" s="634">
        <f t="shared" si="19"/>
        <v>0.11091549295774647</v>
      </c>
      <c r="AR39" s="634">
        <f t="shared" si="19"/>
        <v>0.14033018867924524</v>
      </c>
      <c r="AS39" s="634">
        <f t="shared" si="19"/>
        <v>0.17405913978494622</v>
      </c>
      <c r="AT39" s="634">
        <f t="shared" si="19"/>
        <v>0.20138888888888884</v>
      </c>
      <c r="AU39" s="635">
        <f t="shared" si="19"/>
        <v>0.23550531914893616</v>
      </c>
      <c r="AV39" s="645">
        <f t="shared" si="21"/>
        <v>0.10839317773788154</v>
      </c>
      <c r="AW39" s="646">
        <f t="shared" si="7"/>
        <v>0.10617352860177826</v>
      </c>
      <c r="AX39" s="647">
        <f t="shared" si="8"/>
        <v>0.18782088412550413</v>
      </c>
      <c r="AY39" s="645">
        <f t="shared" si="9"/>
        <v>0.10839317773788153</v>
      </c>
      <c r="AZ39" s="646">
        <f t="shared" si="10"/>
        <v>0.10617352860177828</v>
      </c>
      <c r="BA39" s="647">
        <f t="shared" si="11"/>
        <v>0.18782088412550413</v>
      </c>
      <c r="BB39" s="636">
        <f t="shared" si="14"/>
        <v>52586.335403726691</v>
      </c>
      <c r="BC39" s="636">
        <f t="shared" si="14"/>
        <v>56195.524956970738</v>
      </c>
      <c r="BD39" s="636">
        <f t="shared" si="14"/>
        <v>51390.476190476191</v>
      </c>
      <c r="BE39" s="636">
        <f t="shared" si="14"/>
        <v>40618.487394957985</v>
      </c>
      <c r="BF39" s="636">
        <f t="shared" si="14"/>
        <v>32747.490347490351</v>
      </c>
      <c r="BG39" s="636">
        <f t="shared" si="14"/>
        <v>28303.448275862076</v>
      </c>
      <c r="BH39" s="636">
        <f t="shared" si="14"/>
        <v>24203.27498588368</v>
      </c>
      <c r="BI39" s="636">
        <f t="shared" si="17"/>
        <v>52586.335403726698</v>
      </c>
      <c r="BJ39" s="636">
        <f t="shared" si="17"/>
        <v>56195.52495697073</v>
      </c>
      <c r="BK39" s="636">
        <f t="shared" si="17"/>
        <v>51390.476190476198</v>
      </c>
      <c r="BL39" s="636">
        <f t="shared" si="17"/>
        <v>40618.487394958</v>
      </c>
      <c r="BM39" s="636">
        <f t="shared" si="17"/>
        <v>32747.490347490351</v>
      </c>
      <c r="BN39" s="636">
        <f t="shared" si="17"/>
        <v>28303.448275862076</v>
      </c>
      <c r="BO39" s="636">
        <f t="shared" si="17"/>
        <v>24203.274985883683</v>
      </c>
    </row>
    <row r="40" spans="1:67" ht="14.65" customHeight="1">
      <c r="A40" s="623" t="str">
        <f>'Compiled Articles'!P6</f>
        <v>Wallpaper (In Place)</v>
      </c>
      <c r="B40" s="651" t="s">
        <v>296</v>
      </c>
      <c r="C40" s="623" t="s">
        <v>312</v>
      </c>
      <c r="D40" s="615">
        <v>0</v>
      </c>
      <c r="E40" s="149">
        <v>1</v>
      </c>
      <c r="F40" s="149">
        <v>1</v>
      </c>
      <c r="G40" s="652">
        <f>'Compiled Articles'!P12</f>
        <v>60</v>
      </c>
      <c r="H40" s="246">
        <f>'Compiled Articles'!$P$11</f>
        <v>365</v>
      </c>
      <c r="I40" s="158">
        <v>1</v>
      </c>
      <c r="J40" s="624">
        <f t="shared" si="15"/>
        <v>6.9999999999999994E-5</v>
      </c>
      <c r="K40" s="625">
        <f t="shared" si="16"/>
        <v>6.9999999999999994E-5</v>
      </c>
      <c r="L40" s="626" t="s">
        <v>687</v>
      </c>
      <c r="M40" s="627">
        <f>(INDEX('Dermal Calcs'!$B$61:$H$67, MATCH($L40,'Dermal Calcs'!$A$61:$A$67, 0), MATCH(M$3, 'Dermal Calcs'!$B$60:$H$60, 0)))*$K40*$D40</f>
        <v>0</v>
      </c>
      <c r="N40" s="628">
        <f>(INDEX('Dermal Calcs'!$B$61:$H$67, MATCH($L40,'Dermal Calcs'!$A$61:$A$67, 0), MATCH(N$3, 'Dermal Calcs'!$B$60:$H$60, 0)))*$K40*$E40</f>
        <v>2.0286312849162013E-4</v>
      </c>
      <c r="O40" s="628">
        <f>(INDEX('Dermal Calcs'!$B$61:$H$67, MATCH($L40,'Dermal Calcs'!$A$61:$A$67, 0), MATCH(O$3, 'Dermal Calcs'!$B$60:$H$60, 0)))*$K40*$E40</f>
        <v>2.2183098591549295E-4</v>
      </c>
      <c r="P40" s="630">
        <f>(INDEX('Dermal Calcs'!$B$61:$H$67, MATCH($L40,'Dermal Calcs'!$A$61:$A$67, 0), MATCH(P$3, 'Dermal Calcs'!$B$60:$H$60, 0)))*$K40*$F40</f>
        <v>2.806603773584905E-4</v>
      </c>
      <c r="Q40" s="630">
        <f>(INDEX('Dermal Calcs'!$B$61:$H$67, MATCH($L40,'Dermal Calcs'!$A$61:$A$67, 0), MATCH(Q$3, 'Dermal Calcs'!$B$60:$H$60, 0)))*$K40*$F40</f>
        <v>3.4811827956989243E-4</v>
      </c>
      <c r="R40" s="630">
        <f>(INDEX('Dermal Calcs'!$B$61:$H$67, MATCH($L40,'Dermal Calcs'!$A$61:$A$67, 0), MATCH(R$3, 'Dermal Calcs'!$B$60:$H$60, 0)))*$K40*$F40</f>
        <v>4.0277777777777767E-4</v>
      </c>
      <c r="S40" s="631">
        <f>(INDEX('Dermal Calcs'!$B$61:$H$67, MATCH($L40,'Dermal Calcs'!$A$61:$A$67, 0), MATCH(S$3, 'Dermal Calcs'!$B$60:$H$60, 0)))*$K40*$F40</f>
        <v>4.710106382978723E-4</v>
      </c>
      <c r="T40" s="627">
        <f t="shared" si="22"/>
        <v>0</v>
      </c>
      <c r="U40" s="628">
        <f t="shared" si="22"/>
        <v>7.4045041899441347E-2</v>
      </c>
      <c r="V40" s="628">
        <f t="shared" si="22"/>
        <v>8.096830985915493E-2</v>
      </c>
      <c r="W40" s="628">
        <f t="shared" si="22"/>
        <v>0.10244103773584903</v>
      </c>
      <c r="X40" s="628">
        <f t="shared" si="22"/>
        <v>0.12706317204301074</v>
      </c>
      <c r="Y40" s="628">
        <f t="shared" si="22"/>
        <v>0.14701388888888886</v>
      </c>
      <c r="Z40" s="628">
        <f t="shared" si="22"/>
        <v>0.1719188829787234</v>
      </c>
      <c r="AA40" s="627">
        <f t="shared" si="23"/>
        <v>0</v>
      </c>
      <c r="AB40" s="628">
        <f t="shared" si="23"/>
        <v>2.0286312849162013E-4</v>
      </c>
      <c r="AC40" s="628">
        <f t="shared" si="23"/>
        <v>2.2183098591549295E-4</v>
      </c>
      <c r="AD40" s="628">
        <f t="shared" si="23"/>
        <v>2.806603773584905E-4</v>
      </c>
      <c r="AE40" s="628">
        <f t="shared" si="23"/>
        <v>3.4811827956989243E-4</v>
      </c>
      <c r="AF40" s="628">
        <f t="shared" si="23"/>
        <v>4.0277777777777767E-4</v>
      </c>
      <c r="AG40" s="628">
        <f t="shared" si="23"/>
        <v>4.710106382978723E-4</v>
      </c>
      <c r="AH40" s="633">
        <f t="shared" si="24"/>
        <v>0</v>
      </c>
      <c r="AI40" s="634">
        <f t="shared" si="24"/>
        <v>0.20286312849162011</v>
      </c>
      <c r="AJ40" s="634">
        <f t="shared" si="24"/>
        <v>0.22183098591549297</v>
      </c>
      <c r="AK40" s="634">
        <f t="shared" si="24"/>
        <v>0.28066037735849053</v>
      </c>
      <c r="AL40" s="634">
        <f t="shared" si="24"/>
        <v>0.34811827956989244</v>
      </c>
      <c r="AM40" s="634">
        <f t="shared" si="24"/>
        <v>0.40277777777777768</v>
      </c>
      <c r="AN40" s="635">
        <f t="shared" si="24"/>
        <v>0.47101063829787237</v>
      </c>
      <c r="AO40" s="634">
        <f t="shared" si="19"/>
        <v>0</v>
      </c>
      <c r="AP40" s="634">
        <f t="shared" si="19"/>
        <v>0.20286312849162014</v>
      </c>
      <c r="AQ40" s="634">
        <f t="shared" si="19"/>
        <v>0.22183098591549294</v>
      </c>
      <c r="AR40" s="634">
        <f t="shared" si="19"/>
        <v>0.28066037735849048</v>
      </c>
      <c r="AS40" s="634">
        <f t="shared" si="19"/>
        <v>0.34811827956989244</v>
      </c>
      <c r="AT40" s="634">
        <f t="shared" si="19"/>
        <v>0.40277777777777768</v>
      </c>
      <c r="AU40" s="635">
        <f t="shared" si="19"/>
        <v>0.47101063829787232</v>
      </c>
      <c r="AV40" s="627">
        <f t="shared" si="21"/>
        <v>0</v>
      </c>
      <c r="AW40" s="628">
        <f t="shared" si="7"/>
        <v>0.21234705720355651</v>
      </c>
      <c r="AX40" s="628">
        <f t="shared" si="8"/>
        <v>0.37564176825100826</v>
      </c>
      <c r="AY40" s="627">
        <f t="shared" si="9"/>
        <v>0</v>
      </c>
      <c r="AZ40" s="628">
        <f t="shared" si="10"/>
        <v>0.21234705720355657</v>
      </c>
      <c r="BA40" s="628">
        <f t="shared" si="11"/>
        <v>0.37564176825100826</v>
      </c>
      <c r="BB40" s="636" t="s">
        <v>48</v>
      </c>
      <c r="BC40" s="636">
        <f t="shared" si="14"/>
        <v>28097.762478485369</v>
      </c>
      <c r="BD40" s="636">
        <f t="shared" si="14"/>
        <v>25695.238095238095</v>
      </c>
      <c r="BE40" s="636">
        <f t="shared" si="14"/>
        <v>20309.243697478993</v>
      </c>
      <c r="BF40" s="636">
        <f t="shared" si="14"/>
        <v>16373.745173745176</v>
      </c>
      <c r="BG40" s="636">
        <f t="shared" si="14"/>
        <v>14151.724137931038</v>
      </c>
      <c r="BH40" s="636">
        <f t="shared" si="14"/>
        <v>12101.63749294184</v>
      </c>
      <c r="BI40" s="636" t="s">
        <v>48</v>
      </c>
      <c r="BJ40" s="636">
        <f t="shared" si="17"/>
        <v>28097.762478485365</v>
      </c>
      <c r="BK40" s="636">
        <f t="shared" si="17"/>
        <v>25695.238095238099</v>
      </c>
      <c r="BL40" s="636">
        <f t="shared" si="17"/>
        <v>20309.243697479</v>
      </c>
      <c r="BM40" s="636">
        <f t="shared" si="17"/>
        <v>16373.745173745176</v>
      </c>
      <c r="BN40" s="636">
        <f t="shared" si="17"/>
        <v>14151.724137931038</v>
      </c>
      <c r="BO40" s="636">
        <f t="shared" si="17"/>
        <v>12101.637492941842</v>
      </c>
    </row>
    <row r="41" spans="1:67">
      <c r="A41" s="637"/>
      <c r="B41" s="402" t="s">
        <v>297</v>
      </c>
      <c r="C41" s="637"/>
      <c r="D41" s="615">
        <v>0</v>
      </c>
      <c r="E41" s="149">
        <v>1</v>
      </c>
      <c r="F41" s="149">
        <v>1</v>
      </c>
      <c r="G41" s="652">
        <f>'Compiled Articles'!P13</f>
        <v>30</v>
      </c>
      <c r="H41" s="246">
        <f>'Compiled Articles'!$P$11</f>
        <v>365</v>
      </c>
      <c r="I41" s="246">
        <f>I40</f>
        <v>1</v>
      </c>
      <c r="J41" s="624">
        <f t="shared" si="15"/>
        <v>6.9999999999999994E-5</v>
      </c>
      <c r="K41" s="625">
        <f t="shared" si="16"/>
        <v>3.4999999999999997E-5</v>
      </c>
      <c r="L41" s="638" t="s">
        <v>687</v>
      </c>
      <c r="M41" s="627">
        <f>(INDEX('Dermal Calcs'!$B$61:$H$67, MATCH($L41,'Dermal Calcs'!$A$61:$A$67, 0), MATCH(M$3, 'Dermal Calcs'!$B$60:$H$60, 0)))*$K41*$D41</f>
        <v>0</v>
      </c>
      <c r="N41" s="628">
        <f>(INDEX('Dermal Calcs'!$B$61:$H$67, MATCH($L41,'Dermal Calcs'!$A$61:$A$67, 0), MATCH(N$3, 'Dermal Calcs'!$B$60:$H$60, 0)))*$K41*$E41</f>
        <v>1.0143156424581007E-4</v>
      </c>
      <c r="O41" s="628">
        <f>(INDEX('Dermal Calcs'!$B$61:$H$67, MATCH($L41,'Dermal Calcs'!$A$61:$A$67, 0), MATCH(O$3, 'Dermal Calcs'!$B$60:$H$60, 0)))*$K41*$E41</f>
        <v>1.1091549295774647E-4</v>
      </c>
      <c r="P41" s="630">
        <f>(INDEX('Dermal Calcs'!$B$61:$H$67, MATCH($L41,'Dermal Calcs'!$A$61:$A$67, 0), MATCH(P$3, 'Dermal Calcs'!$B$60:$H$60, 0)))*$K41*$F41</f>
        <v>1.4033018867924525E-4</v>
      </c>
      <c r="Q41" s="630">
        <f>(INDEX('Dermal Calcs'!$B$61:$H$67, MATCH($L41,'Dermal Calcs'!$A$61:$A$67, 0), MATCH(Q$3, 'Dermal Calcs'!$B$60:$H$60, 0)))*$K41*$F41</f>
        <v>1.7405913978494621E-4</v>
      </c>
      <c r="R41" s="630">
        <f>(INDEX('Dermal Calcs'!$B$61:$H$67, MATCH($L41,'Dermal Calcs'!$A$61:$A$67, 0), MATCH(R$3, 'Dermal Calcs'!$B$60:$H$60, 0)))*$K41*$F41</f>
        <v>2.0138888888888884E-4</v>
      </c>
      <c r="S41" s="631">
        <f>(INDEX('Dermal Calcs'!$B$61:$H$67, MATCH($L41,'Dermal Calcs'!$A$61:$A$67, 0), MATCH(S$3, 'Dermal Calcs'!$B$60:$H$60, 0)))*$K41*$F41</f>
        <v>2.3550531914893615E-4</v>
      </c>
      <c r="T41" s="639">
        <f t="shared" si="22"/>
        <v>0</v>
      </c>
      <c r="U41" s="640">
        <f t="shared" si="22"/>
        <v>3.7022520949720673E-2</v>
      </c>
      <c r="V41" s="640">
        <f t="shared" si="22"/>
        <v>4.0484154929577465E-2</v>
      </c>
      <c r="W41" s="640">
        <f t="shared" si="22"/>
        <v>5.1220518867924517E-2</v>
      </c>
      <c r="X41" s="640">
        <f t="shared" si="22"/>
        <v>6.3531586021505368E-2</v>
      </c>
      <c r="Y41" s="640">
        <f t="shared" si="22"/>
        <v>7.350694444444443E-2</v>
      </c>
      <c r="Z41" s="640">
        <f t="shared" si="22"/>
        <v>8.5959441489361701E-2</v>
      </c>
      <c r="AA41" s="639">
        <f t="shared" si="23"/>
        <v>0</v>
      </c>
      <c r="AB41" s="640">
        <f t="shared" si="23"/>
        <v>1.0143156424581007E-4</v>
      </c>
      <c r="AC41" s="640">
        <f t="shared" si="23"/>
        <v>1.1091549295774647E-4</v>
      </c>
      <c r="AD41" s="640">
        <f t="shared" si="23"/>
        <v>1.4033018867924525E-4</v>
      </c>
      <c r="AE41" s="640">
        <f t="shared" si="23"/>
        <v>1.7405913978494621E-4</v>
      </c>
      <c r="AF41" s="640">
        <f t="shared" si="23"/>
        <v>2.0138888888888884E-4</v>
      </c>
      <c r="AG41" s="640">
        <f t="shared" si="23"/>
        <v>2.3550531914893615E-4</v>
      </c>
      <c r="AH41" s="633">
        <f t="shared" si="24"/>
        <v>0</v>
      </c>
      <c r="AI41" s="634">
        <f t="shared" si="24"/>
        <v>0.10143156424581005</v>
      </c>
      <c r="AJ41" s="634">
        <f t="shared" si="24"/>
        <v>0.11091549295774648</v>
      </c>
      <c r="AK41" s="634">
        <f t="shared" si="24"/>
        <v>0.14033018867924527</v>
      </c>
      <c r="AL41" s="634">
        <f t="shared" si="24"/>
        <v>0.17405913978494622</v>
      </c>
      <c r="AM41" s="634">
        <f t="shared" si="24"/>
        <v>0.20138888888888884</v>
      </c>
      <c r="AN41" s="635">
        <f t="shared" si="24"/>
        <v>0.23550531914893619</v>
      </c>
      <c r="AO41" s="634">
        <f t="shared" si="19"/>
        <v>0</v>
      </c>
      <c r="AP41" s="634">
        <f t="shared" si="19"/>
        <v>0.10143156424581007</v>
      </c>
      <c r="AQ41" s="634">
        <f t="shared" si="19"/>
        <v>0.11091549295774647</v>
      </c>
      <c r="AR41" s="634">
        <f t="shared" si="19"/>
        <v>0.14033018867924524</v>
      </c>
      <c r="AS41" s="634">
        <f t="shared" si="19"/>
        <v>0.17405913978494622</v>
      </c>
      <c r="AT41" s="634">
        <f t="shared" si="19"/>
        <v>0.20138888888888884</v>
      </c>
      <c r="AU41" s="635">
        <f t="shared" si="19"/>
        <v>0.23550531914893616</v>
      </c>
      <c r="AV41" s="639">
        <f t="shared" si="21"/>
        <v>0</v>
      </c>
      <c r="AW41" s="640">
        <f t="shared" si="7"/>
        <v>0.10617352860177826</v>
      </c>
      <c r="AX41" s="640">
        <f t="shared" si="8"/>
        <v>0.18782088412550413</v>
      </c>
      <c r="AY41" s="639">
        <f t="shared" si="9"/>
        <v>0</v>
      </c>
      <c r="AZ41" s="640">
        <f t="shared" si="10"/>
        <v>0.10617352860177828</v>
      </c>
      <c r="BA41" s="640">
        <f t="shared" si="11"/>
        <v>0.18782088412550413</v>
      </c>
      <c r="BB41" s="636" t="s">
        <v>48</v>
      </c>
      <c r="BC41" s="636">
        <f t="shared" si="14"/>
        <v>56195.524956970738</v>
      </c>
      <c r="BD41" s="636">
        <f t="shared" si="14"/>
        <v>51390.476190476191</v>
      </c>
      <c r="BE41" s="636">
        <f t="shared" si="14"/>
        <v>40618.487394957985</v>
      </c>
      <c r="BF41" s="636">
        <f t="shared" si="14"/>
        <v>32747.490347490351</v>
      </c>
      <c r="BG41" s="636">
        <f t="shared" si="14"/>
        <v>28303.448275862076</v>
      </c>
      <c r="BH41" s="636">
        <f t="shared" si="14"/>
        <v>24203.27498588368</v>
      </c>
      <c r="BI41" s="636" t="s">
        <v>48</v>
      </c>
      <c r="BJ41" s="636">
        <f t="shared" si="17"/>
        <v>56195.52495697073</v>
      </c>
      <c r="BK41" s="636">
        <f t="shared" si="17"/>
        <v>51390.476190476198</v>
      </c>
      <c r="BL41" s="636">
        <f t="shared" si="17"/>
        <v>40618.487394958</v>
      </c>
      <c r="BM41" s="636">
        <f t="shared" si="17"/>
        <v>32747.490347490351</v>
      </c>
      <c r="BN41" s="636">
        <f t="shared" si="17"/>
        <v>28303.448275862076</v>
      </c>
      <c r="BO41" s="636">
        <f t="shared" si="17"/>
        <v>24203.274985883683</v>
      </c>
    </row>
    <row r="42" spans="1:67">
      <c r="A42" s="642"/>
      <c r="B42" s="643" t="s">
        <v>298</v>
      </c>
      <c r="C42" s="642"/>
      <c r="D42" s="649">
        <v>0</v>
      </c>
      <c r="E42" s="650">
        <v>1</v>
      </c>
      <c r="F42" s="650">
        <v>1</v>
      </c>
      <c r="G42" s="652">
        <f>'Compiled Articles'!P14</f>
        <v>15</v>
      </c>
      <c r="H42" s="246">
        <f>'Compiled Articles'!$P$11</f>
        <v>365</v>
      </c>
      <c r="I42" s="246">
        <f>I40</f>
        <v>1</v>
      </c>
      <c r="J42" s="624">
        <f t="shared" si="15"/>
        <v>6.9999999999999994E-5</v>
      </c>
      <c r="K42" s="625">
        <f t="shared" si="16"/>
        <v>1.7499999999999998E-5</v>
      </c>
      <c r="L42" s="644" t="s">
        <v>687</v>
      </c>
      <c r="M42" s="627">
        <f>(INDEX('Dermal Calcs'!$B$61:$H$67, MATCH($L42,'Dermal Calcs'!$A$61:$A$67, 0), MATCH(M$3, 'Dermal Calcs'!$B$60:$H$60, 0)))*$K42*$D42</f>
        <v>0</v>
      </c>
      <c r="N42" s="628">
        <f>(INDEX('Dermal Calcs'!$B$61:$H$67, MATCH($L42,'Dermal Calcs'!$A$61:$A$67, 0), MATCH(N$3, 'Dermal Calcs'!$B$60:$H$60, 0)))*$K42*$E42</f>
        <v>5.0715782122905034E-5</v>
      </c>
      <c r="O42" s="628">
        <f>(INDEX('Dermal Calcs'!$B$61:$H$67, MATCH($L42,'Dermal Calcs'!$A$61:$A$67, 0), MATCH(O$3, 'Dermal Calcs'!$B$60:$H$60, 0)))*$K42*$E42</f>
        <v>5.5457746478873236E-5</v>
      </c>
      <c r="P42" s="630">
        <f>(INDEX('Dermal Calcs'!$B$61:$H$67, MATCH($L42,'Dermal Calcs'!$A$61:$A$67, 0), MATCH(P$3, 'Dermal Calcs'!$B$60:$H$60, 0)))*$K42*$F42</f>
        <v>7.0165094339622624E-5</v>
      </c>
      <c r="Q42" s="630">
        <f>(INDEX('Dermal Calcs'!$B$61:$H$67, MATCH($L42,'Dermal Calcs'!$A$61:$A$67, 0), MATCH(Q$3, 'Dermal Calcs'!$B$60:$H$60, 0)))*$K42*$F42</f>
        <v>8.7029569892473107E-5</v>
      </c>
      <c r="R42" s="630">
        <f>(INDEX('Dermal Calcs'!$B$61:$H$67, MATCH($L42,'Dermal Calcs'!$A$61:$A$67, 0), MATCH(R$3, 'Dermal Calcs'!$B$60:$H$60, 0)))*$K42*$F42</f>
        <v>1.0069444444444442E-4</v>
      </c>
      <c r="S42" s="631">
        <f>(INDEX('Dermal Calcs'!$B$61:$H$67, MATCH($L42,'Dermal Calcs'!$A$61:$A$67, 0), MATCH(S$3, 'Dermal Calcs'!$B$60:$H$60, 0)))*$K42*$F42</f>
        <v>1.1775265957446807E-4</v>
      </c>
      <c r="T42" s="645">
        <f t="shared" si="22"/>
        <v>0</v>
      </c>
      <c r="U42" s="646">
        <f t="shared" si="22"/>
        <v>1.8511260474860337E-2</v>
      </c>
      <c r="V42" s="646">
        <f t="shared" si="22"/>
        <v>2.0242077464788732E-2</v>
      </c>
      <c r="W42" s="646">
        <f t="shared" si="22"/>
        <v>2.5610259433962258E-2</v>
      </c>
      <c r="X42" s="646">
        <f t="shared" si="22"/>
        <v>3.1765793010752684E-2</v>
      </c>
      <c r="Y42" s="646">
        <f t="shared" si="22"/>
        <v>3.6753472222222215E-2</v>
      </c>
      <c r="Z42" s="646">
        <f t="shared" si="22"/>
        <v>4.2979720744680851E-2</v>
      </c>
      <c r="AA42" s="645">
        <f t="shared" si="23"/>
        <v>0</v>
      </c>
      <c r="AB42" s="646">
        <f t="shared" si="23"/>
        <v>5.0715782122905034E-5</v>
      </c>
      <c r="AC42" s="646">
        <f t="shared" si="23"/>
        <v>5.5457746478873236E-5</v>
      </c>
      <c r="AD42" s="646">
        <f t="shared" si="23"/>
        <v>7.0165094339622624E-5</v>
      </c>
      <c r="AE42" s="646">
        <f t="shared" si="23"/>
        <v>8.7029569892473107E-5</v>
      </c>
      <c r="AF42" s="646">
        <f t="shared" si="23"/>
        <v>1.0069444444444442E-4</v>
      </c>
      <c r="AG42" s="646">
        <f t="shared" si="23"/>
        <v>1.1775265957446807E-4</v>
      </c>
      <c r="AH42" s="633">
        <f t="shared" si="24"/>
        <v>0</v>
      </c>
      <c r="AI42" s="634">
        <f t="shared" si="24"/>
        <v>5.0715782122905027E-2</v>
      </c>
      <c r="AJ42" s="634">
        <f t="shared" si="24"/>
        <v>5.5457746478873242E-2</v>
      </c>
      <c r="AK42" s="634">
        <f t="shared" si="24"/>
        <v>7.0165094339622633E-2</v>
      </c>
      <c r="AL42" s="634">
        <f t="shared" si="24"/>
        <v>8.702956989247311E-2</v>
      </c>
      <c r="AM42" s="634">
        <f t="shared" si="24"/>
        <v>0.10069444444444442</v>
      </c>
      <c r="AN42" s="635">
        <f t="shared" si="24"/>
        <v>0.11775265957446809</v>
      </c>
      <c r="AO42" s="634">
        <f t="shared" si="19"/>
        <v>0</v>
      </c>
      <c r="AP42" s="634">
        <f t="shared" si="19"/>
        <v>5.0715782122905034E-2</v>
      </c>
      <c r="AQ42" s="634">
        <f t="shared" si="19"/>
        <v>5.5457746478873235E-2</v>
      </c>
      <c r="AR42" s="634">
        <f t="shared" si="19"/>
        <v>7.0165094339622619E-2</v>
      </c>
      <c r="AS42" s="634">
        <f t="shared" si="19"/>
        <v>8.702956989247311E-2</v>
      </c>
      <c r="AT42" s="634">
        <f t="shared" si="19"/>
        <v>0.10069444444444442</v>
      </c>
      <c r="AU42" s="635">
        <f t="shared" si="19"/>
        <v>0.11775265957446808</v>
      </c>
      <c r="AV42" s="645">
        <f t="shared" si="21"/>
        <v>0</v>
      </c>
      <c r="AW42" s="646">
        <f t="shared" si="7"/>
        <v>5.3086764300889128E-2</v>
      </c>
      <c r="AX42" s="646">
        <f t="shared" si="8"/>
        <v>9.3910442062752064E-2</v>
      </c>
      <c r="AY42" s="645">
        <f t="shared" si="9"/>
        <v>0</v>
      </c>
      <c r="AZ42" s="646">
        <f t="shared" si="10"/>
        <v>5.3086764300889142E-2</v>
      </c>
      <c r="BA42" s="646">
        <f t="shared" si="11"/>
        <v>9.3910442062752064E-2</v>
      </c>
      <c r="BB42" s="636" t="s">
        <v>48</v>
      </c>
      <c r="BC42" s="636">
        <f t="shared" si="14"/>
        <v>112391.04991394148</v>
      </c>
      <c r="BD42" s="636">
        <f t="shared" si="14"/>
        <v>102780.95238095238</v>
      </c>
      <c r="BE42" s="636">
        <f t="shared" si="14"/>
        <v>81236.97478991597</v>
      </c>
      <c r="BF42" s="636">
        <f t="shared" si="14"/>
        <v>65494.980694980703</v>
      </c>
      <c r="BG42" s="636">
        <f t="shared" si="14"/>
        <v>56606.896551724152</v>
      </c>
      <c r="BH42" s="636">
        <f t="shared" si="14"/>
        <v>48406.549971767359</v>
      </c>
      <c r="BI42" s="636" t="s">
        <v>48</v>
      </c>
      <c r="BJ42" s="636">
        <f t="shared" si="17"/>
        <v>112391.04991394146</v>
      </c>
      <c r="BK42" s="636">
        <f t="shared" si="17"/>
        <v>102780.9523809524</v>
      </c>
      <c r="BL42" s="636">
        <f t="shared" si="17"/>
        <v>81236.974789915999</v>
      </c>
      <c r="BM42" s="636">
        <f t="shared" si="17"/>
        <v>65494.980694980703</v>
      </c>
      <c r="BN42" s="636">
        <f t="shared" si="17"/>
        <v>56606.896551724152</v>
      </c>
      <c r="BO42" s="636">
        <f t="shared" si="17"/>
        <v>48406.549971767367</v>
      </c>
    </row>
    <row r="43" spans="1:67" ht="14.65" customHeight="1">
      <c r="A43" s="623" t="str">
        <f>'Compiled Articles'!Q6</f>
        <v>Wallpaper (Installation)</v>
      </c>
      <c r="B43" s="402" t="s">
        <v>296</v>
      </c>
      <c r="C43" s="623" t="s">
        <v>313</v>
      </c>
      <c r="D43" s="615">
        <v>1</v>
      </c>
      <c r="E43" s="149">
        <v>1</v>
      </c>
      <c r="F43" s="149">
        <v>0</v>
      </c>
      <c r="G43" s="652">
        <f>'Compiled Articles'!Q12</f>
        <v>480</v>
      </c>
      <c r="H43" s="246">
        <f>'Compiled Articles'!$Q$11</f>
        <v>1</v>
      </c>
      <c r="I43" s="158">
        <v>1</v>
      </c>
      <c r="J43" s="624">
        <f t="shared" si="15"/>
        <v>6.9999999999999994E-5</v>
      </c>
      <c r="K43" s="625">
        <f t="shared" si="16"/>
        <v>5.5999999999999995E-4</v>
      </c>
      <c r="L43" s="638" t="s">
        <v>685</v>
      </c>
      <c r="M43" s="627">
        <f>(INDEX('Dermal Calcs'!$B$61:$H$67, MATCH($L43,'Dermal Calcs'!$A$61:$A$67, 0), MATCH(M$3, 'Dermal Calcs'!$B$60:$H$60, 0)))*$K43*$D43</f>
        <v>3.468581687612209E-3</v>
      </c>
      <c r="N43" s="628">
        <f>(INDEX('Dermal Calcs'!$B$61:$H$67, MATCH($L43,'Dermal Calcs'!$A$61:$A$67, 0), MATCH(N$3, 'Dermal Calcs'!$B$60:$H$60, 0)))*$K43*$E43</f>
        <v>3.2458100558659221E-3</v>
      </c>
      <c r="O43" s="628">
        <f>(INDEX('Dermal Calcs'!$B$61:$H$67, MATCH($L43,'Dermal Calcs'!$A$61:$A$67, 0), MATCH(O$3, 'Dermal Calcs'!$B$60:$H$60, 0)))*$K43*$E43</f>
        <v>3.5492957746478871E-3</v>
      </c>
      <c r="P43" s="630">
        <f>(INDEX('Dermal Calcs'!$B$61:$H$67, MATCH($L43,'Dermal Calcs'!$A$61:$A$67, 0), MATCH(P$3, 'Dermal Calcs'!$B$60:$H$60, 0)))*$K43*$F43</f>
        <v>0</v>
      </c>
      <c r="Q43" s="630">
        <f>(INDEX('Dermal Calcs'!$B$61:$H$67, MATCH($L43,'Dermal Calcs'!$A$61:$A$67, 0), MATCH(Q$3, 'Dermal Calcs'!$B$60:$H$60, 0)))*$K43*$F43</f>
        <v>0</v>
      </c>
      <c r="R43" s="630">
        <f>(INDEX('Dermal Calcs'!$B$61:$H$67, MATCH($L43,'Dermal Calcs'!$A$61:$A$67, 0), MATCH(R$3, 'Dermal Calcs'!$B$60:$H$60, 0)))*$K43*$F43</f>
        <v>0</v>
      </c>
      <c r="S43" s="631">
        <f>(INDEX('Dermal Calcs'!$B$61:$H$67, MATCH($L43,'Dermal Calcs'!$A$61:$A$67, 0), MATCH(S$3, 'Dermal Calcs'!$B$60:$H$60, 0)))*$K43*$F43</f>
        <v>0</v>
      </c>
      <c r="T43" s="633">
        <f t="shared" si="22"/>
        <v>3.468581687612209E-3</v>
      </c>
      <c r="U43" s="640">
        <f t="shared" si="22"/>
        <v>3.2458100558659221E-3</v>
      </c>
      <c r="V43" s="640">
        <f t="shared" si="22"/>
        <v>3.5492957746478871E-3</v>
      </c>
      <c r="W43" s="640">
        <f t="shared" si="22"/>
        <v>0</v>
      </c>
      <c r="X43" s="640">
        <f t="shared" si="22"/>
        <v>0</v>
      </c>
      <c r="Y43" s="640">
        <f t="shared" si="22"/>
        <v>0</v>
      </c>
      <c r="Z43" s="640">
        <f t="shared" si="22"/>
        <v>0</v>
      </c>
      <c r="AA43" s="659">
        <f t="shared" si="23"/>
        <v>3.468581687612209E-3</v>
      </c>
      <c r="AB43" s="640">
        <f t="shared" si="23"/>
        <v>3.2458100558659221E-3</v>
      </c>
      <c r="AC43" s="640">
        <f t="shared" si="23"/>
        <v>3.5492957746478871E-3</v>
      </c>
      <c r="AD43" s="640">
        <f t="shared" si="23"/>
        <v>0</v>
      </c>
      <c r="AE43" s="640">
        <f t="shared" si="23"/>
        <v>0</v>
      </c>
      <c r="AF43" s="640">
        <f t="shared" si="23"/>
        <v>0</v>
      </c>
      <c r="AG43" s="640">
        <f t="shared" si="23"/>
        <v>0</v>
      </c>
      <c r="AH43" s="633">
        <f t="shared" si="24"/>
        <v>9.5029635277046817E-3</v>
      </c>
      <c r="AI43" s="634">
        <f t="shared" si="24"/>
        <v>8.8926302900436231E-3</v>
      </c>
      <c r="AJ43" s="634">
        <f t="shared" si="24"/>
        <v>9.7240980127339376E-3</v>
      </c>
      <c r="AK43" s="634">
        <f t="shared" si="24"/>
        <v>0</v>
      </c>
      <c r="AL43" s="634">
        <f t="shared" si="24"/>
        <v>0</v>
      </c>
      <c r="AM43" s="634">
        <f t="shared" si="24"/>
        <v>0</v>
      </c>
      <c r="AN43" s="635">
        <f t="shared" si="24"/>
        <v>0</v>
      </c>
      <c r="AO43" s="634">
        <f t="shared" si="19"/>
        <v>3.4685816876122089</v>
      </c>
      <c r="AP43" s="634">
        <f t="shared" si="19"/>
        <v>3.2458100558659222</v>
      </c>
      <c r="AQ43" s="634">
        <f t="shared" si="19"/>
        <v>3.549295774647887</v>
      </c>
      <c r="AR43" s="634">
        <f t="shared" si="19"/>
        <v>0</v>
      </c>
      <c r="AS43" s="634">
        <f t="shared" si="19"/>
        <v>0</v>
      </c>
      <c r="AT43" s="634">
        <f t="shared" si="19"/>
        <v>0</v>
      </c>
      <c r="AU43" s="635">
        <f t="shared" si="19"/>
        <v>0</v>
      </c>
      <c r="AV43" s="659">
        <f t="shared" si="21"/>
        <v>9.5029635277046817E-3</v>
      </c>
      <c r="AW43" s="640">
        <f t="shared" si="7"/>
        <v>9.3083641513887812E-3</v>
      </c>
      <c r="AX43" s="640">
        <f t="shared" si="8"/>
        <v>0</v>
      </c>
      <c r="AY43" s="659">
        <f t="shared" si="9"/>
        <v>3.4685816876122089</v>
      </c>
      <c r="AZ43" s="640">
        <f t="shared" si="10"/>
        <v>3.3975529152569051</v>
      </c>
      <c r="BA43" s="640">
        <f t="shared" si="11"/>
        <v>0</v>
      </c>
      <c r="BB43" s="636">
        <f t="shared" si="14"/>
        <v>599812.88819875766</v>
      </c>
      <c r="BC43" s="636">
        <f t="shared" si="14"/>
        <v>640980.20654044743</v>
      </c>
      <c r="BD43" s="636">
        <f t="shared" si="14"/>
        <v>586172.61904761905</v>
      </c>
      <c r="BE43" s="636" t="s">
        <v>48</v>
      </c>
      <c r="BF43" s="636" t="s">
        <v>48</v>
      </c>
      <c r="BG43" s="636" t="s">
        <v>48</v>
      </c>
      <c r="BH43" s="636" t="s">
        <v>48</v>
      </c>
      <c r="BI43" s="636">
        <f t="shared" si="17"/>
        <v>1643.3229813664593</v>
      </c>
      <c r="BJ43" s="636">
        <f t="shared" si="17"/>
        <v>1756.1101549053353</v>
      </c>
      <c r="BK43" s="636">
        <f t="shared" si="17"/>
        <v>1605.9523809523812</v>
      </c>
      <c r="BL43" s="636" t="s">
        <v>48</v>
      </c>
      <c r="BM43" s="636" t="s">
        <v>48</v>
      </c>
      <c r="BN43" s="636" t="s">
        <v>48</v>
      </c>
      <c r="BO43" s="636" t="s">
        <v>48</v>
      </c>
    </row>
    <row r="44" spans="1:67">
      <c r="A44" s="637"/>
      <c r="B44" s="402" t="s">
        <v>297</v>
      </c>
      <c r="C44" s="637"/>
      <c r="D44" s="615">
        <v>1</v>
      </c>
      <c r="E44" s="149">
        <v>1</v>
      </c>
      <c r="F44" s="149">
        <v>0</v>
      </c>
      <c r="G44" s="652">
        <f>'Compiled Articles'!Q13</f>
        <v>240</v>
      </c>
      <c r="H44" s="246">
        <f>'Compiled Articles'!$Q$11</f>
        <v>1</v>
      </c>
      <c r="I44" s="246">
        <f>I43</f>
        <v>1</v>
      </c>
      <c r="J44" s="624">
        <f t="shared" si="15"/>
        <v>6.9999999999999994E-5</v>
      </c>
      <c r="K44" s="625">
        <f t="shared" si="16"/>
        <v>2.7999999999999998E-4</v>
      </c>
      <c r="L44" s="638" t="s">
        <v>685</v>
      </c>
      <c r="M44" s="627">
        <f>(INDEX('Dermal Calcs'!$B$61:$H$67, MATCH($L44,'Dermal Calcs'!$A$61:$A$67, 0), MATCH(M$3, 'Dermal Calcs'!$B$60:$H$60, 0)))*$K44*$D44</f>
        <v>1.7342908438061045E-3</v>
      </c>
      <c r="N44" s="628">
        <f>(INDEX('Dermal Calcs'!$B$61:$H$67, MATCH($L44,'Dermal Calcs'!$A$61:$A$67, 0), MATCH(N$3, 'Dermal Calcs'!$B$60:$H$60, 0)))*$K44*$E44</f>
        <v>1.6229050279329611E-3</v>
      </c>
      <c r="O44" s="628">
        <f>(INDEX('Dermal Calcs'!$B$61:$H$67, MATCH($L44,'Dermal Calcs'!$A$61:$A$67, 0), MATCH(O$3, 'Dermal Calcs'!$B$60:$H$60, 0)))*$K44*$E44</f>
        <v>1.7746478873239436E-3</v>
      </c>
      <c r="P44" s="630">
        <f>(INDEX('Dermal Calcs'!$B$61:$H$67, MATCH($L44,'Dermal Calcs'!$A$61:$A$67, 0), MATCH(P$3, 'Dermal Calcs'!$B$60:$H$60, 0)))*$K44*$F44</f>
        <v>0</v>
      </c>
      <c r="Q44" s="630">
        <f>(INDEX('Dermal Calcs'!$B$61:$H$67, MATCH($L44,'Dermal Calcs'!$A$61:$A$67, 0), MATCH(Q$3, 'Dermal Calcs'!$B$60:$H$60, 0)))*$K44*$F44</f>
        <v>0</v>
      </c>
      <c r="R44" s="630">
        <f>(INDEX('Dermal Calcs'!$B$61:$H$67, MATCH($L44,'Dermal Calcs'!$A$61:$A$67, 0), MATCH(R$3, 'Dermal Calcs'!$B$60:$H$60, 0)))*$K44*$F44</f>
        <v>0</v>
      </c>
      <c r="S44" s="631">
        <f>(INDEX('Dermal Calcs'!$B$61:$H$67, MATCH($L44,'Dermal Calcs'!$A$61:$A$67, 0), MATCH(S$3, 'Dermal Calcs'!$B$60:$H$60, 0)))*$K44*$F44</f>
        <v>0</v>
      </c>
      <c r="T44" s="633">
        <f t="shared" si="22"/>
        <v>1.7342908438061045E-3</v>
      </c>
      <c r="U44" s="640">
        <f t="shared" si="22"/>
        <v>1.6229050279329611E-3</v>
      </c>
      <c r="V44" s="640">
        <f t="shared" si="22"/>
        <v>1.7746478873239436E-3</v>
      </c>
      <c r="W44" s="640">
        <f t="shared" si="22"/>
        <v>0</v>
      </c>
      <c r="X44" s="640">
        <f t="shared" si="22"/>
        <v>0</v>
      </c>
      <c r="Y44" s="640">
        <f t="shared" si="22"/>
        <v>0</v>
      </c>
      <c r="Z44" s="640">
        <f t="shared" si="22"/>
        <v>0</v>
      </c>
      <c r="AA44" s="659">
        <f t="shared" si="23"/>
        <v>1.7342908438061045E-3</v>
      </c>
      <c r="AB44" s="640">
        <f t="shared" si="23"/>
        <v>1.6229050279329611E-3</v>
      </c>
      <c r="AC44" s="640">
        <f t="shared" si="23"/>
        <v>1.7746478873239436E-3</v>
      </c>
      <c r="AD44" s="640">
        <f t="shared" si="23"/>
        <v>0</v>
      </c>
      <c r="AE44" s="640">
        <f t="shared" si="23"/>
        <v>0</v>
      </c>
      <c r="AF44" s="640">
        <f t="shared" si="23"/>
        <v>0</v>
      </c>
      <c r="AG44" s="640">
        <f t="shared" si="23"/>
        <v>0</v>
      </c>
      <c r="AH44" s="633">
        <f t="shared" si="24"/>
        <v>4.7514817638523409E-3</v>
      </c>
      <c r="AI44" s="634">
        <f t="shared" si="24"/>
        <v>4.4463151450218116E-3</v>
      </c>
      <c r="AJ44" s="634">
        <f t="shared" si="24"/>
        <v>4.8620490063669688E-3</v>
      </c>
      <c r="AK44" s="634">
        <f t="shared" si="24"/>
        <v>0</v>
      </c>
      <c r="AL44" s="634">
        <f t="shared" si="24"/>
        <v>0</v>
      </c>
      <c r="AM44" s="634">
        <f t="shared" si="24"/>
        <v>0</v>
      </c>
      <c r="AN44" s="635">
        <f t="shared" si="24"/>
        <v>0</v>
      </c>
      <c r="AO44" s="634">
        <f t="shared" si="19"/>
        <v>1.7342908438061044</v>
      </c>
      <c r="AP44" s="634">
        <f t="shared" si="19"/>
        <v>1.6229050279329611</v>
      </c>
      <c r="AQ44" s="634">
        <f t="shared" si="19"/>
        <v>1.7746478873239435</v>
      </c>
      <c r="AR44" s="634">
        <f t="shared" si="19"/>
        <v>0</v>
      </c>
      <c r="AS44" s="634">
        <f t="shared" si="19"/>
        <v>0</v>
      </c>
      <c r="AT44" s="634">
        <f t="shared" si="19"/>
        <v>0</v>
      </c>
      <c r="AU44" s="635">
        <f t="shared" si="19"/>
        <v>0</v>
      </c>
      <c r="AV44" s="659">
        <f t="shared" si="21"/>
        <v>4.7514817638523409E-3</v>
      </c>
      <c r="AW44" s="640">
        <f t="shared" si="7"/>
        <v>4.6541820756943906E-3</v>
      </c>
      <c r="AX44" s="640">
        <f t="shared" si="8"/>
        <v>0</v>
      </c>
      <c r="AY44" s="659">
        <f t="shared" si="9"/>
        <v>1.7342908438061044</v>
      </c>
      <c r="AZ44" s="640">
        <f t="shared" si="10"/>
        <v>1.6987764576284525</v>
      </c>
      <c r="BA44" s="640">
        <f t="shared" si="11"/>
        <v>0</v>
      </c>
      <c r="BB44" s="636">
        <f t="shared" si="14"/>
        <v>1199625.7763975153</v>
      </c>
      <c r="BC44" s="636">
        <f t="shared" si="14"/>
        <v>1281960.4130808949</v>
      </c>
      <c r="BD44" s="636">
        <f t="shared" si="14"/>
        <v>1172345.2380952381</v>
      </c>
      <c r="BE44" s="636" t="s">
        <v>48</v>
      </c>
      <c r="BF44" s="636" t="s">
        <v>48</v>
      </c>
      <c r="BG44" s="636" t="s">
        <v>48</v>
      </c>
      <c r="BH44" s="636" t="s">
        <v>48</v>
      </c>
      <c r="BI44" s="636">
        <f t="shared" si="17"/>
        <v>3286.6459627329186</v>
      </c>
      <c r="BJ44" s="636">
        <f t="shared" si="17"/>
        <v>3512.2203098106706</v>
      </c>
      <c r="BK44" s="636">
        <f t="shared" si="17"/>
        <v>3211.9047619047624</v>
      </c>
      <c r="BL44" s="636" t="s">
        <v>48</v>
      </c>
      <c r="BM44" s="636" t="s">
        <v>48</v>
      </c>
      <c r="BN44" s="636" t="s">
        <v>48</v>
      </c>
      <c r="BO44" s="636" t="s">
        <v>48</v>
      </c>
    </row>
    <row r="45" spans="1:67">
      <c r="A45" s="642"/>
      <c r="B45" s="402" t="s">
        <v>298</v>
      </c>
      <c r="C45" s="642"/>
      <c r="D45" s="649">
        <v>1</v>
      </c>
      <c r="E45" s="650">
        <v>1</v>
      </c>
      <c r="F45" s="650">
        <v>0</v>
      </c>
      <c r="G45" s="652">
        <f>'Compiled Articles'!Q14</f>
        <v>120</v>
      </c>
      <c r="H45" s="246">
        <f>'Compiled Articles'!$Q$11</f>
        <v>1</v>
      </c>
      <c r="I45" s="246">
        <f>I43</f>
        <v>1</v>
      </c>
      <c r="J45" s="624">
        <f t="shared" si="15"/>
        <v>6.9999999999999994E-5</v>
      </c>
      <c r="K45" s="625">
        <f t="shared" si="16"/>
        <v>1.3999999999999999E-4</v>
      </c>
      <c r="L45" s="638" t="s">
        <v>685</v>
      </c>
      <c r="M45" s="627">
        <f>(INDEX('Dermal Calcs'!$B$61:$H$67, MATCH($L45,'Dermal Calcs'!$A$61:$A$67, 0), MATCH(M$3, 'Dermal Calcs'!$B$60:$H$60, 0)))*$K45*$D45</f>
        <v>8.6714542190305225E-4</v>
      </c>
      <c r="N45" s="628">
        <f>(INDEX('Dermal Calcs'!$B$61:$H$67, MATCH($L45,'Dermal Calcs'!$A$61:$A$67, 0), MATCH(N$3, 'Dermal Calcs'!$B$60:$H$60, 0)))*$K45*$E45</f>
        <v>8.1145251396648054E-4</v>
      </c>
      <c r="O45" s="628">
        <f>(INDEX('Dermal Calcs'!$B$61:$H$67, MATCH($L45,'Dermal Calcs'!$A$61:$A$67, 0), MATCH(O$3, 'Dermal Calcs'!$B$60:$H$60, 0)))*$K45*$E45</f>
        <v>8.8732394366197178E-4</v>
      </c>
      <c r="P45" s="630">
        <f>(INDEX('Dermal Calcs'!$B$61:$H$67, MATCH($L45,'Dermal Calcs'!$A$61:$A$67, 0), MATCH(P$3, 'Dermal Calcs'!$B$60:$H$60, 0)))*$K45*$F45</f>
        <v>0</v>
      </c>
      <c r="Q45" s="630">
        <f>(INDEX('Dermal Calcs'!$B$61:$H$67, MATCH($L45,'Dermal Calcs'!$A$61:$A$67, 0), MATCH(Q$3, 'Dermal Calcs'!$B$60:$H$60, 0)))*$K45*$F45</f>
        <v>0</v>
      </c>
      <c r="R45" s="630">
        <f>(INDEX('Dermal Calcs'!$B$61:$H$67, MATCH($L45,'Dermal Calcs'!$A$61:$A$67, 0), MATCH(R$3, 'Dermal Calcs'!$B$60:$H$60, 0)))*$K45*$F45</f>
        <v>0</v>
      </c>
      <c r="S45" s="631">
        <f>(INDEX('Dermal Calcs'!$B$61:$H$67, MATCH($L45,'Dermal Calcs'!$A$61:$A$67, 0), MATCH(S$3, 'Dermal Calcs'!$B$60:$H$60, 0)))*$K45*$F45</f>
        <v>0</v>
      </c>
      <c r="T45" s="633">
        <f t="shared" si="22"/>
        <v>8.6714542190305225E-4</v>
      </c>
      <c r="U45" s="640">
        <f t="shared" si="22"/>
        <v>8.1145251396648054E-4</v>
      </c>
      <c r="V45" s="640">
        <f t="shared" si="22"/>
        <v>8.8732394366197178E-4</v>
      </c>
      <c r="W45" s="640">
        <f t="shared" si="22"/>
        <v>0</v>
      </c>
      <c r="X45" s="640">
        <f t="shared" si="22"/>
        <v>0</v>
      </c>
      <c r="Y45" s="640">
        <f t="shared" si="22"/>
        <v>0</v>
      </c>
      <c r="Z45" s="640">
        <f t="shared" si="22"/>
        <v>0</v>
      </c>
      <c r="AA45" s="659">
        <f t="shared" si="23"/>
        <v>8.6714542190305225E-4</v>
      </c>
      <c r="AB45" s="640">
        <f t="shared" si="23"/>
        <v>8.1145251396648054E-4</v>
      </c>
      <c r="AC45" s="640">
        <f t="shared" si="23"/>
        <v>8.8732394366197178E-4</v>
      </c>
      <c r="AD45" s="640">
        <f t="shared" si="23"/>
        <v>0</v>
      </c>
      <c r="AE45" s="640">
        <f t="shared" si="23"/>
        <v>0</v>
      </c>
      <c r="AF45" s="640">
        <f t="shared" si="23"/>
        <v>0</v>
      </c>
      <c r="AG45" s="640">
        <f t="shared" si="23"/>
        <v>0</v>
      </c>
      <c r="AH45" s="633">
        <f t="shared" si="24"/>
        <v>2.3757408819261704E-3</v>
      </c>
      <c r="AI45" s="634">
        <f t="shared" si="24"/>
        <v>2.2231575725109058E-3</v>
      </c>
      <c r="AJ45" s="634">
        <f t="shared" si="24"/>
        <v>2.4310245031834844E-3</v>
      </c>
      <c r="AK45" s="634">
        <f t="shared" si="24"/>
        <v>0</v>
      </c>
      <c r="AL45" s="634">
        <f t="shared" si="24"/>
        <v>0</v>
      </c>
      <c r="AM45" s="634">
        <f t="shared" si="24"/>
        <v>0</v>
      </c>
      <c r="AN45" s="635">
        <f t="shared" si="24"/>
        <v>0</v>
      </c>
      <c r="AO45" s="634">
        <f t="shared" si="19"/>
        <v>0.86714542190305222</v>
      </c>
      <c r="AP45" s="634">
        <f t="shared" si="19"/>
        <v>0.81145251396648055</v>
      </c>
      <c r="AQ45" s="634">
        <f t="shared" si="19"/>
        <v>0.88732394366197176</v>
      </c>
      <c r="AR45" s="634">
        <f t="shared" si="19"/>
        <v>0</v>
      </c>
      <c r="AS45" s="634">
        <f t="shared" si="19"/>
        <v>0</v>
      </c>
      <c r="AT45" s="634">
        <f t="shared" si="19"/>
        <v>0</v>
      </c>
      <c r="AU45" s="635">
        <f t="shared" si="19"/>
        <v>0</v>
      </c>
      <c r="AV45" s="659">
        <f t="shared" si="21"/>
        <v>2.3757408819261704E-3</v>
      </c>
      <c r="AW45" s="640">
        <f t="shared" si="7"/>
        <v>2.3270910378471953E-3</v>
      </c>
      <c r="AX45" s="640">
        <f t="shared" si="8"/>
        <v>0</v>
      </c>
      <c r="AY45" s="659">
        <f t="shared" si="9"/>
        <v>0.86714542190305222</v>
      </c>
      <c r="AZ45" s="640">
        <f t="shared" si="10"/>
        <v>0.84938822881422626</v>
      </c>
      <c r="BA45" s="640">
        <f t="shared" si="11"/>
        <v>0</v>
      </c>
      <c r="BB45" s="636">
        <f t="shared" si="14"/>
        <v>2399251.5527950306</v>
      </c>
      <c r="BC45" s="636">
        <f t="shared" si="14"/>
        <v>2563920.8261617897</v>
      </c>
      <c r="BD45" s="636">
        <f t="shared" si="14"/>
        <v>2344690.4761904762</v>
      </c>
      <c r="BE45" s="636" t="s">
        <v>48</v>
      </c>
      <c r="BF45" s="636" t="s">
        <v>48</v>
      </c>
      <c r="BG45" s="636" t="s">
        <v>48</v>
      </c>
      <c r="BH45" s="636" t="s">
        <v>48</v>
      </c>
      <c r="BI45" s="636">
        <f t="shared" si="17"/>
        <v>6573.2919254658373</v>
      </c>
      <c r="BJ45" s="636">
        <f t="shared" si="17"/>
        <v>7024.4406196213413</v>
      </c>
      <c r="BK45" s="636">
        <f t="shared" si="17"/>
        <v>6423.8095238095248</v>
      </c>
      <c r="BL45" s="636" t="s">
        <v>48</v>
      </c>
      <c r="BM45" s="636" t="s">
        <v>48</v>
      </c>
      <c r="BN45" s="636" t="s">
        <v>48</v>
      </c>
      <c r="BO45" s="636" t="s">
        <v>48</v>
      </c>
    </row>
    <row r="46" spans="1:67" ht="14.65" customHeight="1">
      <c r="A46" s="660" t="str">
        <f>'Compiled Products'!D1</f>
        <v>Sealants for Small Home Repairs</v>
      </c>
      <c r="B46" s="651" t="s">
        <v>296</v>
      </c>
      <c r="C46" s="660" t="s">
        <v>206</v>
      </c>
      <c r="D46" s="615">
        <v>1</v>
      </c>
      <c r="E46" s="149">
        <v>1</v>
      </c>
      <c r="F46" s="149">
        <v>0</v>
      </c>
      <c r="G46" s="652">
        <f>'Compiled Products'!D7</f>
        <v>120</v>
      </c>
      <c r="H46" s="158">
        <f>'Compiled Products'!$D$6</f>
        <v>52</v>
      </c>
      <c r="I46" s="158">
        <f>'Compiled Products'!D5</f>
        <v>1</v>
      </c>
      <c r="J46" s="624">
        <f t="shared" ref="J46:J54" si="25">$B$71</f>
        <v>6.9999999999999994E-5</v>
      </c>
      <c r="K46" s="625">
        <f>J46*G46/60</f>
        <v>1.3999999999999999E-4</v>
      </c>
      <c r="L46" s="626" t="s">
        <v>685</v>
      </c>
      <c r="M46" s="627">
        <f>(INDEX('Dermal Calcs'!$B$61:$H$67, MATCH($L46,'Dermal Calcs'!$A$61:$A$67, 0), MATCH(M$3, 'Dermal Calcs'!$B$60:$H$60, 0)))*$K46*$D46</f>
        <v>8.6714542190305225E-4</v>
      </c>
      <c r="N46" s="628">
        <f>(INDEX('Dermal Calcs'!$B$61:$H$67, MATCH($L46,'Dermal Calcs'!$A$61:$A$67, 0), MATCH(N$3, 'Dermal Calcs'!$B$60:$H$60, 0)))*$K46*$E46</f>
        <v>8.1145251396648054E-4</v>
      </c>
      <c r="O46" s="628">
        <f>(INDEX('Dermal Calcs'!$B$61:$H$67, MATCH($L46,'Dermal Calcs'!$A$61:$A$67, 0), MATCH(O$3, 'Dermal Calcs'!$B$60:$H$60, 0)))*$K46*$E46</f>
        <v>8.8732394366197178E-4</v>
      </c>
      <c r="P46" s="630">
        <f>(INDEX('Dermal Calcs'!$B$61:$H$67, MATCH($L46,'Dermal Calcs'!$A$61:$A$67, 0), MATCH(P$3, 'Dermal Calcs'!$B$60:$H$60, 0)))*$K46*$F46</f>
        <v>0</v>
      </c>
      <c r="Q46" s="630">
        <f>(INDEX('Dermal Calcs'!$B$61:$H$67, MATCH($L46,'Dermal Calcs'!$A$61:$A$67, 0), MATCH(Q$3, 'Dermal Calcs'!$B$60:$H$60, 0)))*$K46*$F46</f>
        <v>0</v>
      </c>
      <c r="R46" s="630">
        <f>(INDEX('Dermal Calcs'!$B$61:$H$67, MATCH($L46,'Dermal Calcs'!$A$61:$A$67, 0), MATCH(R$3, 'Dermal Calcs'!$B$60:$H$60, 0)))*$K46*$F46</f>
        <v>0</v>
      </c>
      <c r="S46" s="631">
        <f>(INDEX('Dermal Calcs'!$B$61:$H$67, MATCH($L46,'Dermal Calcs'!$A$61:$A$67, 0), MATCH(S$3, 'Dermal Calcs'!$B$60:$H$60, 0)))*$K46*$F46</f>
        <v>0</v>
      </c>
      <c r="T46" s="627">
        <f t="shared" si="22"/>
        <v>4.5091561938958719E-2</v>
      </c>
      <c r="U46" s="628">
        <f t="shared" si="22"/>
        <v>4.2195530726256987E-2</v>
      </c>
      <c r="V46" s="628">
        <f t="shared" si="22"/>
        <v>4.6140845070422536E-2</v>
      </c>
      <c r="W46" s="628">
        <f t="shared" si="22"/>
        <v>0</v>
      </c>
      <c r="X46" s="628">
        <f t="shared" si="22"/>
        <v>0</v>
      </c>
      <c r="Y46" s="628">
        <f t="shared" si="22"/>
        <v>0</v>
      </c>
      <c r="Z46" s="628">
        <f t="shared" si="22"/>
        <v>0</v>
      </c>
      <c r="AA46" s="627">
        <f t="shared" si="23"/>
        <v>8.6714542190305225E-4</v>
      </c>
      <c r="AB46" s="628">
        <f t="shared" si="23"/>
        <v>8.1145251396648054E-4</v>
      </c>
      <c r="AC46" s="628">
        <f t="shared" si="23"/>
        <v>8.8732394366197178E-4</v>
      </c>
      <c r="AD46" s="628">
        <f t="shared" si="23"/>
        <v>0</v>
      </c>
      <c r="AE46" s="628">
        <f t="shared" si="23"/>
        <v>0</v>
      </c>
      <c r="AF46" s="628">
        <f t="shared" si="23"/>
        <v>0</v>
      </c>
      <c r="AG46" s="628">
        <f t="shared" si="23"/>
        <v>0</v>
      </c>
      <c r="AH46" s="633">
        <f t="shared" si="24"/>
        <v>0.12353852586016087</v>
      </c>
      <c r="AI46" s="634">
        <f t="shared" si="24"/>
        <v>0.11560419377056709</v>
      </c>
      <c r="AJ46" s="634">
        <f t="shared" si="24"/>
        <v>0.12641327416554118</v>
      </c>
      <c r="AK46" s="634">
        <f t="shared" si="24"/>
        <v>0</v>
      </c>
      <c r="AL46" s="634">
        <f t="shared" si="24"/>
        <v>0</v>
      </c>
      <c r="AM46" s="634">
        <f t="shared" si="24"/>
        <v>0</v>
      </c>
      <c r="AN46" s="635">
        <f t="shared" si="24"/>
        <v>0</v>
      </c>
      <c r="AO46" s="634">
        <f t="shared" ref="AO46:AU54" si="26">AA46*1000</f>
        <v>0.86714542190305222</v>
      </c>
      <c r="AP46" s="634">
        <f t="shared" si="26"/>
        <v>0.81145251396648055</v>
      </c>
      <c r="AQ46" s="634">
        <f t="shared" si="26"/>
        <v>0.88732394366197176</v>
      </c>
      <c r="AR46" s="634">
        <f t="shared" si="26"/>
        <v>0</v>
      </c>
      <c r="AS46" s="634">
        <f t="shared" si="26"/>
        <v>0</v>
      </c>
      <c r="AT46" s="634">
        <f t="shared" si="26"/>
        <v>0</v>
      </c>
      <c r="AU46" s="635">
        <f t="shared" si="26"/>
        <v>0</v>
      </c>
      <c r="AV46" s="627">
        <f t="shared" si="21"/>
        <v>0.12353852586016087</v>
      </c>
      <c r="AW46" s="628">
        <f t="shared" si="7"/>
        <v>0.12100873396805413</v>
      </c>
      <c r="AX46" s="628">
        <f t="shared" si="8"/>
        <v>0</v>
      </c>
      <c r="AY46" s="627">
        <f t="shared" si="9"/>
        <v>0.86714542190305222</v>
      </c>
      <c r="AZ46" s="628">
        <f t="shared" si="10"/>
        <v>0.84938822881422626</v>
      </c>
      <c r="BA46" s="628">
        <f t="shared" si="11"/>
        <v>0</v>
      </c>
      <c r="BB46" s="636">
        <f t="shared" si="14"/>
        <v>46139.452938365968</v>
      </c>
      <c r="BC46" s="636">
        <f t="shared" si="14"/>
        <v>49306.169733880575</v>
      </c>
      <c r="BD46" s="636">
        <f t="shared" si="14"/>
        <v>45090.20146520147</v>
      </c>
      <c r="BE46" s="636" t="s">
        <v>48</v>
      </c>
      <c r="BF46" s="636" t="s">
        <v>48</v>
      </c>
      <c r="BG46" s="636" t="s">
        <v>48</v>
      </c>
      <c r="BH46" s="636" t="s">
        <v>48</v>
      </c>
      <c r="BI46" s="636">
        <f t="shared" si="17"/>
        <v>6573.2919254658373</v>
      </c>
      <c r="BJ46" s="636">
        <f t="shared" si="17"/>
        <v>7024.4406196213413</v>
      </c>
      <c r="BK46" s="636">
        <f t="shared" si="17"/>
        <v>6423.8095238095248</v>
      </c>
      <c r="BL46" s="636" t="s">
        <v>48</v>
      </c>
      <c r="BM46" s="636" t="s">
        <v>48</v>
      </c>
      <c r="BN46" s="636" t="s">
        <v>48</v>
      </c>
      <c r="BO46" s="636" t="s">
        <v>48</v>
      </c>
    </row>
    <row r="47" spans="1:67">
      <c r="A47" s="661"/>
      <c r="B47" s="402" t="s">
        <v>297</v>
      </c>
      <c r="C47" s="661"/>
      <c r="D47" s="615">
        <v>1</v>
      </c>
      <c r="E47" s="149">
        <v>1</v>
      </c>
      <c r="F47" s="149">
        <v>0</v>
      </c>
      <c r="G47" s="652">
        <f>'Compiled Products'!D8</f>
        <v>60</v>
      </c>
      <c r="H47" s="158">
        <f>'Compiled Products'!$D$6</f>
        <v>52</v>
      </c>
      <c r="I47" s="246">
        <f>I46</f>
        <v>1</v>
      </c>
      <c r="J47" s="624">
        <f t="shared" si="25"/>
        <v>6.9999999999999994E-5</v>
      </c>
      <c r="K47" s="625">
        <f t="shared" ref="K47:K54" si="27">J47*G47/60</f>
        <v>6.9999999999999994E-5</v>
      </c>
      <c r="L47" s="638" t="s">
        <v>687</v>
      </c>
      <c r="M47" s="627">
        <f>(INDEX('Dermal Calcs'!$B$61:$H$67, MATCH($L47,'Dermal Calcs'!$A$61:$A$67, 0), MATCH(M$3, 'Dermal Calcs'!$B$60:$H$60, 0)))*$K47*$D47</f>
        <v>2.1678635547576306E-4</v>
      </c>
      <c r="N47" s="628">
        <f>(INDEX('Dermal Calcs'!$B$61:$H$67, MATCH($L47,'Dermal Calcs'!$A$61:$A$67, 0), MATCH(N$3, 'Dermal Calcs'!$B$60:$H$60, 0)))*$K47*$E47</f>
        <v>2.0286312849162013E-4</v>
      </c>
      <c r="O47" s="628">
        <f>(INDEX('Dermal Calcs'!$B$61:$H$67, MATCH($L47,'Dermal Calcs'!$A$61:$A$67, 0), MATCH(O$3, 'Dermal Calcs'!$B$60:$H$60, 0)))*$K47*$E47</f>
        <v>2.2183098591549295E-4</v>
      </c>
      <c r="P47" s="630">
        <f>(INDEX('Dermal Calcs'!$B$61:$H$67, MATCH($L47,'Dermal Calcs'!$A$61:$A$67, 0), MATCH(P$3, 'Dermal Calcs'!$B$60:$H$60, 0)))*$K47*$F47</f>
        <v>0</v>
      </c>
      <c r="Q47" s="630">
        <f>(INDEX('Dermal Calcs'!$B$61:$H$67, MATCH($L47,'Dermal Calcs'!$A$61:$A$67, 0), MATCH(Q$3, 'Dermal Calcs'!$B$60:$H$60, 0)))*$K47*$F47</f>
        <v>0</v>
      </c>
      <c r="R47" s="630">
        <f>(INDEX('Dermal Calcs'!$B$61:$H$67, MATCH($L47,'Dermal Calcs'!$A$61:$A$67, 0), MATCH(R$3, 'Dermal Calcs'!$B$60:$H$60, 0)))*$K47*$F47</f>
        <v>0</v>
      </c>
      <c r="S47" s="631">
        <f>(INDEX('Dermal Calcs'!$B$61:$H$67, MATCH($L47,'Dermal Calcs'!$A$61:$A$67, 0), MATCH(S$3, 'Dermal Calcs'!$B$60:$H$60, 0)))*$K47*$F47</f>
        <v>0</v>
      </c>
      <c r="T47" s="639">
        <f t="shared" si="22"/>
        <v>1.127289048473968E-2</v>
      </c>
      <c r="U47" s="640">
        <f t="shared" si="22"/>
        <v>1.0548882681564247E-2</v>
      </c>
      <c r="V47" s="640">
        <f t="shared" si="22"/>
        <v>1.1535211267605634E-2</v>
      </c>
      <c r="W47" s="640">
        <f t="shared" si="22"/>
        <v>0</v>
      </c>
      <c r="X47" s="640">
        <f t="shared" si="22"/>
        <v>0</v>
      </c>
      <c r="Y47" s="640">
        <f t="shared" si="22"/>
        <v>0</v>
      </c>
      <c r="Z47" s="640">
        <f t="shared" si="22"/>
        <v>0</v>
      </c>
      <c r="AA47" s="639">
        <f t="shared" si="23"/>
        <v>2.1678635547576306E-4</v>
      </c>
      <c r="AB47" s="640">
        <f t="shared" si="23"/>
        <v>2.0286312849162013E-4</v>
      </c>
      <c r="AC47" s="640">
        <f t="shared" si="23"/>
        <v>2.2183098591549295E-4</v>
      </c>
      <c r="AD47" s="640">
        <f t="shared" si="23"/>
        <v>0</v>
      </c>
      <c r="AE47" s="640">
        <f t="shared" si="23"/>
        <v>0</v>
      </c>
      <c r="AF47" s="640">
        <f t="shared" si="23"/>
        <v>0</v>
      </c>
      <c r="AG47" s="640">
        <f t="shared" si="23"/>
        <v>0</v>
      </c>
      <c r="AH47" s="633">
        <f t="shared" si="24"/>
        <v>3.0884631465040217E-2</v>
      </c>
      <c r="AI47" s="634">
        <f t="shared" si="24"/>
        <v>2.8901048442641773E-2</v>
      </c>
      <c r="AJ47" s="634">
        <f t="shared" si="24"/>
        <v>3.1603318541385296E-2</v>
      </c>
      <c r="AK47" s="634">
        <f t="shared" si="24"/>
        <v>0</v>
      </c>
      <c r="AL47" s="634">
        <f t="shared" si="24"/>
        <v>0</v>
      </c>
      <c r="AM47" s="634">
        <f t="shared" si="24"/>
        <v>0</v>
      </c>
      <c r="AN47" s="635">
        <f t="shared" si="24"/>
        <v>0</v>
      </c>
      <c r="AO47" s="634">
        <f t="shared" si="26"/>
        <v>0.21678635547576305</v>
      </c>
      <c r="AP47" s="634">
        <f t="shared" si="26"/>
        <v>0.20286312849162014</v>
      </c>
      <c r="AQ47" s="634">
        <f t="shared" si="26"/>
        <v>0.22183098591549294</v>
      </c>
      <c r="AR47" s="634">
        <f t="shared" si="26"/>
        <v>0</v>
      </c>
      <c r="AS47" s="634">
        <f t="shared" si="26"/>
        <v>0</v>
      </c>
      <c r="AT47" s="634">
        <f t="shared" si="26"/>
        <v>0</v>
      </c>
      <c r="AU47" s="635">
        <f t="shared" si="26"/>
        <v>0</v>
      </c>
      <c r="AV47" s="639">
        <f t="shared" si="21"/>
        <v>3.0884631465040217E-2</v>
      </c>
      <c r="AW47" s="640">
        <f t="shared" si="7"/>
        <v>3.0252183492013533E-2</v>
      </c>
      <c r="AX47" s="640">
        <f t="shared" si="8"/>
        <v>0</v>
      </c>
      <c r="AY47" s="639">
        <f t="shared" si="9"/>
        <v>0.21678635547576305</v>
      </c>
      <c r="AZ47" s="640">
        <f t="shared" si="10"/>
        <v>0.21234705720355657</v>
      </c>
      <c r="BA47" s="640">
        <f t="shared" si="11"/>
        <v>0</v>
      </c>
      <c r="BB47" s="636">
        <f t="shared" si="14"/>
        <v>184557.81175346387</v>
      </c>
      <c r="BC47" s="636">
        <f t="shared" si="14"/>
        <v>197224.6789355223</v>
      </c>
      <c r="BD47" s="636">
        <f t="shared" si="14"/>
        <v>180360.80586080588</v>
      </c>
      <c r="BE47" s="636" t="s">
        <v>48</v>
      </c>
      <c r="BF47" s="636" t="s">
        <v>48</v>
      </c>
      <c r="BG47" s="636" t="s">
        <v>48</v>
      </c>
      <c r="BH47" s="636" t="s">
        <v>48</v>
      </c>
      <c r="BI47" s="636">
        <f t="shared" si="17"/>
        <v>26293.167701863349</v>
      </c>
      <c r="BJ47" s="636">
        <f t="shared" si="17"/>
        <v>28097.762478485365</v>
      </c>
      <c r="BK47" s="636">
        <f t="shared" si="17"/>
        <v>25695.238095238099</v>
      </c>
      <c r="BL47" s="636" t="s">
        <v>48</v>
      </c>
      <c r="BM47" s="636" t="s">
        <v>48</v>
      </c>
      <c r="BN47" s="636" t="s">
        <v>48</v>
      </c>
      <c r="BO47" s="636" t="s">
        <v>48</v>
      </c>
    </row>
    <row r="48" spans="1:67">
      <c r="A48" s="662"/>
      <c r="B48" s="643" t="s">
        <v>298</v>
      </c>
      <c r="C48" s="662"/>
      <c r="D48" s="618">
        <v>1</v>
      </c>
      <c r="E48" s="619">
        <v>1</v>
      </c>
      <c r="F48" s="619">
        <v>0</v>
      </c>
      <c r="G48" s="652">
        <f>'Compiled Products'!D9</f>
        <v>30</v>
      </c>
      <c r="H48" s="158">
        <f>'Compiled Products'!$D$6</f>
        <v>52</v>
      </c>
      <c r="I48" s="246">
        <f>I46</f>
        <v>1</v>
      </c>
      <c r="J48" s="624">
        <f t="shared" si="25"/>
        <v>6.9999999999999994E-5</v>
      </c>
      <c r="K48" s="625">
        <f t="shared" si="27"/>
        <v>3.4999999999999997E-5</v>
      </c>
      <c r="L48" s="644" t="s">
        <v>684</v>
      </c>
      <c r="M48" s="627">
        <f>(INDEX('Dermal Calcs'!$B$61:$H$67, MATCH($L48,'Dermal Calcs'!$A$61:$A$67, 0), MATCH(M$3, 'Dermal Calcs'!$B$60:$H$60, 0)))*$K48*$D48</f>
        <v>4.3357271095152611E-5</v>
      </c>
      <c r="N48" s="628">
        <f>(INDEX('Dermal Calcs'!$B$61:$H$67, MATCH($L48,'Dermal Calcs'!$A$61:$A$67, 0), MATCH(N$3, 'Dermal Calcs'!$B$60:$H$60, 0)))*$K48*$E48</f>
        <v>4.0572625698324028E-5</v>
      </c>
      <c r="O48" s="628">
        <f>(INDEX('Dermal Calcs'!$B$61:$H$67, MATCH($L48,'Dermal Calcs'!$A$61:$A$67, 0), MATCH(O$3, 'Dermal Calcs'!$B$60:$H$60, 0)))*$K48*$E48</f>
        <v>4.4366197183098593E-5</v>
      </c>
      <c r="P48" s="630">
        <f>(INDEX('Dermal Calcs'!$B$61:$H$67, MATCH($L48,'Dermal Calcs'!$A$61:$A$67, 0), MATCH(P$3, 'Dermal Calcs'!$B$60:$H$60, 0)))*$K48*$F48</f>
        <v>0</v>
      </c>
      <c r="Q48" s="630">
        <f>(INDEX('Dermal Calcs'!$B$61:$H$67, MATCH($L48,'Dermal Calcs'!$A$61:$A$67, 0), MATCH(Q$3, 'Dermal Calcs'!$B$60:$H$60, 0)))*$K48*$F48</f>
        <v>0</v>
      </c>
      <c r="R48" s="630">
        <f>(INDEX('Dermal Calcs'!$B$61:$H$67, MATCH($L48,'Dermal Calcs'!$A$61:$A$67, 0), MATCH(R$3, 'Dermal Calcs'!$B$60:$H$60, 0)))*$K48*$F48</f>
        <v>0</v>
      </c>
      <c r="S48" s="631">
        <f>(INDEX('Dermal Calcs'!$B$61:$H$67, MATCH($L48,'Dermal Calcs'!$A$61:$A$67, 0), MATCH(S$3, 'Dermal Calcs'!$B$60:$H$60, 0)))*$K48*$F48</f>
        <v>0</v>
      </c>
      <c r="T48" s="645">
        <f t="shared" si="22"/>
        <v>2.2545780969479359E-3</v>
      </c>
      <c r="U48" s="646">
        <f t="shared" si="22"/>
        <v>2.1097765363128494E-3</v>
      </c>
      <c r="V48" s="646">
        <f t="shared" si="22"/>
        <v>2.3070422535211269E-3</v>
      </c>
      <c r="W48" s="646">
        <f t="shared" si="22"/>
        <v>0</v>
      </c>
      <c r="X48" s="646">
        <f t="shared" si="22"/>
        <v>0</v>
      </c>
      <c r="Y48" s="646">
        <f t="shared" si="22"/>
        <v>0</v>
      </c>
      <c r="Z48" s="646">
        <f t="shared" si="22"/>
        <v>0</v>
      </c>
      <c r="AA48" s="645">
        <f t="shared" si="23"/>
        <v>4.3357271095152611E-5</v>
      </c>
      <c r="AB48" s="646">
        <f t="shared" si="23"/>
        <v>4.0572625698324028E-5</v>
      </c>
      <c r="AC48" s="646">
        <f t="shared" si="23"/>
        <v>4.4366197183098593E-5</v>
      </c>
      <c r="AD48" s="646">
        <f t="shared" si="23"/>
        <v>0</v>
      </c>
      <c r="AE48" s="646">
        <f t="shared" si="23"/>
        <v>0</v>
      </c>
      <c r="AF48" s="646">
        <f t="shared" si="23"/>
        <v>0</v>
      </c>
      <c r="AG48" s="646">
        <f t="shared" si="23"/>
        <v>0</v>
      </c>
      <c r="AH48" s="633">
        <f t="shared" si="24"/>
        <v>6.1769262930080433E-3</v>
      </c>
      <c r="AI48" s="634">
        <f t="shared" si="24"/>
        <v>5.7802096885283547E-3</v>
      </c>
      <c r="AJ48" s="634">
        <f t="shared" si="24"/>
        <v>6.3206637082770601E-3</v>
      </c>
      <c r="AK48" s="634">
        <f t="shared" si="24"/>
        <v>0</v>
      </c>
      <c r="AL48" s="634">
        <f t="shared" si="24"/>
        <v>0</v>
      </c>
      <c r="AM48" s="634">
        <f t="shared" si="24"/>
        <v>0</v>
      </c>
      <c r="AN48" s="635">
        <f t="shared" si="24"/>
        <v>0</v>
      </c>
      <c r="AO48" s="634">
        <f t="shared" si="26"/>
        <v>4.3357271095152611E-2</v>
      </c>
      <c r="AP48" s="634">
        <f t="shared" si="26"/>
        <v>4.0572625698324032E-2</v>
      </c>
      <c r="AQ48" s="634">
        <f t="shared" si="26"/>
        <v>4.4366197183098595E-2</v>
      </c>
      <c r="AR48" s="634">
        <f t="shared" si="26"/>
        <v>0</v>
      </c>
      <c r="AS48" s="634">
        <f t="shared" si="26"/>
        <v>0</v>
      </c>
      <c r="AT48" s="634">
        <f t="shared" si="26"/>
        <v>0</v>
      </c>
      <c r="AU48" s="635">
        <f t="shared" si="26"/>
        <v>0</v>
      </c>
      <c r="AV48" s="645">
        <f t="shared" si="21"/>
        <v>6.1769262930080433E-3</v>
      </c>
      <c r="AW48" s="646">
        <f t="shared" si="7"/>
        <v>6.0504366984027074E-3</v>
      </c>
      <c r="AX48" s="644">
        <f t="shared" si="8"/>
        <v>0</v>
      </c>
      <c r="AY48" s="645">
        <f t="shared" si="9"/>
        <v>4.3357271095152611E-2</v>
      </c>
      <c r="AZ48" s="646">
        <f t="shared" si="10"/>
        <v>4.2469411440711313E-2</v>
      </c>
      <c r="BA48" s="646">
        <f t="shared" si="11"/>
        <v>0</v>
      </c>
      <c r="BB48" s="636">
        <f t="shared" si="14"/>
        <v>922789.05876731942</v>
      </c>
      <c r="BC48" s="636">
        <f t="shared" si="14"/>
        <v>986123.39467761142</v>
      </c>
      <c r="BD48" s="636">
        <f t="shared" si="14"/>
        <v>901804.02930402919</v>
      </c>
      <c r="BE48" s="636" t="s">
        <v>48</v>
      </c>
      <c r="BF48" s="636" t="s">
        <v>48</v>
      </c>
      <c r="BG48" s="636" t="s">
        <v>48</v>
      </c>
      <c r="BH48" s="636" t="s">
        <v>48</v>
      </c>
      <c r="BI48" s="636">
        <f t="shared" si="17"/>
        <v>131465.83850931676</v>
      </c>
      <c r="BJ48" s="636">
        <f t="shared" si="17"/>
        <v>140488.81239242683</v>
      </c>
      <c r="BK48" s="636">
        <f t="shared" si="17"/>
        <v>128476.19047619047</v>
      </c>
      <c r="BL48" s="636" t="s">
        <v>48</v>
      </c>
      <c r="BM48" s="636" t="s">
        <v>48</v>
      </c>
      <c r="BN48" s="636" t="s">
        <v>48</v>
      </c>
      <c r="BO48" s="636" t="s">
        <v>48</v>
      </c>
    </row>
    <row r="49" spans="1:67" ht="14.65" customHeight="1">
      <c r="A49" s="660" t="str">
        <f>'Compiled Products'!E1</f>
        <v>Concrete Adhesive</v>
      </c>
      <c r="B49" s="402" t="s">
        <v>296</v>
      </c>
      <c r="C49" s="660" t="s">
        <v>207</v>
      </c>
      <c r="D49" s="615">
        <v>1</v>
      </c>
      <c r="E49" s="149">
        <v>1</v>
      </c>
      <c r="F49" s="149">
        <v>0</v>
      </c>
      <c r="G49" s="652">
        <f>'Compiled Products'!E7</f>
        <v>120</v>
      </c>
      <c r="H49" s="158">
        <f>'Compiled Products'!$E$6</f>
        <v>2</v>
      </c>
      <c r="I49" s="158">
        <f>'Compiled Products'!E5</f>
        <v>1</v>
      </c>
      <c r="J49" s="624">
        <f t="shared" si="25"/>
        <v>6.9999999999999994E-5</v>
      </c>
      <c r="K49" s="625">
        <f t="shared" si="27"/>
        <v>1.3999999999999999E-4</v>
      </c>
      <c r="L49" s="638" t="s">
        <v>684</v>
      </c>
      <c r="M49" s="627">
        <f>(INDEX('Dermal Calcs'!$B$61:$H$67, MATCH($L49,'Dermal Calcs'!$A$61:$A$67, 0), MATCH(M$3, 'Dermal Calcs'!$B$60:$H$60, 0)))*$K49*$D49</f>
        <v>1.7342908438061045E-4</v>
      </c>
      <c r="N49" s="628">
        <f>(INDEX('Dermal Calcs'!$B$61:$H$67, MATCH($L49,'Dermal Calcs'!$A$61:$A$67, 0), MATCH(N$3, 'Dermal Calcs'!$B$60:$H$60, 0)))*$K49*$E49</f>
        <v>1.6229050279329611E-4</v>
      </c>
      <c r="O49" s="628">
        <f>(INDEX('Dermal Calcs'!$B$61:$H$67, MATCH($L49,'Dermal Calcs'!$A$61:$A$67, 0), MATCH(O$3, 'Dermal Calcs'!$B$60:$H$60, 0)))*$K49*$E49</f>
        <v>1.7746478873239437E-4</v>
      </c>
      <c r="P49" s="630">
        <f>(INDEX('Dermal Calcs'!$B$61:$H$67, MATCH($L49,'Dermal Calcs'!$A$61:$A$67, 0), MATCH(P$3, 'Dermal Calcs'!$B$60:$H$60, 0)))*$K49*$F49</f>
        <v>0</v>
      </c>
      <c r="Q49" s="630">
        <f>(INDEX('Dermal Calcs'!$B$61:$H$67, MATCH($L49,'Dermal Calcs'!$A$61:$A$67, 0), MATCH(Q$3, 'Dermal Calcs'!$B$60:$H$60, 0)))*$K49*$F49</f>
        <v>0</v>
      </c>
      <c r="R49" s="630">
        <f>(INDEX('Dermal Calcs'!$B$61:$H$67, MATCH($L49,'Dermal Calcs'!$A$61:$A$67, 0), MATCH(R$3, 'Dermal Calcs'!$B$60:$H$60, 0)))*$K49*$F49</f>
        <v>0</v>
      </c>
      <c r="S49" s="631">
        <f>(INDEX('Dermal Calcs'!$B$61:$H$67, MATCH($L49,'Dermal Calcs'!$A$61:$A$67, 0), MATCH(S$3, 'Dermal Calcs'!$B$60:$H$60, 0)))*$K49*$F49</f>
        <v>0</v>
      </c>
      <c r="T49" s="633">
        <f t="shared" si="22"/>
        <v>3.4685816876122089E-4</v>
      </c>
      <c r="U49" s="634">
        <f t="shared" si="22"/>
        <v>3.2458100558659223E-4</v>
      </c>
      <c r="V49" s="634">
        <f t="shared" si="22"/>
        <v>3.5492957746478874E-4</v>
      </c>
      <c r="W49" s="640">
        <f t="shared" si="22"/>
        <v>0</v>
      </c>
      <c r="X49" s="640">
        <f t="shared" si="22"/>
        <v>0</v>
      </c>
      <c r="Y49" s="640">
        <f t="shared" si="22"/>
        <v>0</v>
      </c>
      <c r="Z49" s="640">
        <f t="shared" si="22"/>
        <v>0</v>
      </c>
      <c r="AA49" s="659">
        <f t="shared" si="23"/>
        <v>1.7342908438061045E-4</v>
      </c>
      <c r="AB49" s="641">
        <f t="shared" si="23"/>
        <v>1.6229050279329611E-4</v>
      </c>
      <c r="AC49" s="641">
        <f t="shared" si="23"/>
        <v>1.7746478873239437E-4</v>
      </c>
      <c r="AD49" s="640">
        <f t="shared" si="23"/>
        <v>0</v>
      </c>
      <c r="AE49" s="640">
        <f t="shared" si="23"/>
        <v>0</v>
      </c>
      <c r="AF49" s="640">
        <f t="shared" si="23"/>
        <v>0</v>
      </c>
      <c r="AG49" s="640">
        <f t="shared" si="23"/>
        <v>0</v>
      </c>
      <c r="AH49" s="633">
        <f t="shared" si="24"/>
        <v>9.5029635277046822E-4</v>
      </c>
      <c r="AI49" s="634">
        <f t="shared" si="24"/>
        <v>8.8926302900436233E-4</v>
      </c>
      <c r="AJ49" s="634">
        <f t="shared" si="24"/>
        <v>9.7240980127339381E-4</v>
      </c>
      <c r="AK49" s="634">
        <f t="shared" si="24"/>
        <v>0</v>
      </c>
      <c r="AL49" s="634">
        <f t="shared" si="24"/>
        <v>0</v>
      </c>
      <c r="AM49" s="634">
        <f t="shared" si="24"/>
        <v>0</v>
      </c>
      <c r="AN49" s="635">
        <f t="shared" si="24"/>
        <v>0</v>
      </c>
      <c r="AO49" s="634">
        <f t="shared" si="26"/>
        <v>0.17342908438061044</v>
      </c>
      <c r="AP49" s="634">
        <f t="shared" si="26"/>
        <v>0.16229050279329613</v>
      </c>
      <c r="AQ49" s="634">
        <f t="shared" si="26"/>
        <v>0.17746478873239438</v>
      </c>
      <c r="AR49" s="634">
        <f t="shared" si="26"/>
        <v>0</v>
      </c>
      <c r="AS49" s="634">
        <f t="shared" si="26"/>
        <v>0</v>
      </c>
      <c r="AT49" s="634">
        <f t="shared" si="26"/>
        <v>0</v>
      </c>
      <c r="AU49" s="635">
        <f t="shared" si="26"/>
        <v>0</v>
      </c>
      <c r="AV49" s="659">
        <f t="shared" si="21"/>
        <v>9.5029635277046822E-4</v>
      </c>
      <c r="AW49" s="641">
        <f t="shared" si="7"/>
        <v>9.3083641513887812E-4</v>
      </c>
      <c r="AX49" s="640">
        <f t="shared" si="8"/>
        <v>0</v>
      </c>
      <c r="AY49" s="659">
        <f t="shared" si="9"/>
        <v>0.17342908438061044</v>
      </c>
      <c r="AZ49" s="641">
        <f t="shared" si="10"/>
        <v>0.16987764576284525</v>
      </c>
      <c r="BA49" s="640">
        <f t="shared" si="11"/>
        <v>0</v>
      </c>
      <c r="BB49" s="636">
        <f t="shared" si="14"/>
        <v>5998128.8819875764</v>
      </c>
      <c r="BC49" s="636">
        <f t="shared" si="14"/>
        <v>6409802.0654044738</v>
      </c>
      <c r="BD49" s="636">
        <f t="shared" si="14"/>
        <v>5861726.1904761903</v>
      </c>
      <c r="BE49" s="636" t="s">
        <v>48</v>
      </c>
      <c r="BF49" s="636" t="s">
        <v>48</v>
      </c>
      <c r="BG49" s="636" t="s">
        <v>48</v>
      </c>
      <c r="BH49" s="636" t="s">
        <v>48</v>
      </c>
      <c r="BI49" s="636">
        <f t="shared" si="17"/>
        <v>32866.45962732919</v>
      </c>
      <c r="BJ49" s="636">
        <f t="shared" si="17"/>
        <v>35122.203098106707</v>
      </c>
      <c r="BK49" s="636">
        <f t="shared" si="17"/>
        <v>32119.047619047618</v>
      </c>
      <c r="BL49" s="636" t="s">
        <v>48</v>
      </c>
      <c r="BM49" s="636" t="s">
        <v>48</v>
      </c>
      <c r="BN49" s="636" t="s">
        <v>48</v>
      </c>
      <c r="BO49" s="636" t="s">
        <v>48</v>
      </c>
    </row>
    <row r="50" spans="1:67">
      <c r="A50" s="661"/>
      <c r="B50" s="402" t="s">
        <v>297</v>
      </c>
      <c r="C50" s="661"/>
      <c r="D50" s="615">
        <v>1</v>
      </c>
      <c r="E50" s="149">
        <v>1</v>
      </c>
      <c r="F50" s="149">
        <v>0</v>
      </c>
      <c r="G50" s="652">
        <f>'Compiled Products'!E8</f>
        <v>60</v>
      </c>
      <c r="H50" s="246">
        <f>H49</f>
        <v>2</v>
      </c>
      <c r="I50" s="246">
        <f>I49</f>
        <v>1</v>
      </c>
      <c r="J50" s="624">
        <f t="shared" si="25"/>
        <v>6.9999999999999994E-5</v>
      </c>
      <c r="K50" s="625">
        <f t="shared" si="27"/>
        <v>6.9999999999999994E-5</v>
      </c>
      <c r="L50" s="638" t="s">
        <v>684</v>
      </c>
      <c r="M50" s="627">
        <f>(INDEX('Dermal Calcs'!$B$61:$H$67, MATCH($L50,'Dermal Calcs'!$A$61:$A$67, 0), MATCH(M$3, 'Dermal Calcs'!$B$60:$H$60, 0)))*$K50*$D50</f>
        <v>8.6714542190305223E-5</v>
      </c>
      <c r="N50" s="628">
        <f>(INDEX('Dermal Calcs'!$B$61:$H$67, MATCH($L50,'Dermal Calcs'!$A$61:$A$67, 0), MATCH(N$3, 'Dermal Calcs'!$B$60:$H$60, 0)))*$K50*$E50</f>
        <v>8.1145251396648056E-5</v>
      </c>
      <c r="O50" s="628">
        <f>(INDEX('Dermal Calcs'!$B$61:$H$67, MATCH($L50,'Dermal Calcs'!$A$61:$A$67, 0), MATCH(O$3, 'Dermal Calcs'!$B$60:$H$60, 0)))*$K50*$E50</f>
        <v>8.8732394366197186E-5</v>
      </c>
      <c r="P50" s="630">
        <f>(INDEX('Dermal Calcs'!$B$61:$H$67, MATCH($L50,'Dermal Calcs'!$A$61:$A$67, 0), MATCH(P$3, 'Dermal Calcs'!$B$60:$H$60, 0)))*$K50*$F50</f>
        <v>0</v>
      </c>
      <c r="Q50" s="630">
        <f>(INDEX('Dermal Calcs'!$B$61:$H$67, MATCH($L50,'Dermal Calcs'!$A$61:$A$67, 0), MATCH(Q$3, 'Dermal Calcs'!$B$60:$H$60, 0)))*$K50*$F50</f>
        <v>0</v>
      </c>
      <c r="R50" s="630">
        <f>(INDEX('Dermal Calcs'!$B$61:$H$67, MATCH($L50,'Dermal Calcs'!$A$61:$A$67, 0), MATCH(R$3, 'Dermal Calcs'!$B$60:$H$60, 0)))*$K50*$F50</f>
        <v>0</v>
      </c>
      <c r="S50" s="631">
        <f>(INDEX('Dermal Calcs'!$B$61:$H$67, MATCH($L50,'Dermal Calcs'!$A$61:$A$67, 0), MATCH(S$3, 'Dermal Calcs'!$B$60:$H$60, 0)))*$K50*$F50</f>
        <v>0</v>
      </c>
      <c r="T50" s="633">
        <f t="shared" si="22"/>
        <v>1.7342908438061045E-4</v>
      </c>
      <c r="U50" s="634">
        <f t="shared" si="22"/>
        <v>1.6229050279329611E-4</v>
      </c>
      <c r="V50" s="634">
        <f t="shared" si="22"/>
        <v>1.7746478873239437E-4</v>
      </c>
      <c r="W50" s="640">
        <f t="shared" si="22"/>
        <v>0</v>
      </c>
      <c r="X50" s="640">
        <f t="shared" si="22"/>
        <v>0</v>
      </c>
      <c r="Y50" s="640">
        <f t="shared" si="22"/>
        <v>0</v>
      </c>
      <c r="Z50" s="640">
        <f t="shared" si="22"/>
        <v>0</v>
      </c>
      <c r="AA50" s="659">
        <f t="shared" si="23"/>
        <v>8.6714542190305223E-5</v>
      </c>
      <c r="AB50" s="641">
        <f t="shared" si="23"/>
        <v>8.1145251396648056E-5</v>
      </c>
      <c r="AC50" s="641">
        <f t="shared" si="23"/>
        <v>8.8732394366197186E-5</v>
      </c>
      <c r="AD50" s="640">
        <f t="shared" si="23"/>
        <v>0</v>
      </c>
      <c r="AE50" s="640">
        <f t="shared" si="23"/>
        <v>0</v>
      </c>
      <c r="AF50" s="640">
        <f t="shared" si="23"/>
        <v>0</v>
      </c>
      <c r="AG50" s="640">
        <f t="shared" si="23"/>
        <v>0</v>
      </c>
      <c r="AH50" s="633">
        <f t="shared" si="24"/>
        <v>4.7514817638523411E-4</v>
      </c>
      <c r="AI50" s="634">
        <f t="shared" si="24"/>
        <v>4.4463151450218117E-4</v>
      </c>
      <c r="AJ50" s="634">
        <f t="shared" si="24"/>
        <v>4.862049006366969E-4</v>
      </c>
      <c r="AK50" s="634">
        <f t="shared" si="24"/>
        <v>0</v>
      </c>
      <c r="AL50" s="634">
        <f t="shared" si="24"/>
        <v>0</v>
      </c>
      <c r="AM50" s="634">
        <f t="shared" si="24"/>
        <v>0</v>
      </c>
      <c r="AN50" s="635">
        <f t="shared" si="24"/>
        <v>0</v>
      </c>
      <c r="AO50" s="634">
        <f t="shared" si="26"/>
        <v>8.6714542190305222E-2</v>
      </c>
      <c r="AP50" s="634">
        <f t="shared" si="26"/>
        <v>8.1145251396648063E-2</v>
      </c>
      <c r="AQ50" s="634">
        <f t="shared" si="26"/>
        <v>8.873239436619719E-2</v>
      </c>
      <c r="AR50" s="634">
        <f t="shared" si="26"/>
        <v>0</v>
      </c>
      <c r="AS50" s="634">
        <f t="shared" si="26"/>
        <v>0</v>
      </c>
      <c r="AT50" s="634">
        <f t="shared" si="26"/>
        <v>0</v>
      </c>
      <c r="AU50" s="635">
        <f t="shared" si="26"/>
        <v>0</v>
      </c>
      <c r="AV50" s="659">
        <f t="shared" si="21"/>
        <v>4.7514817638523411E-4</v>
      </c>
      <c r="AW50" s="641">
        <f t="shared" si="7"/>
        <v>4.6541820756943906E-4</v>
      </c>
      <c r="AX50" s="640">
        <f t="shared" si="8"/>
        <v>0</v>
      </c>
      <c r="AY50" s="659">
        <f t="shared" si="9"/>
        <v>8.6714542190305222E-2</v>
      </c>
      <c r="AZ50" s="641">
        <f t="shared" si="10"/>
        <v>8.4938822881422626E-2</v>
      </c>
      <c r="BA50" s="640">
        <f t="shared" si="11"/>
        <v>0</v>
      </c>
      <c r="BB50" s="636">
        <f t="shared" si="14"/>
        <v>11996257.763975153</v>
      </c>
      <c r="BC50" s="636">
        <f t="shared" si="14"/>
        <v>12819604.130808948</v>
      </c>
      <c r="BD50" s="636">
        <f t="shared" si="14"/>
        <v>11723452.380952381</v>
      </c>
      <c r="BE50" s="636" t="s">
        <v>48</v>
      </c>
      <c r="BF50" s="636" t="s">
        <v>48</v>
      </c>
      <c r="BG50" s="636" t="s">
        <v>48</v>
      </c>
      <c r="BH50" s="636" t="s">
        <v>48</v>
      </c>
      <c r="BI50" s="636">
        <f t="shared" si="17"/>
        <v>65732.91925465838</v>
      </c>
      <c r="BJ50" s="636">
        <f t="shared" si="17"/>
        <v>70244.406196213415</v>
      </c>
      <c r="BK50" s="636">
        <f t="shared" si="17"/>
        <v>64238.095238095237</v>
      </c>
      <c r="BL50" s="636" t="s">
        <v>48</v>
      </c>
      <c r="BM50" s="636" t="s">
        <v>48</v>
      </c>
      <c r="BN50" s="636" t="s">
        <v>48</v>
      </c>
      <c r="BO50" s="636" t="s">
        <v>48</v>
      </c>
    </row>
    <row r="51" spans="1:67">
      <c r="A51" s="662"/>
      <c r="B51" s="402" t="s">
        <v>298</v>
      </c>
      <c r="C51" s="662"/>
      <c r="D51" s="618">
        <v>1</v>
      </c>
      <c r="E51" s="619">
        <v>1</v>
      </c>
      <c r="F51" s="619">
        <v>0</v>
      </c>
      <c r="G51" s="652">
        <f>'Compiled Products'!E9</f>
        <v>30</v>
      </c>
      <c r="H51" s="246">
        <f>H49</f>
        <v>2</v>
      </c>
      <c r="I51" s="246">
        <f>I49</f>
        <v>1</v>
      </c>
      <c r="J51" s="624">
        <f t="shared" si="25"/>
        <v>6.9999999999999994E-5</v>
      </c>
      <c r="K51" s="663">
        <f t="shared" si="27"/>
        <v>3.4999999999999997E-5</v>
      </c>
      <c r="L51" s="664" t="s">
        <v>684</v>
      </c>
      <c r="M51" s="628">
        <f>(INDEX('Dermal Calcs'!$B$61:$H$67, MATCH($L51,'Dermal Calcs'!$A$61:$A$67, 0), MATCH(M$3, 'Dermal Calcs'!$B$60:$H$60, 0)))*$K51*$D51</f>
        <v>4.3357271095152611E-5</v>
      </c>
      <c r="N51" s="628">
        <f>(INDEX('Dermal Calcs'!$B$61:$H$67, MATCH($L51,'Dermal Calcs'!$A$61:$A$67, 0), MATCH(N$3, 'Dermal Calcs'!$B$60:$H$60, 0)))*$K51*$E51</f>
        <v>4.0572625698324028E-5</v>
      </c>
      <c r="O51" s="628">
        <f>(INDEX('Dermal Calcs'!$B$61:$H$67, MATCH($L51,'Dermal Calcs'!$A$61:$A$67, 0), MATCH(O$3, 'Dermal Calcs'!$B$60:$H$60, 0)))*$K51*$E51</f>
        <v>4.4366197183098593E-5</v>
      </c>
      <c r="P51" s="630">
        <f>(INDEX('Dermal Calcs'!$B$61:$H$67, MATCH($L51,'Dermal Calcs'!$A$61:$A$67, 0), MATCH(P$3, 'Dermal Calcs'!$B$60:$H$60, 0)))*$K51*$F51</f>
        <v>0</v>
      </c>
      <c r="Q51" s="630">
        <f>(INDEX('Dermal Calcs'!$B$61:$H$67, MATCH($L51,'Dermal Calcs'!$A$61:$A$67, 0), MATCH(Q$3, 'Dermal Calcs'!$B$60:$H$60, 0)))*$K51*$F51</f>
        <v>0</v>
      </c>
      <c r="R51" s="630">
        <f>(INDEX('Dermal Calcs'!$B$61:$H$67, MATCH($L51,'Dermal Calcs'!$A$61:$A$67, 0), MATCH(R$3, 'Dermal Calcs'!$B$60:$H$60, 0)))*$K51*$F51</f>
        <v>0</v>
      </c>
      <c r="S51" s="631">
        <f>(INDEX('Dermal Calcs'!$B$61:$H$67, MATCH($L51,'Dermal Calcs'!$A$61:$A$67, 0), MATCH(S$3, 'Dermal Calcs'!$B$60:$H$60, 0)))*$K51*$F51</f>
        <v>0</v>
      </c>
      <c r="T51" s="633">
        <f t="shared" si="22"/>
        <v>8.6714542190305223E-5</v>
      </c>
      <c r="U51" s="634">
        <f t="shared" si="22"/>
        <v>8.1145251396648056E-5</v>
      </c>
      <c r="V51" s="634">
        <f t="shared" si="22"/>
        <v>8.8732394366197186E-5</v>
      </c>
      <c r="W51" s="640">
        <f t="shared" si="22"/>
        <v>0</v>
      </c>
      <c r="X51" s="640">
        <f t="shared" si="22"/>
        <v>0</v>
      </c>
      <c r="Y51" s="640">
        <f t="shared" si="22"/>
        <v>0</v>
      </c>
      <c r="Z51" s="640">
        <f t="shared" si="22"/>
        <v>0</v>
      </c>
      <c r="AA51" s="659">
        <f t="shared" si="23"/>
        <v>4.3357271095152611E-5</v>
      </c>
      <c r="AB51" s="641">
        <f t="shared" si="23"/>
        <v>4.0572625698324028E-5</v>
      </c>
      <c r="AC51" s="641">
        <f t="shared" si="23"/>
        <v>4.4366197183098593E-5</v>
      </c>
      <c r="AD51" s="640">
        <f t="shared" si="23"/>
        <v>0</v>
      </c>
      <c r="AE51" s="640">
        <f t="shared" si="23"/>
        <v>0</v>
      </c>
      <c r="AF51" s="640">
        <f t="shared" si="23"/>
        <v>0</v>
      </c>
      <c r="AG51" s="640">
        <f t="shared" si="23"/>
        <v>0</v>
      </c>
      <c r="AH51" s="633">
        <f t="shared" si="24"/>
        <v>2.3757408819261705E-4</v>
      </c>
      <c r="AI51" s="634">
        <f t="shared" si="24"/>
        <v>2.2231575725109058E-4</v>
      </c>
      <c r="AJ51" s="634">
        <f t="shared" si="24"/>
        <v>2.4310245031834845E-4</v>
      </c>
      <c r="AK51" s="634">
        <f t="shared" si="24"/>
        <v>0</v>
      </c>
      <c r="AL51" s="634">
        <f t="shared" si="24"/>
        <v>0</v>
      </c>
      <c r="AM51" s="634">
        <f t="shared" si="24"/>
        <v>0</v>
      </c>
      <c r="AN51" s="635">
        <f t="shared" si="24"/>
        <v>0</v>
      </c>
      <c r="AO51" s="634">
        <f t="shared" si="26"/>
        <v>4.3357271095152611E-2</v>
      </c>
      <c r="AP51" s="634">
        <f t="shared" si="26"/>
        <v>4.0572625698324032E-2</v>
      </c>
      <c r="AQ51" s="634">
        <f t="shared" si="26"/>
        <v>4.4366197183098595E-2</v>
      </c>
      <c r="AR51" s="634">
        <f t="shared" si="26"/>
        <v>0</v>
      </c>
      <c r="AS51" s="634">
        <f t="shared" si="26"/>
        <v>0</v>
      </c>
      <c r="AT51" s="634">
        <f t="shared" si="26"/>
        <v>0</v>
      </c>
      <c r="AU51" s="635">
        <f t="shared" si="26"/>
        <v>0</v>
      </c>
      <c r="AV51" s="659">
        <f t="shared" si="21"/>
        <v>2.3757408819261705E-4</v>
      </c>
      <c r="AW51" s="641">
        <f t="shared" si="7"/>
        <v>2.3270910378471953E-4</v>
      </c>
      <c r="AX51" s="640">
        <f t="shared" si="8"/>
        <v>0</v>
      </c>
      <c r="AY51" s="659">
        <f t="shared" si="9"/>
        <v>4.3357271095152611E-2</v>
      </c>
      <c r="AZ51" s="641">
        <f t="shared" si="10"/>
        <v>4.2469411440711313E-2</v>
      </c>
      <c r="BA51" s="640">
        <f t="shared" si="11"/>
        <v>0</v>
      </c>
      <c r="BB51" s="636">
        <f t="shared" si="14"/>
        <v>23992515.527950305</v>
      </c>
      <c r="BC51" s="636">
        <f t="shared" si="14"/>
        <v>25639208.261617895</v>
      </c>
      <c r="BD51" s="636">
        <f t="shared" si="14"/>
        <v>23446904.761904761</v>
      </c>
      <c r="BE51" s="636" t="s">
        <v>48</v>
      </c>
      <c r="BF51" s="636" t="s">
        <v>48</v>
      </c>
      <c r="BG51" s="636" t="s">
        <v>48</v>
      </c>
      <c r="BH51" s="636" t="s">
        <v>48</v>
      </c>
      <c r="BI51" s="636">
        <f t="shared" si="17"/>
        <v>131465.83850931676</v>
      </c>
      <c r="BJ51" s="636">
        <f t="shared" si="17"/>
        <v>140488.81239242683</v>
      </c>
      <c r="BK51" s="636">
        <f t="shared" si="17"/>
        <v>128476.19047619047</v>
      </c>
      <c r="BL51" s="636" t="s">
        <v>48</v>
      </c>
      <c r="BM51" s="636" t="s">
        <v>48</v>
      </c>
      <c r="BN51" s="636" t="s">
        <v>48</v>
      </c>
      <c r="BO51" s="636" t="s">
        <v>48</v>
      </c>
    </row>
    <row r="52" spans="1:67" ht="14.65" customHeight="1">
      <c r="A52" s="660" t="str">
        <f>'Compiled Products'!F1</f>
        <v>Flooring Adhesive</v>
      </c>
      <c r="B52" s="651" t="s">
        <v>296</v>
      </c>
      <c r="C52" s="660" t="s">
        <v>208</v>
      </c>
      <c r="D52" s="615">
        <v>1</v>
      </c>
      <c r="E52" s="149">
        <v>1</v>
      </c>
      <c r="F52" s="149">
        <v>0</v>
      </c>
      <c r="G52" s="652">
        <f>'Compiled Products'!F7</f>
        <v>480</v>
      </c>
      <c r="H52" s="158">
        <f>'Compiled Products'!$F$6</f>
        <v>2</v>
      </c>
      <c r="I52" s="158">
        <f>'Compiled Products'!F5</f>
        <v>1</v>
      </c>
      <c r="J52" s="624">
        <f t="shared" si="25"/>
        <v>6.9999999999999994E-5</v>
      </c>
      <c r="K52" s="625">
        <f t="shared" si="27"/>
        <v>5.5999999999999995E-4</v>
      </c>
      <c r="L52" s="638" t="s">
        <v>684</v>
      </c>
      <c r="M52" s="627">
        <f>(INDEX('Dermal Calcs'!$B$61:$H$67, MATCH($L52,'Dermal Calcs'!$A$61:$A$67, 0), MATCH(M$3, 'Dermal Calcs'!$B$60:$H$60, 0)))*$K52*$D52</f>
        <v>6.9371633752244178E-4</v>
      </c>
      <c r="N52" s="628">
        <f>(INDEX('Dermal Calcs'!$B$61:$H$67, MATCH($L52,'Dermal Calcs'!$A$61:$A$67, 0), MATCH(N$3, 'Dermal Calcs'!$B$60:$H$60, 0)))*$K52*$E52</f>
        <v>6.4916201117318445E-4</v>
      </c>
      <c r="O52" s="628">
        <f>(INDEX('Dermal Calcs'!$B$61:$H$67, MATCH($L52,'Dermal Calcs'!$A$61:$A$67, 0), MATCH(O$3, 'Dermal Calcs'!$B$60:$H$60, 0)))*$K52*$E52</f>
        <v>7.0985915492957749E-4</v>
      </c>
      <c r="P52" s="630">
        <f>(INDEX('Dermal Calcs'!$B$61:$H$67, MATCH($L52,'Dermal Calcs'!$A$61:$A$67, 0), MATCH(P$3, 'Dermal Calcs'!$B$60:$H$60, 0)))*$K52*$F52</f>
        <v>0</v>
      </c>
      <c r="Q52" s="630">
        <f>(INDEX('Dermal Calcs'!$B$61:$H$67, MATCH($L52,'Dermal Calcs'!$A$61:$A$67, 0), MATCH(Q$3, 'Dermal Calcs'!$B$60:$H$60, 0)))*$K52*$F52</f>
        <v>0</v>
      </c>
      <c r="R52" s="630">
        <f>(INDEX('Dermal Calcs'!$B$61:$H$67, MATCH($L52,'Dermal Calcs'!$A$61:$A$67, 0), MATCH(R$3, 'Dermal Calcs'!$B$60:$H$60, 0)))*$K52*$F52</f>
        <v>0</v>
      </c>
      <c r="S52" s="631">
        <f>(INDEX('Dermal Calcs'!$B$61:$H$67, MATCH($L52,'Dermal Calcs'!$A$61:$A$67, 0), MATCH(S$3, 'Dermal Calcs'!$B$60:$H$60, 0)))*$K52*$F52</f>
        <v>0</v>
      </c>
      <c r="T52" s="627">
        <f t="shared" ref="T52:Z54" si="28">M52*$H52</f>
        <v>1.3874326750448836E-3</v>
      </c>
      <c r="U52" s="628">
        <f t="shared" si="28"/>
        <v>1.2983240223463689E-3</v>
      </c>
      <c r="V52" s="628">
        <f t="shared" si="28"/>
        <v>1.419718309859155E-3</v>
      </c>
      <c r="W52" s="632">
        <f t="shared" si="28"/>
        <v>0</v>
      </c>
      <c r="X52" s="632">
        <f t="shared" si="28"/>
        <v>0</v>
      </c>
      <c r="Y52" s="632">
        <f t="shared" si="28"/>
        <v>0</v>
      </c>
      <c r="Z52" s="632">
        <f t="shared" si="28"/>
        <v>0</v>
      </c>
      <c r="AA52" s="627">
        <f t="shared" ref="AA52:AG54" si="29">M52*$I52</f>
        <v>6.9371633752244178E-4</v>
      </c>
      <c r="AB52" s="628">
        <f t="shared" si="29"/>
        <v>6.4916201117318445E-4</v>
      </c>
      <c r="AC52" s="628">
        <f t="shared" si="29"/>
        <v>7.0985915492957749E-4</v>
      </c>
      <c r="AD52" s="632">
        <f t="shared" si="29"/>
        <v>0</v>
      </c>
      <c r="AE52" s="632">
        <f t="shared" si="29"/>
        <v>0</v>
      </c>
      <c r="AF52" s="632">
        <f t="shared" si="29"/>
        <v>0</v>
      </c>
      <c r="AG52" s="632">
        <f t="shared" si="29"/>
        <v>0</v>
      </c>
      <c r="AH52" s="633">
        <f t="shared" si="24"/>
        <v>3.8011854110818729E-3</v>
      </c>
      <c r="AI52" s="634">
        <f t="shared" si="24"/>
        <v>3.5570521160174493E-3</v>
      </c>
      <c r="AJ52" s="634">
        <f t="shared" si="24"/>
        <v>3.8896392050935752E-3</v>
      </c>
      <c r="AK52" s="634">
        <f t="shared" si="24"/>
        <v>0</v>
      </c>
      <c r="AL52" s="634">
        <f t="shared" si="24"/>
        <v>0</v>
      </c>
      <c r="AM52" s="634">
        <f t="shared" si="24"/>
        <v>0</v>
      </c>
      <c r="AN52" s="635">
        <f t="shared" si="24"/>
        <v>0</v>
      </c>
      <c r="AO52" s="634">
        <f t="shared" si="26"/>
        <v>0.69371633752244177</v>
      </c>
      <c r="AP52" s="634">
        <f t="shared" si="26"/>
        <v>0.64916201117318451</v>
      </c>
      <c r="AQ52" s="634">
        <f t="shared" si="26"/>
        <v>0.70985915492957752</v>
      </c>
      <c r="AR52" s="634">
        <f t="shared" si="26"/>
        <v>0</v>
      </c>
      <c r="AS52" s="634">
        <f t="shared" si="26"/>
        <v>0</v>
      </c>
      <c r="AT52" s="634">
        <f t="shared" si="26"/>
        <v>0</v>
      </c>
      <c r="AU52" s="635">
        <f t="shared" si="26"/>
        <v>0</v>
      </c>
      <c r="AV52" s="627">
        <f t="shared" si="21"/>
        <v>3.8011854110818729E-3</v>
      </c>
      <c r="AW52" s="628">
        <f t="shared" si="7"/>
        <v>3.7233456605555125E-3</v>
      </c>
      <c r="AX52" s="632">
        <f t="shared" si="8"/>
        <v>0</v>
      </c>
      <c r="AY52" s="627">
        <f t="shared" si="9"/>
        <v>0.69371633752244177</v>
      </c>
      <c r="AZ52" s="628">
        <f t="shared" si="10"/>
        <v>0.67951058305138101</v>
      </c>
      <c r="BA52" s="632">
        <f t="shared" si="11"/>
        <v>0</v>
      </c>
      <c r="BB52" s="636">
        <f t="shared" si="14"/>
        <v>1499532.2204968941</v>
      </c>
      <c r="BC52" s="636">
        <f t="shared" si="14"/>
        <v>1602450.5163511185</v>
      </c>
      <c r="BD52" s="636">
        <f t="shared" si="14"/>
        <v>1465431.5476190476</v>
      </c>
      <c r="BE52" s="636" t="s">
        <v>48</v>
      </c>
      <c r="BF52" s="636" t="s">
        <v>48</v>
      </c>
      <c r="BG52" s="636" t="s">
        <v>48</v>
      </c>
      <c r="BH52" s="636" t="s">
        <v>48</v>
      </c>
      <c r="BI52" s="636">
        <f t="shared" si="17"/>
        <v>8216.6149068322975</v>
      </c>
      <c r="BJ52" s="636">
        <f t="shared" si="17"/>
        <v>8780.5507745266768</v>
      </c>
      <c r="BK52" s="636">
        <f t="shared" si="17"/>
        <v>8029.7619047619046</v>
      </c>
      <c r="BL52" s="636" t="s">
        <v>48</v>
      </c>
      <c r="BM52" s="636" t="s">
        <v>48</v>
      </c>
      <c r="BN52" s="636" t="s">
        <v>48</v>
      </c>
      <c r="BO52" s="636" t="s">
        <v>48</v>
      </c>
    </row>
    <row r="53" spans="1:67">
      <c r="A53" s="661"/>
      <c r="B53" s="402" t="s">
        <v>297</v>
      </c>
      <c r="C53" s="661"/>
      <c r="D53" s="615">
        <v>1</v>
      </c>
      <c r="E53" s="149">
        <v>1</v>
      </c>
      <c r="F53" s="149">
        <v>0</v>
      </c>
      <c r="G53" s="652">
        <f>'Compiled Products'!F8</f>
        <v>240</v>
      </c>
      <c r="H53" s="246">
        <f>H52</f>
        <v>2</v>
      </c>
      <c r="I53" s="246">
        <f>I52</f>
        <v>1</v>
      </c>
      <c r="J53" s="624">
        <f t="shared" si="25"/>
        <v>6.9999999999999994E-5</v>
      </c>
      <c r="K53" s="625">
        <f t="shared" si="27"/>
        <v>2.7999999999999998E-4</v>
      </c>
      <c r="L53" s="638" t="s">
        <v>684</v>
      </c>
      <c r="M53" s="627">
        <f>(INDEX('Dermal Calcs'!$B$61:$H$67, MATCH($L53,'Dermal Calcs'!$A$61:$A$67, 0), MATCH(M$3, 'Dermal Calcs'!$B$60:$H$60, 0)))*$K53*$D53</f>
        <v>3.4685816876122089E-4</v>
      </c>
      <c r="N53" s="628">
        <f>(INDEX('Dermal Calcs'!$B$61:$H$67, MATCH($L53,'Dermal Calcs'!$A$61:$A$67, 0), MATCH(N$3, 'Dermal Calcs'!$B$60:$H$60, 0)))*$K53*$E53</f>
        <v>3.2458100558659223E-4</v>
      </c>
      <c r="O53" s="628">
        <f>(INDEX('Dermal Calcs'!$B$61:$H$67, MATCH($L53,'Dermal Calcs'!$A$61:$A$67, 0), MATCH(O$3, 'Dermal Calcs'!$B$60:$H$60, 0)))*$K53*$E53</f>
        <v>3.5492957746478874E-4</v>
      </c>
      <c r="P53" s="630">
        <f>(INDEX('Dermal Calcs'!$B$61:$H$67, MATCH($L53,'Dermal Calcs'!$A$61:$A$67, 0), MATCH(P$3, 'Dermal Calcs'!$B$60:$H$60, 0)))*$K53*$F53</f>
        <v>0</v>
      </c>
      <c r="Q53" s="630">
        <f>(INDEX('Dermal Calcs'!$B$61:$H$67, MATCH($L53,'Dermal Calcs'!$A$61:$A$67, 0), MATCH(Q$3, 'Dermal Calcs'!$B$60:$H$60, 0)))*$K53*$F53</f>
        <v>0</v>
      </c>
      <c r="R53" s="630">
        <f>(INDEX('Dermal Calcs'!$B$61:$H$67, MATCH($L53,'Dermal Calcs'!$A$61:$A$67, 0), MATCH(R$3, 'Dermal Calcs'!$B$60:$H$60, 0)))*$K53*$F53</f>
        <v>0</v>
      </c>
      <c r="S53" s="631">
        <f>(INDEX('Dermal Calcs'!$B$61:$H$67, MATCH($L53,'Dermal Calcs'!$A$61:$A$67, 0), MATCH(S$3, 'Dermal Calcs'!$B$60:$H$60, 0)))*$K53*$F53</f>
        <v>0</v>
      </c>
      <c r="T53" s="639">
        <f t="shared" si="28"/>
        <v>6.9371633752244178E-4</v>
      </c>
      <c r="U53" s="640">
        <f t="shared" si="28"/>
        <v>6.4916201117318445E-4</v>
      </c>
      <c r="V53" s="640">
        <f t="shared" si="28"/>
        <v>7.0985915492957749E-4</v>
      </c>
      <c r="W53" s="641">
        <f t="shared" si="28"/>
        <v>0</v>
      </c>
      <c r="X53" s="641">
        <f t="shared" si="28"/>
        <v>0</v>
      </c>
      <c r="Y53" s="641">
        <f t="shared" si="28"/>
        <v>0</v>
      </c>
      <c r="Z53" s="641">
        <f t="shared" si="28"/>
        <v>0</v>
      </c>
      <c r="AA53" s="639">
        <f t="shared" si="29"/>
        <v>3.4685816876122089E-4</v>
      </c>
      <c r="AB53" s="640">
        <f t="shared" si="29"/>
        <v>3.2458100558659223E-4</v>
      </c>
      <c r="AC53" s="640">
        <f t="shared" si="29"/>
        <v>3.5492957746478874E-4</v>
      </c>
      <c r="AD53" s="641">
        <f t="shared" si="29"/>
        <v>0</v>
      </c>
      <c r="AE53" s="641">
        <f t="shared" si="29"/>
        <v>0</v>
      </c>
      <c r="AF53" s="641">
        <f t="shared" si="29"/>
        <v>0</v>
      </c>
      <c r="AG53" s="641">
        <f t="shared" si="29"/>
        <v>0</v>
      </c>
      <c r="AH53" s="633">
        <f t="shared" si="24"/>
        <v>1.9005927055409364E-3</v>
      </c>
      <c r="AI53" s="634">
        <f t="shared" si="24"/>
        <v>1.7785260580087247E-3</v>
      </c>
      <c r="AJ53" s="634">
        <f t="shared" si="24"/>
        <v>1.9448196025467876E-3</v>
      </c>
      <c r="AK53" s="634">
        <f t="shared" si="24"/>
        <v>0</v>
      </c>
      <c r="AL53" s="634">
        <f t="shared" si="24"/>
        <v>0</v>
      </c>
      <c r="AM53" s="634">
        <f t="shared" si="24"/>
        <v>0</v>
      </c>
      <c r="AN53" s="635">
        <f t="shared" si="24"/>
        <v>0</v>
      </c>
      <c r="AO53" s="634">
        <f t="shared" si="26"/>
        <v>0.34685816876122089</v>
      </c>
      <c r="AP53" s="634">
        <f t="shared" si="26"/>
        <v>0.32458100558659225</v>
      </c>
      <c r="AQ53" s="634">
        <f t="shared" si="26"/>
        <v>0.35492957746478876</v>
      </c>
      <c r="AR53" s="634">
        <f t="shared" si="26"/>
        <v>0</v>
      </c>
      <c r="AS53" s="634">
        <f t="shared" si="26"/>
        <v>0</v>
      </c>
      <c r="AT53" s="634">
        <f t="shared" si="26"/>
        <v>0</v>
      </c>
      <c r="AU53" s="635">
        <f t="shared" si="26"/>
        <v>0</v>
      </c>
      <c r="AV53" s="639">
        <f t="shared" si="21"/>
        <v>1.9005927055409364E-3</v>
      </c>
      <c r="AW53" s="640">
        <f t="shared" si="7"/>
        <v>1.8616728302777562E-3</v>
      </c>
      <c r="AX53" s="641">
        <f t="shared" si="8"/>
        <v>0</v>
      </c>
      <c r="AY53" s="639">
        <f t="shared" si="9"/>
        <v>0.34685816876122089</v>
      </c>
      <c r="AZ53" s="640">
        <f t="shared" si="10"/>
        <v>0.33975529152569051</v>
      </c>
      <c r="BA53" s="641">
        <f t="shared" si="11"/>
        <v>0</v>
      </c>
      <c r="BB53" s="636">
        <f t="shared" si="14"/>
        <v>2999064.4409937882</v>
      </c>
      <c r="BC53" s="636">
        <f t="shared" si="14"/>
        <v>3204901.0327022369</v>
      </c>
      <c r="BD53" s="636">
        <f t="shared" si="14"/>
        <v>2930863.0952380951</v>
      </c>
      <c r="BE53" s="636" t="s">
        <v>48</v>
      </c>
      <c r="BF53" s="636" t="s">
        <v>48</v>
      </c>
      <c r="BG53" s="636" t="s">
        <v>48</v>
      </c>
      <c r="BH53" s="636" t="s">
        <v>48</v>
      </c>
      <c r="BI53" s="636">
        <f t="shared" si="17"/>
        <v>16433.229813664595</v>
      </c>
      <c r="BJ53" s="636">
        <f t="shared" si="17"/>
        <v>17561.101549053354</v>
      </c>
      <c r="BK53" s="636">
        <f t="shared" si="17"/>
        <v>16059.523809523809</v>
      </c>
      <c r="BL53" s="636" t="s">
        <v>48</v>
      </c>
      <c r="BM53" s="636" t="s">
        <v>48</v>
      </c>
      <c r="BN53" s="636" t="s">
        <v>48</v>
      </c>
      <c r="BO53" s="636" t="s">
        <v>48</v>
      </c>
    </row>
    <row r="54" spans="1:67">
      <c r="A54" s="662"/>
      <c r="B54" s="643" t="s">
        <v>298</v>
      </c>
      <c r="C54" s="662"/>
      <c r="D54" s="618">
        <v>1</v>
      </c>
      <c r="E54" s="619">
        <v>1</v>
      </c>
      <c r="F54" s="619">
        <v>0</v>
      </c>
      <c r="G54" s="652">
        <f>'Compiled Products'!F9</f>
        <v>120</v>
      </c>
      <c r="H54" s="246">
        <f>H52</f>
        <v>2</v>
      </c>
      <c r="I54" s="246">
        <f>I52</f>
        <v>1</v>
      </c>
      <c r="J54" s="624">
        <f t="shared" si="25"/>
        <v>6.9999999999999994E-5</v>
      </c>
      <c r="K54" s="625">
        <f t="shared" si="27"/>
        <v>1.3999999999999999E-4</v>
      </c>
      <c r="L54" s="664" t="s">
        <v>684</v>
      </c>
      <c r="M54" s="627">
        <f>(INDEX('Dermal Calcs'!$B$61:$H$67, MATCH($L54,'Dermal Calcs'!$A$61:$A$67, 0), MATCH(M$3, 'Dermal Calcs'!$B$60:$H$60, 0)))*$K54*$D54</f>
        <v>1.7342908438061045E-4</v>
      </c>
      <c r="N54" s="628">
        <f>(INDEX('Dermal Calcs'!$B$61:$H$67, MATCH($L54,'Dermal Calcs'!$A$61:$A$67, 0), MATCH(N$3, 'Dermal Calcs'!$B$60:$H$60, 0)))*$K54*$E54</f>
        <v>1.6229050279329611E-4</v>
      </c>
      <c r="O54" s="628">
        <f>(INDEX('Dermal Calcs'!$B$61:$H$67, MATCH($L54,'Dermal Calcs'!$A$61:$A$67, 0), MATCH(O$3, 'Dermal Calcs'!$B$60:$H$60, 0)))*$K54*$E54</f>
        <v>1.7746478873239437E-4</v>
      </c>
      <c r="P54" s="630">
        <f>(INDEX('Dermal Calcs'!$B$61:$H$67, MATCH($L54,'Dermal Calcs'!$A$61:$A$67, 0), MATCH(P$3, 'Dermal Calcs'!$B$60:$H$60, 0)))*$K54*$F54</f>
        <v>0</v>
      </c>
      <c r="Q54" s="630">
        <f>(INDEX('Dermal Calcs'!$B$61:$H$67, MATCH($L54,'Dermal Calcs'!$A$61:$A$67, 0), MATCH(Q$3, 'Dermal Calcs'!$B$60:$H$60, 0)))*$K54*$F54</f>
        <v>0</v>
      </c>
      <c r="R54" s="630">
        <f>(INDEX('Dermal Calcs'!$B$61:$H$67, MATCH($L54,'Dermal Calcs'!$A$61:$A$67, 0), MATCH(R$3, 'Dermal Calcs'!$B$60:$H$60, 0)))*$K54*$F54</f>
        <v>0</v>
      </c>
      <c r="S54" s="631">
        <f>(INDEX('Dermal Calcs'!$B$61:$H$67, MATCH($L54,'Dermal Calcs'!$A$61:$A$67, 0), MATCH(S$3, 'Dermal Calcs'!$B$60:$H$60, 0)))*$K54*$F54</f>
        <v>0</v>
      </c>
      <c r="T54" s="645">
        <f t="shared" si="28"/>
        <v>3.4685816876122089E-4</v>
      </c>
      <c r="U54" s="646">
        <f t="shared" si="28"/>
        <v>3.2458100558659223E-4</v>
      </c>
      <c r="V54" s="646">
        <f t="shared" si="28"/>
        <v>3.5492957746478874E-4</v>
      </c>
      <c r="W54" s="647">
        <f t="shared" si="28"/>
        <v>0</v>
      </c>
      <c r="X54" s="647">
        <f t="shared" si="28"/>
        <v>0</v>
      </c>
      <c r="Y54" s="647">
        <f t="shared" si="28"/>
        <v>0</v>
      </c>
      <c r="Z54" s="647">
        <f t="shared" si="28"/>
        <v>0</v>
      </c>
      <c r="AA54" s="645">
        <f t="shared" si="29"/>
        <v>1.7342908438061045E-4</v>
      </c>
      <c r="AB54" s="646">
        <f t="shared" si="29"/>
        <v>1.6229050279329611E-4</v>
      </c>
      <c r="AC54" s="646">
        <f t="shared" si="29"/>
        <v>1.7746478873239437E-4</v>
      </c>
      <c r="AD54" s="647">
        <f t="shared" si="29"/>
        <v>0</v>
      </c>
      <c r="AE54" s="647">
        <f t="shared" si="29"/>
        <v>0</v>
      </c>
      <c r="AF54" s="647">
        <f t="shared" si="29"/>
        <v>0</v>
      </c>
      <c r="AG54" s="647">
        <f t="shared" si="29"/>
        <v>0</v>
      </c>
      <c r="AH54" s="633">
        <f t="shared" si="24"/>
        <v>9.5029635277046822E-4</v>
      </c>
      <c r="AI54" s="634">
        <f t="shared" si="24"/>
        <v>8.8926302900436233E-4</v>
      </c>
      <c r="AJ54" s="634">
        <f t="shared" si="24"/>
        <v>9.7240980127339381E-4</v>
      </c>
      <c r="AK54" s="634">
        <f t="shared" si="24"/>
        <v>0</v>
      </c>
      <c r="AL54" s="634">
        <f t="shared" si="24"/>
        <v>0</v>
      </c>
      <c r="AM54" s="634">
        <f t="shared" si="24"/>
        <v>0</v>
      </c>
      <c r="AN54" s="635">
        <f t="shared" si="24"/>
        <v>0</v>
      </c>
      <c r="AO54" s="634">
        <f t="shared" si="26"/>
        <v>0.17342908438061044</v>
      </c>
      <c r="AP54" s="634">
        <f t="shared" si="26"/>
        <v>0.16229050279329613</v>
      </c>
      <c r="AQ54" s="634">
        <f t="shared" si="26"/>
        <v>0.17746478873239438</v>
      </c>
      <c r="AR54" s="634">
        <f t="shared" si="26"/>
        <v>0</v>
      </c>
      <c r="AS54" s="634">
        <f t="shared" si="26"/>
        <v>0</v>
      </c>
      <c r="AT54" s="634">
        <f t="shared" si="26"/>
        <v>0</v>
      </c>
      <c r="AU54" s="635">
        <f t="shared" si="26"/>
        <v>0</v>
      </c>
      <c r="AV54" s="645">
        <f t="shared" si="21"/>
        <v>9.5029635277046822E-4</v>
      </c>
      <c r="AW54" s="646">
        <f t="shared" si="7"/>
        <v>9.3083641513887812E-4</v>
      </c>
      <c r="AX54" s="647">
        <f t="shared" si="8"/>
        <v>0</v>
      </c>
      <c r="AY54" s="645">
        <f t="shared" si="9"/>
        <v>0.17342908438061044</v>
      </c>
      <c r="AZ54" s="646">
        <f t="shared" si="10"/>
        <v>0.16987764576284525</v>
      </c>
      <c r="BA54" s="647">
        <f t="shared" si="11"/>
        <v>0</v>
      </c>
      <c r="BB54" s="636">
        <f t="shared" si="14"/>
        <v>5998128.8819875764</v>
      </c>
      <c r="BC54" s="636">
        <f t="shared" si="14"/>
        <v>6409802.0654044738</v>
      </c>
      <c r="BD54" s="636">
        <f t="shared" si="14"/>
        <v>5861726.1904761903</v>
      </c>
      <c r="BE54" s="636" t="s">
        <v>48</v>
      </c>
      <c r="BF54" s="636" t="s">
        <v>48</v>
      </c>
      <c r="BG54" s="636" t="s">
        <v>48</v>
      </c>
      <c r="BH54" s="636" t="s">
        <v>48</v>
      </c>
      <c r="BI54" s="636">
        <f t="shared" si="17"/>
        <v>32866.45962732919</v>
      </c>
      <c r="BJ54" s="636">
        <f t="shared" si="17"/>
        <v>35122.203098106707</v>
      </c>
      <c r="BK54" s="636">
        <f t="shared" si="17"/>
        <v>32119.047619047618</v>
      </c>
      <c r="BL54" s="636" t="s">
        <v>48</v>
      </c>
      <c r="BM54" s="636" t="s">
        <v>48</v>
      </c>
      <c r="BN54" s="636" t="s">
        <v>48</v>
      </c>
      <c r="BO54" s="636" t="s">
        <v>48</v>
      </c>
    </row>
    <row r="56" spans="1:67" ht="18.5">
      <c r="A56" s="597" t="s">
        <v>689</v>
      </c>
      <c r="B56" s="152"/>
      <c r="C56" s="209"/>
      <c r="D56" s="152"/>
      <c r="E56" s="152"/>
      <c r="F56" s="152"/>
      <c r="G56" s="152"/>
      <c r="H56" s="152"/>
    </row>
    <row r="57" spans="1:67">
      <c r="A57" s="152"/>
      <c r="B57" s="152"/>
      <c r="C57" s="209"/>
      <c r="D57" s="152"/>
      <c r="E57" s="152"/>
      <c r="F57" s="152"/>
      <c r="G57" s="152"/>
      <c r="H57" s="152"/>
    </row>
    <row r="58" spans="1:67">
      <c r="A58" s="665" t="s">
        <v>690</v>
      </c>
      <c r="B58" s="665"/>
      <c r="C58" s="665"/>
      <c r="D58" s="665"/>
      <c r="E58" s="665"/>
      <c r="F58" s="665"/>
      <c r="G58" s="665"/>
      <c r="H58" s="665"/>
    </row>
    <row r="59" spans="1:67">
      <c r="A59" s="666" t="s">
        <v>672</v>
      </c>
      <c r="B59" s="666" t="s">
        <v>691</v>
      </c>
      <c r="C59" s="666"/>
      <c r="D59" s="666"/>
      <c r="E59" s="666"/>
      <c r="F59" s="666"/>
      <c r="G59" s="666"/>
      <c r="H59" s="666"/>
    </row>
    <row r="60" spans="1:67" ht="58">
      <c r="A60" s="666"/>
      <c r="B60" s="569" t="s">
        <v>673</v>
      </c>
      <c r="C60" s="569" t="s">
        <v>674</v>
      </c>
      <c r="D60" s="569" t="s">
        <v>675</v>
      </c>
      <c r="E60" s="569" t="s">
        <v>676</v>
      </c>
      <c r="F60" s="569" t="s">
        <v>677</v>
      </c>
      <c r="G60" s="569" t="s">
        <v>678</v>
      </c>
      <c r="H60" s="569" t="s">
        <v>679</v>
      </c>
      <c r="P60" s="667"/>
    </row>
    <row r="61" spans="1:67">
      <c r="A61" s="372" t="s">
        <v>692</v>
      </c>
      <c r="B61" s="373">
        <v>245.8872238302861</v>
      </c>
      <c r="C61" s="373">
        <v>256.98324022346372</v>
      </c>
      <c r="D61" s="373">
        <v>279.92957746478874</v>
      </c>
      <c r="E61" s="373">
        <v>339.62264150943395</v>
      </c>
      <c r="F61" s="373">
        <v>408.60215053763437</v>
      </c>
      <c r="G61" s="373">
        <v>452.38095238095241</v>
      </c>
      <c r="H61" s="373">
        <v>509.57446808510639</v>
      </c>
    </row>
    <row r="62" spans="1:67" ht="29">
      <c r="A62" s="372" t="s">
        <v>683</v>
      </c>
      <c r="B62" s="373">
        <v>122.94361191514305</v>
      </c>
      <c r="C62" s="373">
        <v>128.49162011173186</v>
      </c>
      <c r="D62" s="373">
        <v>139.96478873239437</v>
      </c>
      <c r="E62" s="373">
        <v>169.81132075471697</v>
      </c>
      <c r="F62" s="373">
        <v>204.30107526881719</v>
      </c>
      <c r="G62" s="373">
        <v>226.1904761904762</v>
      </c>
      <c r="H62" s="373">
        <v>254.78723404255319</v>
      </c>
    </row>
    <row r="63" spans="1:67" ht="29">
      <c r="A63" s="372" t="s">
        <v>686</v>
      </c>
      <c r="B63" s="373">
        <v>15.753352507969074</v>
      </c>
      <c r="C63" s="373">
        <v>14.909217877094973</v>
      </c>
      <c r="D63" s="373">
        <v>16.37323943661972</v>
      </c>
      <c r="E63" s="373">
        <v>21.069182389937108</v>
      </c>
      <c r="F63" s="373">
        <v>27.419354838709676</v>
      </c>
      <c r="G63" s="373">
        <v>35.019841269841265</v>
      </c>
      <c r="H63" s="373">
        <v>81.941489361702125</v>
      </c>
    </row>
    <row r="64" spans="1:67" ht="29">
      <c r="A64" s="372" t="s">
        <v>688</v>
      </c>
      <c r="B64" s="373">
        <v>12.387791741472176</v>
      </c>
      <c r="C64" s="373">
        <v>11.592178770949722</v>
      </c>
      <c r="D64" s="373">
        <v>12.67605633802817</v>
      </c>
      <c r="E64" s="373">
        <v>16.037735849056602</v>
      </c>
      <c r="F64" s="373">
        <v>19.892473118279568</v>
      </c>
      <c r="G64" s="373">
        <v>23.015873015873012</v>
      </c>
      <c r="H64" s="373">
        <v>26.914893617021278</v>
      </c>
    </row>
    <row r="65" spans="1:15" ht="29">
      <c r="A65" s="372" t="s">
        <v>685</v>
      </c>
      <c r="B65" s="373">
        <v>6.193895870736088</v>
      </c>
      <c r="C65" s="373">
        <v>5.7960893854748612</v>
      </c>
      <c r="D65" s="373">
        <v>6.3380281690140849</v>
      </c>
      <c r="E65" s="373">
        <v>8.0188679245283012</v>
      </c>
      <c r="F65" s="373">
        <v>9.9462365591397841</v>
      </c>
      <c r="G65" s="373">
        <v>11.507936507936506</v>
      </c>
      <c r="H65" s="373">
        <v>13.457446808510639</v>
      </c>
    </row>
    <row r="66" spans="1:15" ht="29">
      <c r="A66" s="372" t="s">
        <v>687</v>
      </c>
      <c r="B66" s="373">
        <v>3.096947935368044</v>
      </c>
      <c r="C66" s="373">
        <v>2.8980446927374306</v>
      </c>
      <c r="D66" s="373">
        <v>3.1690140845070425</v>
      </c>
      <c r="E66" s="373">
        <v>4.0094339622641506</v>
      </c>
      <c r="F66" s="373">
        <v>4.9731182795698921</v>
      </c>
      <c r="G66" s="373">
        <v>5.7539682539682531</v>
      </c>
      <c r="H66" s="373">
        <v>6.7287234042553195</v>
      </c>
    </row>
    <row r="67" spans="1:15" ht="29">
      <c r="A67" s="372" t="s">
        <v>684</v>
      </c>
      <c r="B67" s="373">
        <v>1.2387791741472176</v>
      </c>
      <c r="C67" s="373">
        <v>1.1592178770949724</v>
      </c>
      <c r="D67" s="373">
        <v>1.267605633802817</v>
      </c>
      <c r="E67" s="373">
        <v>1.6037735849056602</v>
      </c>
      <c r="F67" s="373">
        <v>1.989247311827957</v>
      </c>
      <c r="G67" s="373">
        <v>2.3015873015873014</v>
      </c>
      <c r="H67" s="373">
        <v>2.691489361702128</v>
      </c>
    </row>
    <row r="68" spans="1:15">
      <c r="A68" s="668"/>
      <c r="B68" s="383"/>
      <c r="C68" s="383"/>
      <c r="D68" s="383"/>
      <c r="E68" s="383"/>
      <c r="F68" s="383"/>
    </row>
    <row r="69" spans="1:15">
      <c r="A69" s="669" t="s">
        <v>693</v>
      </c>
      <c r="B69" s="669"/>
      <c r="C69" s="669"/>
      <c r="D69" s="383"/>
      <c r="E69" s="670" t="s">
        <v>694</v>
      </c>
      <c r="F69" s="671"/>
      <c r="G69" s="671"/>
      <c r="H69" s="672"/>
      <c r="I69" s="673"/>
      <c r="J69" s="673"/>
    </row>
    <row r="70" spans="1:15">
      <c r="A70" s="674" t="s">
        <v>695</v>
      </c>
      <c r="B70" s="666" t="s">
        <v>696</v>
      </c>
      <c r="C70" s="666"/>
      <c r="D70" s="383"/>
      <c r="E70" s="554"/>
      <c r="F70" s="554"/>
      <c r="G70" s="673"/>
      <c r="H70" s="673"/>
      <c r="I70" s="673"/>
      <c r="J70" s="673"/>
    </row>
    <row r="71" spans="1:15" ht="43.5">
      <c r="A71" s="675" t="s">
        <v>697</v>
      </c>
      <c r="B71" s="676">
        <v>6.9999999999999994E-5</v>
      </c>
      <c r="C71" s="676"/>
      <c r="D71" s="383"/>
      <c r="E71" s="554"/>
      <c r="F71" s="554"/>
      <c r="G71" s="673"/>
      <c r="H71" s="673"/>
      <c r="I71" s="673"/>
      <c r="J71" s="673"/>
    </row>
    <row r="72" spans="1:15" ht="45.5">
      <c r="A72" s="498" t="s">
        <v>1463</v>
      </c>
      <c r="B72" s="676">
        <v>2.4299999999999999E-2</v>
      </c>
      <c r="C72" s="676"/>
      <c r="D72" s="152"/>
      <c r="E72" s="677" t="s">
        <v>698</v>
      </c>
      <c r="F72" s="677" t="s">
        <v>699</v>
      </c>
      <c r="G72" s="677" t="s">
        <v>700</v>
      </c>
      <c r="H72" s="677" t="s">
        <v>701</v>
      </c>
      <c r="I72" s="673" t="s">
        <v>702</v>
      </c>
      <c r="J72" s="673"/>
    </row>
    <row r="73" spans="1:15" ht="29">
      <c r="A73" s="678" t="s">
        <v>1462</v>
      </c>
      <c r="B73" s="679">
        <v>6.9999999999999994E-5</v>
      </c>
      <c r="C73" s="679"/>
      <c r="D73" s="152"/>
      <c r="E73" s="680">
        <v>1.6E-2</v>
      </c>
      <c r="F73" s="681">
        <v>3.8</v>
      </c>
      <c r="G73" s="681">
        <v>0.9</v>
      </c>
      <c r="H73" s="682">
        <f>6.2*0.001</f>
        <v>6.2000000000000006E-3</v>
      </c>
      <c r="I73" s="94">
        <f>2*G73*E73*H73</f>
        <v>1.7856000000000003E-4</v>
      </c>
      <c r="J73" s="673"/>
    </row>
    <row r="77" spans="1:15">
      <c r="F77" s="683" t="s">
        <v>703</v>
      </c>
      <c r="G77" s="684"/>
      <c r="H77" s="684"/>
      <c r="I77" s="684"/>
      <c r="J77" s="684"/>
      <c r="K77" s="684"/>
      <c r="L77" s="685"/>
      <c r="N77" s="30" t="s">
        <v>712</v>
      </c>
    </row>
    <row r="78" spans="1:15" ht="16.5">
      <c r="F78" s="686" t="s">
        <v>478</v>
      </c>
      <c r="G78" s="86" t="s">
        <v>347</v>
      </c>
      <c r="H78" s="86" t="s">
        <v>704</v>
      </c>
      <c r="I78" s="86" t="s">
        <v>705</v>
      </c>
      <c r="J78" s="86" t="s">
        <v>706</v>
      </c>
      <c r="K78" s="86" t="s">
        <v>707</v>
      </c>
      <c r="L78" s="687" t="s">
        <v>672</v>
      </c>
      <c r="N78" s="688">
        <v>1.2999999999999999E-5</v>
      </c>
      <c r="O78" s="86" t="s">
        <v>711</v>
      </c>
    </row>
    <row r="79" spans="1:15">
      <c r="F79" s="689" t="str">
        <f>A4</f>
        <v>Air Beds</v>
      </c>
      <c r="G79" s="30" t="str">
        <f>B4</f>
        <v>High</v>
      </c>
      <c r="H79" s="86">
        <f t="shared" ref="H79:K98" si="30">G4</f>
        <v>857</v>
      </c>
      <c r="I79" s="86">
        <f t="shared" si="30"/>
        <v>36</v>
      </c>
      <c r="J79" s="86">
        <f t="shared" si="30"/>
        <v>1</v>
      </c>
      <c r="K79" s="94">
        <f t="shared" si="30"/>
        <v>6.9999999999999994E-5</v>
      </c>
      <c r="L79" s="690" t="str">
        <f t="shared" ref="L79:L129" si="31">L4</f>
        <v>25% of Face, Hands, and Arms</v>
      </c>
      <c r="N79" s="667">
        <f>N78*0.000000004167</f>
        <v>5.4171000000000001E-14</v>
      </c>
      <c r="O79" s="30" t="s">
        <v>710</v>
      </c>
    </row>
    <row r="80" spans="1:15">
      <c r="F80" s="689"/>
      <c r="G80" s="30" t="str">
        <f t="shared" ref="G80:G129" si="32">B5</f>
        <v>Medium</v>
      </c>
      <c r="H80" s="86">
        <f t="shared" si="30"/>
        <v>480</v>
      </c>
      <c r="I80" s="86">
        <f t="shared" si="30"/>
        <v>36</v>
      </c>
      <c r="J80" s="86">
        <f t="shared" si="30"/>
        <v>1</v>
      </c>
      <c r="K80" s="94">
        <f t="shared" si="30"/>
        <v>6.9999999999999994E-5</v>
      </c>
      <c r="L80" s="690" t="str">
        <f t="shared" si="31"/>
        <v>25% of Face, Hands, and Arms</v>
      </c>
    </row>
    <row r="81" spans="6:12">
      <c r="F81" s="689"/>
      <c r="G81" s="30" t="str">
        <f t="shared" si="32"/>
        <v>Low</v>
      </c>
      <c r="H81" s="86">
        <f t="shared" si="30"/>
        <v>120</v>
      </c>
      <c r="I81" s="86">
        <f t="shared" si="30"/>
        <v>36</v>
      </c>
      <c r="J81" s="86">
        <f t="shared" si="30"/>
        <v>1</v>
      </c>
      <c r="K81" s="94">
        <f t="shared" si="30"/>
        <v>6.9999999999999994E-5</v>
      </c>
      <c r="L81" s="690" t="str">
        <f t="shared" si="31"/>
        <v>25% of Face, Hands, and Arms</v>
      </c>
    </row>
    <row r="82" spans="6:12">
      <c r="F82" s="689" t="str">
        <f>A7</f>
        <v>Car Mats</v>
      </c>
      <c r="G82" s="30" t="str">
        <f t="shared" si="32"/>
        <v>High</v>
      </c>
      <c r="H82" s="86">
        <f t="shared" si="30"/>
        <v>60</v>
      </c>
      <c r="I82" s="86">
        <f t="shared" si="30"/>
        <v>52</v>
      </c>
      <c r="J82" s="86">
        <f t="shared" si="30"/>
        <v>1</v>
      </c>
      <c r="K82" s="94">
        <f t="shared" si="30"/>
        <v>6.9999999999999994E-5</v>
      </c>
      <c r="L82" s="690" t="str">
        <f t="shared" si="31"/>
        <v>10% of Hands (some fingers)</v>
      </c>
    </row>
    <row r="83" spans="6:12">
      <c r="F83" s="689"/>
      <c r="G83" s="30" t="str">
        <f t="shared" si="32"/>
        <v>Medium</v>
      </c>
      <c r="H83" s="86">
        <f t="shared" si="30"/>
        <v>30</v>
      </c>
      <c r="I83" s="86">
        <f t="shared" si="30"/>
        <v>52</v>
      </c>
      <c r="J83" s="86">
        <f t="shared" si="30"/>
        <v>1</v>
      </c>
      <c r="K83" s="94">
        <f t="shared" si="30"/>
        <v>6.9999999999999994E-5</v>
      </c>
      <c r="L83" s="690" t="str">
        <f t="shared" si="31"/>
        <v>10% of Hands (some fingers)</v>
      </c>
    </row>
    <row r="84" spans="6:12">
      <c r="F84" s="689"/>
      <c r="G84" s="30" t="str">
        <f t="shared" si="32"/>
        <v>Low</v>
      </c>
      <c r="H84" s="86">
        <f t="shared" si="30"/>
        <v>15</v>
      </c>
      <c r="I84" s="86">
        <f t="shared" si="30"/>
        <v>52</v>
      </c>
      <c r="J84" s="86">
        <f t="shared" si="30"/>
        <v>1</v>
      </c>
      <c r="K84" s="94">
        <f t="shared" si="30"/>
        <v>6.9999999999999994E-5</v>
      </c>
      <c r="L84" s="690" t="str">
        <f t="shared" si="31"/>
        <v>10% of Hands (some fingers)</v>
      </c>
    </row>
    <row r="85" spans="6:12">
      <c r="F85" s="689" t="str">
        <f>A10</f>
        <v>Carpet Tiles</v>
      </c>
      <c r="G85" s="30" t="str">
        <f t="shared" si="32"/>
        <v>High</v>
      </c>
      <c r="H85" s="86">
        <f t="shared" si="30"/>
        <v>120</v>
      </c>
      <c r="I85" s="86">
        <f t="shared" si="30"/>
        <v>365</v>
      </c>
      <c r="J85" s="86">
        <f t="shared" si="30"/>
        <v>1</v>
      </c>
      <c r="K85" s="94">
        <f t="shared" si="30"/>
        <v>6.9999999999999994E-5</v>
      </c>
      <c r="L85" s="690" t="str">
        <f t="shared" si="31"/>
        <v>Inside of two hands (palms, fingers)</v>
      </c>
    </row>
    <row r="86" spans="6:12">
      <c r="F86" s="689"/>
      <c r="G86" s="30" t="str">
        <f t="shared" si="32"/>
        <v>Medium</v>
      </c>
      <c r="H86" s="86">
        <f t="shared" si="30"/>
        <v>60</v>
      </c>
      <c r="I86" s="86">
        <f t="shared" si="30"/>
        <v>365</v>
      </c>
      <c r="J86" s="86">
        <f t="shared" si="30"/>
        <v>1</v>
      </c>
      <c r="K86" s="94">
        <f t="shared" si="30"/>
        <v>6.9999999999999994E-5</v>
      </c>
      <c r="L86" s="690" t="str">
        <f t="shared" si="31"/>
        <v>Inside of two hands (palms, fingers)</v>
      </c>
    </row>
    <row r="87" spans="6:12">
      <c r="F87" s="689"/>
      <c r="G87" s="30" t="str">
        <f t="shared" si="32"/>
        <v>Low</v>
      </c>
      <c r="H87" s="86">
        <f t="shared" si="30"/>
        <v>30</v>
      </c>
      <c r="I87" s="86">
        <f t="shared" si="30"/>
        <v>365</v>
      </c>
      <c r="J87" s="86">
        <f t="shared" si="30"/>
        <v>1</v>
      </c>
      <c r="K87" s="94">
        <f t="shared" si="30"/>
        <v>6.9999999999999994E-5</v>
      </c>
      <c r="L87" s="690" t="str">
        <f t="shared" si="31"/>
        <v>Inside of two hands (palms, fingers)</v>
      </c>
    </row>
    <row r="88" spans="6:12">
      <c r="F88" s="689" t="str">
        <f>A13</f>
        <v>Children's Toys (Legacy)</v>
      </c>
      <c r="G88" s="30" t="str">
        <f t="shared" si="32"/>
        <v>High</v>
      </c>
      <c r="H88" s="86">
        <f t="shared" si="30"/>
        <v>137</v>
      </c>
      <c r="I88" s="86">
        <f t="shared" si="30"/>
        <v>365</v>
      </c>
      <c r="J88" s="86">
        <f t="shared" si="30"/>
        <v>1</v>
      </c>
      <c r="K88" s="94">
        <f t="shared" si="30"/>
        <v>6.9999999999999994E-5</v>
      </c>
      <c r="L88" s="690" t="str">
        <f t="shared" si="31"/>
        <v>Inside of two hands (palms, fingers)</v>
      </c>
    </row>
    <row r="89" spans="6:12">
      <c r="F89" s="689"/>
      <c r="G89" s="30" t="str">
        <f t="shared" si="32"/>
        <v>Medium</v>
      </c>
      <c r="H89" s="86">
        <f t="shared" si="30"/>
        <v>88</v>
      </c>
      <c r="I89" s="86">
        <f t="shared" si="30"/>
        <v>365</v>
      </c>
      <c r="J89" s="86">
        <f t="shared" si="30"/>
        <v>1</v>
      </c>
      <c r="K89" s="94">
        <f t="shared" si="30"/>
        <v>6.9999999999999994E-5</v>
      </c>
      <c r="L89" s="690" t="str">
        <f t="shared" si="31"/>
        <v>Inside of two hands (palms, fingers)</v>
      </c>
    </row>
    <row r="90" spans="6:12">
      <c r="F90" s="689"/>
      <c r="G90" s="30" t="str">
        <f t="shared" si="32"/>
        <v>Low</v>
      </c>
      <c r="H90" s="86">
        <f t="shared" si="30"/>
        <v>24</v>
      </c>
      <c r="I90" s="86">
        <f t="shared" si="30"/>
        <v>365</v>
      </c>
      <c r="J90" s="86">
        <f t="shared" si="30"/>
        <v>1</v>
      </c>
      <c r="K90" s="94">
        <f t="shared" si="30"/>
        <v>6.9999999999999994E-5</v>
      </c>
      <c r="L90" s="690" t="str">
        <f t="shared" si="31"/>
        <v>Inside of two hands (palms, fingers)</v>
      </c>
    </row>
    <row r="91" spans="6:12">
      <c r="F91" s="689" t="str">
        <f>A16</f>
        <v>Children's Toys (New)</v>
      </c>
      <c r="G91" s="30" t="str">
        <f t="shared" si="32"/>
        <v>High</v>
      </c>
      <c r="H91" s="86">
        <f t="shared" si="30"/>
        <v>137</v>
      </c>
      <c r="I91" s="86">
        <f t="shared" si="30"/>
        <v>365</v>
      </c>
      <c r="J91" s="86">
        <f t="shared" si="30"/>
        <v>1</v>
      </c>
      <c r="K91" s="94">
        <f t="shared" si="30"/>
        <v>6.9999999999999994E-5</v>
      </c>
      <c r="L91" s="690" t="str">
        <f t="shared" si="31"/>
        <v>Inside of two hands (palms, fingers)</v>
      </c>
    </row>
    <row r="92" spans="6:12">
      <c r="F92" s="689"/>
      <c r="G92" s="30" t="str">
        <f t="shared" si="32"/>
        <v>Medium</v>
      </c>
      <c r="H92" s="86">
        <f t="shared" si="30"/>
        <v>88</v>
      </c>
      <c r="I92" s="86">
        <f t="shared" si="30"/>
        <v>365</v>
      </c>
      <c r="J92" s="86">
        <f t="shared" si="30"/>
        <v>1</v>
      </c>
      <c r="K92" s="94">
        <f t="shared" si="30"/>
        <v>6.9999999999999994E-5</v>
      </c>
      <c r="L92" s="690" t="str">
        <f t="shared" si="31"/>
        <v>Inside of two hands (palms, fingers)</v>
      </c>
    </row>
    <row r="93" spans="6:12">
      <c r="F93" s="689"/>
      <c r="G93" s="30" t="str">
        <f t="shared" si="32"/>
        <v>Low</v>
      </c>
      <c r="H93" s="86">
        <f t="shared" si="30"/>
        <v>24</v>
      </c>
      <c r="I93" s="86">
        <f t="shared" si="30"/>
        <v>365</v>
      </c>
      <c r="J93" s="86">
        <f t="shared" si="30"/>
        <v>1</v>
      </c>
      <c r="K93" s="94">
        <f t="shared" si="30"/>
        <v>6.9999999999999994E-5</v>
      </c>
      <c r="L93" s="690" t="str">
        <f t="shared" si="31"/>
        <v>Inside of two hands (palms, fingers)</v>
      </c>
    </row>
    <row r="94" spans="6:12">
      <c r="F94" s="689" t="str">
        <f>A19</f>
        <v>Clothing (Synthetic Leather)</v>
      </c>
      <c r="G94" s="30" t="str">
        <f t="shared" si="32"/>
        <v>High</v>
      </c>
      <c r="H94" s="86">
        <f t="shared" si="30"/>
        <v>480</v>
      </c>
      <c r="I94" s="86">
        <f t="shared" si="30"/>
        <v>52</v>
      </c>
      <c r="J94" s="86">
        <f t="shared" si="30"/>
        <v>1</v>
      </c>
      <c r="K94" s="94">
        <f t="shared" si="30"/>
        <v>6.9999999999999994E-5</v>
      </c>
      <c r="L94" s="690" t="str">
        <f t="shared" si="31"/>
        <v>50% of Entire Body Surface Area</v>
      </c>
    </row>
    <row r="95" spans="6:12">
      <c r="F95" s="689"/>
      <c r="G95" s="30" t="str">
        <f t="shared" si="32"/>
        <v>Medium</v>
      </c>
      <c r="H95" s="86">
        <f t="shared" si="30"/>
        <v>240</v>
      </c>
      <c r="I95" s="86">
        <f t="shared" si="30"/>
        <v>52</v>
      </c>
      <c r="J95" s="86">
        <f t="shared" si="30"/>
        <v>1</v>
      </c>
      <c r="K95" s="94">
        <f t="shared" si="30"/>
        <v>6.9999999999999994E-5</v>
      </c>
      <c r="L95" s="690" t="str">
        <f t="shared" si="31"/>
        <v>25% of Face, Hands, and Arms</v>
      </c>
    </row>
    <row r="96" spans="6:12">
      <c r="F96" s="689"/>
      <c r="G96" s="30" t="str">
        <f t="shared" si="32"/>
        <v>Low</v>
      </c>
      <c r="H96" s="86">
        <f t="shared" si="30"/>
        <v>120</v>
      </c>
      <c r="I96" s="86">
        <f t="shared" si="30"/>
        <v>52</v>
      </c>
      <c r="J96" s="86">
        <f t="shared" si="30"/>
        <v>1</v>
      </c>
      <c r="K96" s="94">
        <f t="shared" si="30"/>
        <v>6.9999999999999994E-5</v>
      </c>
      <c r="L96" s="690" t="str">
        <f t="shared" si="31"/>
        <v>Inside of two hands (palms, fingers)</v>
      </c>
    </row>
    <row r="97" spans="6:12">
      <c r="F97" s="689" t="str">
        <f>A22</f>
        <v>Clothing (Children's)</v>
      </c>
      <c r="G97" s="30" t="str">
        <f t="shared" si="32"/>
        <v>High</v>
      </c>
      <c r="H97" s="86">
        <f t="shared" si="30"/>
        <v>480</v>
      </c>
      <c r="I97" s="86">
        <f t="shared" si="30"/>
        <v>365</v>
      </c>
      <c r="J97" s="86">
        <f t="shared" si="30"/>
        <v>1</v>
      </c>
      <c r="K97" s="94">
        <f t="shared" si="30"/>
        <v>6.9999999999999994E-5</v>
      </c>
      <c r="L97" s="690" t="str">
        <f t="shared" si="31"/>
        <v>50% of Entire Body Surface Area</v>
      </c>
    </row>
    <row r="98" spans="6:12">
      <c r="F98" s="689"/>
      <c r="G98" s="30" t="str">
        <f t="shared" si="32"/>
        <v>Medium</v>
      </c>
      <c r="H98" s="86">
        <f t="shared" si="30"/>
        <v>240</v>
      </c>
      <c r="I98" s="86">
        <f t="shared" si="30"/>
        <v>365</v>
      </c>
      <c r="J98" s="86">
        <f t="shared" si="30"/>
        <v>1</v>
      </c>
      <c r="K98" s="94">
        <f t="shared" si="30"/>
        <v>6.9999999999999994E-5</v>
      </c>
      <c r="L98" s="690" t="str">
        <f t="shared" si="31"/>
        <v>25% of Face, Hands, and Arms</v>
      </c>
    </row>
    <row r="99" spans="6:12">
      <c r="F99" s="689"/>
      <c r="G99" s="30" t="str">
        <f t="shared" si="32"/>
        <v>Low</v>
      </c>
      <c r="H99" s="86">
        <f t="shared" ref="H99:K118" si="33">G24</f>
        <v>120</v>
      </c>
      <c r="I99" s="86">
        <f t="shared" si="33"/>
        <v>365</v>
      </c>
      <c r="J99" s="86">
        <f t="shared" si="33"/>
        <v>1</v>
      </c>
      <c r="K99" s="94">
        <f t="shared" si="33"/>
        <v>6.9999999999999994E-5</v>
      </c>
      <c r="L99" s="690" t="str">
        <f t="shared" si="31"/>
        <v>Inside of two hands (palms, fingers)</v>
      </c>
    </row>
    <row r="100" spans="6:12">
      <c r="F100" s="689" t="str">
        <f>A25</f>
        <v>Footwear Components</v>
      </c>
      <c r="G100" s="30" t="str">
        <f t="shared" si="32"/>
        <v>High</v>
      </c>
      <c r="H100" s="86">
        <f t="shared" si="33"/>
        <v>480</v>
      </c>
      <c r="I100" s="86">
        <f t="shared" si="33"/>
        <v>365</v>
      </c>
      <c r="J100" s="86">
        <f t="shared" si="33"/>
        <v>1</v>
      </c>
      <c r="K100" s="94">
        <f t="shared" si="33"/>
        <v>6.9999999999999994E-5</v>
      </c>
      <c r="L100" s="690" t="str">
        <f t="shared" si="31"/>
        <v>10% of Hands (some fingers)</v>
      </c>
    </row>
    <row r="101" spans="6:12">
      <c r="F101" s="689"/>
      <c r="G101" s="30" t="str">
        <f t="shared" si="32"/>
        <v>Medium</v>
      </c>
      <c r="H101" s="86">
        <f t="shared" si="33"/>
        <v>240</v>
      </c>
      <c r="I101" s="86">
        <f t="shared" si="33"/>
        <v>365</v>
      </c>
      <c r="J101" s="86">
        <f t="shared" si="33"/>
        <v>1</v>
      </c>
      <c r="K101" s="94">
        <f t="shared" si="33"/>
        <v>6.9999999999999994E-5</v>
      </c>
      <c r="L101" s="690" t="str">
        <f t="shared" si="31"/>
        <v>10% of Hands (some fingers)</v>
      </c>
    </row>
    <row r="102" spans="6:12">
      <c r="F102" s="689"/>
      <c r="G102" s="30" t="str">
        <f t="shared" si="32"/>
        <v>Low</v>
      </c>
      <c r="H102" s="86">
        <f t="shared" si="33"/>
        <v>120</v>
      </c>
      <c r="I102" s="86">
        <f t="shared" si="33"/>
        <v>365</v>
      </c>
      <c r="J102" s="86">
        <f t="shared" si="33"/>
        <v>1</v>
      </c>
      <c r="K102" s="94">
        <f t="shared" si="33"/>
        <v>6.9999999999999994E-5</v>
      </c>
      <c r="L102" s="690" t="str">
        <f t="shared" si="31"/>
        <v>10% of Hands (some fingers)</v>
      </c>
    </row>
    <row r="103" spans="6:12">
      <c r="F103" s="689" t="str">
        <f>A28</f>
        <v>Furniture Components (Textile)</v>
      </c>
      <c r="G103" s="30" t="str">
        <f t="shared" si="32"/>
        <v>High</v>
      </c>
      <c r="H103" s="86">
        <f t="shared" si="33"/>
        <v>480</v>
      </c>
      <c r="I103" s="86">
        <f t="shared" si="33"/>
        <v>365</v>
      </c>
      <c r="J103" s="86">
        <f t="shared" si="33"/>
        <v>1</v>
      </c>
      <c r="K103" s="94">
        <f t="shared" si="33"/>
        <v>6.9999999999999994E-5</v>
      </c>
      <c r="L103" s="690" t="str">
        <f t="shared" si="31"/>
        <v>50% of Entire Body Surface Area</v>
      </c>
    </row>
    <row r="104" spans="6:12">
      <c r="F104" s="689"/>
      <c r="G104" s="30" t="str">
        <f t="shared" si="32"/>
        <v>Medium</v>
      </c>
      <c r="H104" s="86">
        <f t="shared" si="33"/>
        <v>240</v>
      </c>
      <c r="I104" s="86">
        <f t="shared" si="33"/>
        <v>365</v>
      </c>
      <c r="J104" s="86">
        <f t="shared" si="33"/>
        <v>1</v>
      </c>
      <c r="K104" s="94">
        <f t="shared" si="33"/>
        <v>6.9999999999999994E-5</v>
      </c>
      <c r="L104" s="690" t="str">
        <f t="shared" si="31"/>
        <v>25% of Face, Hands, and Arms</v>
      </c>
    </row>
    <row r="105" spans="6:12">
      <c r="F105" s="689"/>
      <c r="G105" s="30" t="str">
        <f t="shared" si="32"/>
        <v>Low</v>
      </c>
      <c r="H105" s="86">
        <f t="shared" si="33"/>
        <v>120</v>
      </c>
      <c r="I105" s="86">
        <f t="shared" si="33"/>
        <v>365</v>
      </c>
      <c r="J105" s="86">
        <f t="shared" si="33"/>
        <v>1</v>
      </c>
      <c r="K105" s="94">
        <f t="shared" si="33"/>
        <v>6.9999999999999994E-5</v>
      </c>
      <c r="L105" s="690" t="str">
        <f t="shared" si="31"/>
        <v>Inside of two hands (palms, fingers)</v>
      </c>
    </row>
    <row r="106" spans="6:12">
      <c r="F106" s="689" t="str">
        <f>A31</f>
        <v>Shower Curtains</v>
      </c>
      <c r="G106" s="30" t="str">
        <f t="shared" si="32"/>
        <v>High</v>
      </c>
      <c r="H106" s="86">
        <f t="shared" si="33"/>
        <v>60</v>
      </c>
      <c r="I106" s="86">
        <f t="shared" si="33"/>
        <v>365</v>
      </c>
      <c r="J106" s="86">
        <f t="shared" si="33"/>
        <v>1</v>
      </c>
      <c r="K106" s="94">
        <f t="shared" si="33"/>
        <v>6.9999999999999994E-5</v>
      </c>
      <c r="L106" s="690" t="str">
        <f t="shared" si="31"/>
        <v>Inside of one hand (palms, fingers)</v>
      </c>
    </row>
    <row r="107" spans="6:12">
      <c r="F107" s="689"/>
      <c r="G107" s="30" t="str">
        <f t="shared" si="32"/>
        <v>Medium</v>
      </c>
      <c r="H107" s="86">
        <f t="shared" si="33"/>
        <v>30</v>
      </c>
      <c r="I107" s="86">
        <f t="shared" si="33"/>
        <v>365</v>
      </c>
      <c r="J107" s="86">
        <f t="shared" si="33"/>
        <v>1</v>
      </c>
      <c r="K107" s="94">
        <f t="shared" si="33"/>
        <v>6.9999999999999994E-5</v>
      </c>
      <c r="L107" s="690" t="str">
        <f t="shared" si="31"/>
        <v>Inside of one hand (palms, fingers)</v>
      </c>
    </row>
    <row r="108" spans="6:12">
      <c r="F108" s="689"/>
      <c r="G108" s="30" t="str">
        <f t="shared" si="32"/>
        <v>Low</v>
      </c>
      <c r="H108" s="86">
        <f t="shared" si="33"/>
        <v>15</v>
      </c>
      <c r="I108" s="86">
        <f t="shared" si="33"/>
        <v>365</v>
      </c>
      <c r="J108" s="86">
        <f t="shared" si="33"/>
        <v>1</v>
      </c>
      <c r="K108" s="94">
        <f t="shared" si="33"/>
        <v>6.9999999999999994E-5</v>
      </c>
      <c r="L108" s="690" t="str">
        <f t="shared" si="31"/>
        <v>Inside of one hand (palms, fingers)</v>
      </c>
    </row>
    <row r="109" spans="6:12">
      <c r="F109" s="689" t="str">
        <f>A34</f>
        <v>Small Articles with Potential for semi-routine contact</v>
      </c>
      <c r="G109" s="30" t="str">
        <f t="shared" si="32"/>
        <v>High</v>
      </c>
      <c r="H109" s="86">
        <f t="shared" si="33"/>
        <v>120</v>
      </c>
      <c r="I109" s="86">
        <f t="shared" si="33"/>
        <v>365</v>
      </c>
      <c r="J109" s="86">
        <f t="shared" si="33"/>
        <v>1</v>
      </c>
      <c r="K109" s="94">
        <f t="shared" si="33"/>
        <v>6.9999999999999994E-5</v>
      </c>
      <c r="L109" s="690" t="str">
        <f t="shared" si="31"/>
        <v>Both Hands (entire surface area)</v>
      </c>
    </row>
    <row r="110" spans="6:12">
      <c r="F110" s="689"/>
      <c r="G110" s="30" t="str">
        <f t="shared" si="32"/>
        <v>Medium</v>
      </c>
      <c r="H110" s="86">
        <f t="shared" si="33"/>
        <v>60</v>
      </c>
      <c r="I110" s="86">
        <f t="shared" si="33"/>
        <v>365</v>
      </c>
      <c r="J110" s="86">
        <f t="shared" si="33"/>
        <v>1</v>
      </c>
      <c r="K110" s="94">
        <f t="shared" si="33"/>
        <v>6.9999999999999994E-5</v>
      </c>
      <c r="L110" s="690" t="str">
        <f t="shared" si="31"/>
        <v>Inside of two hands (palms, fingers)</v>
      </c>
    </row>
    <row r="111" spans="6:12">
      <c r="F111" s="689"/>
      <c r="G111" s="30" t="str">
        <f t="shared" si="32"/>
        <v>Low</v>
      </c>
      <c r="H111" s="86">
        <f t="shared" si="33"/>
        <v>30</v>
      </c>
      <c r="I111" s="86">
        <f t="shared" si="33"/>
        <v>365</v>
      </c>
      <c r="J111" s="86">
        <f t="shared" si="33"/>
        <v>1</v>
      </c>
      <c r="K111" s="94">
        <f t="shared" si="33"/>
        <v>6.9999999999999994E-5</v>
      </c>
      <c r="L111" s="690" t="str">
        <f t="shared" si="31"/>
        <v>10% of Hands (some fingers)</v>
      </c>
    </row>
    <row r="112" spans="6:12">
      <c r="F112" s="689" t="str">
        <f>A37</f>
        <v>Vinyl Flooring</v>
      </c>
      <c r="G112" s="30" t="str">
        <f t="shared" si="32"/>
        <v>High</v>
      </c>
      <c r="H112" s="86">
        <f t="shared" si="33"/>
        <v>120</v>
      </c>
      <c r="I112" s="86">
        <f t="shared" si="33"/>
        <v>365</v>
      </c>
      <c r="J112" s="86">
        <f t="shared" si="33"/>
        <v>1</v>
      </c>
      <c r="K112" s="94">
        <f t="shared" si="33"/>
        <v>6.9999999999999994E-5</v>
      </c>
      <c r="L112" s="690" t="str">
        <f t="shared" si="31"/>
        <v>Inside of one hand (palms, fingers)</v>
      </c>
    </row>
    <row r="113" spans="6:12">
      <c r="F113" s="689"/>
      <c r="G113" s="30" t="str">
        <f t="shared" si="32"/>
        <v>Medium</v>
      </c>
      <c r="H113" s="86">
        <f t="shared" si="33"/>
        <v>60</v>
      </c>
      <c r="I113" s="86">
        <f t="shared" si="33"/>
        <v>365</v>
      </c>
      <c r="J113" s="86">
        <f t="shared" si="33"/>
        <v>1</v>
      </c>
      <c r="K113" s="94">
        <f t="shared" si="33"/>
        <v>6.9999999999999994E-5</v>
      </c>
      <c r="L113" s="690" t="str">
        <f t="shared" si="31"/>
        <v>Inside of one hand (palms, fingers)</v>
      </c>
    </row>
    <row r="114" spans="6:12">
      <c r="F114" s="689"/>
      <c r="G114" s="30" t="str">
        <f t="shared" si="32"/>
        <v>Low</v>
      </c>
      <c r="H114" s="86">
        <f t="shared" si="33"/>
        <v>30</v>
      </c>
      <c r="I114" s="86">
        <f t="shared" si="33"/>
        <v>365</v>
      </c>
      <c r="J114" s="86">
        <f t="shared" si="33"/>
        <v>1</v>
      </c>
      <c r="K114" s="94">
        <f t="shared" si="33"/>
        <v>6.9999999999999994E-5</v>
      </c>
      <c r="L114" s="690" t="str">
        <f t="shared" si="31"/>
        <v>Inside of one hand (palms, fingers)</v>
      </c>
    </row>
    <row r="115" spans="6:12">
      <c r="F115" s="689" t="str">
        <f>A40</f>
        <v>Wallpaper (In Place)</v>
      </c>
      <c r="G115" s="30" t="str">
        <f t="shared" si="32"/>
        <v>High</v>
      </c>
      <c r="H115" s="86">
        <f t="shared" si="33"/>
        <v>60</v>
      </c>
      <c r="I115" s="86">
        <f t="shared" si="33"/>
        <v>365</v>
      </c>
      <c r="J115" s="86">
        <f t="shared" si="33"/>
        <v>1</v>
      </c>
      <c r="K115" s="94">
        <f t="shared" si="33"/>
        <v>6.9999999999999994E-5</v>
      </c>
      <c r="L115" s="690" t="str">
        <f t="shared" si="31"/>
        <v>Inside of one hand (palms, fingers)</v>
      </c>
    </row>
    <row r="116" spans="6:12">
      <c r="F116" s="689"/>
      <c r="G116" s="30" t="str">
        <f t="shared" si="32"/>
        <v>Medium</v>
      </c>
      <c r="H116" s="86">
        <f t="shared" si="33"/>
        <v>30</v>
      </c>
      <c r="I116" s="86">
        <f t="shared" si="33"/>
        <v>365</v>
      </c>
      <c r="J116" s="86">
        <f t="shared" si="33"/>
        <v>1</v>
      </c>
      <c r="K116" s="94">
        <f t="shared" si="33"/>
        <v>6.9999999999999994E-5</v>
      </c>
      <c r="L116" s="690" t="str">
        <f t="shared" si="31"/>
        <v>Inside of one hand (palms, fingers)</v>
      </c>
    </row>
    <row r="117" spans="6:12">
      <c r="F117" s="689"/>
      <c r="G117" s="30" t="str">
        <f t="shared" si="32"/>
        <v>Low</v>
      </c>
      <c r="H117" s="86">
        <f t="shared" si="33"/>
        <v>15</v>
      </c>
      <c r="I117" s="86">
        <f t="shared" si="33"/>
        <v>365</v>
      </c>
      <c r="J117" s="86">
        <f t="shared" si="33"/>
        <v>1</v>
      </c>
      <c r="K117" s="94">
        <f t="shared" si="33"/>
        <v>6.9999999999999994E-5</v>
      </c>
      <c r="L117" s="690" t="str">
        <f t="shared" si="31"/>
        <v>Inside of one hand (palms, fingers)</v>
      </c>
    </row>
    <row r="118" spans="6:12">
      <c r="F118" s="689" t="str">
        <f>A43</f>
        <v>Wallpaper (Installation)</v>
      </c>
      <c r="G118" s="30" t="str">
        <f t="shared" si="32"/>
        <v>High</v>
      </c>
      <c r="H118" s="86">
        <f t="shared" si="33"/>
        <v>480</v>
      </c>
      <c r="I118" s="86">
        <f t="shared" si="33"/>
        <v>1</v>
      </c>
      <c r="J118" s="86">
        <f t="shared" si="33"/>
        <v>1</v>
      </c>
      <c r="K118" s="94">
        <f t="shared" si="33"/>
        <v>6.9999999999999994E-5</v>
      </c>
      <c r="L118" s="690" t="str">
        <f t="shared" si="31"/>
        <v>Inside of two hands (palms, fingers)</v>
      </c>
    </row>
    <row r="119" spans="6:12">
      <c r="F119" s="689"/>
      <c r="G119" s="30" t="str">
        <f t="shared" si="32"/>
        <v>Medium</v>
      </c>
      <c r="H119" s="86">
        <f t="shared" ref="H119:K129" si="34">G44</f>
        <v>240</v>
      </c>
      <c r="I119" s="86">
        <f t="shared" si="34"/>
        <v>1</v>
      </c>
      <c r="J119" s="86">
        <f t="shared" si="34"/>
        <v>1</v>
      </c>
      <c r="K119" s="94">
        <f t="shared" si="34"/>
        <v>6.9999999999999994E-5</v>
      </c>
      <c r="L119" s="690" t="str">
        <f t="shared" si="31"/>
        <v>Inside of two hands (palms, fingers)</v>
      </c>
    </row>
    <row r="120" spans="6:12">
      <c r="F120" s="689"/>
      <c r="G120" s="30" t="str">
        <f t="shared" si="32"/>
        <v>Low</v>
      </c>
      <c r="H120" s="86">
        <f t="shared" si="34"/>
        <v>120</v>
      </c>
      <c r="I120" s="86">
        <f t="shared" si="34"/>
        <v>1</v>
      </c>
      <c r="J120" s="86">
        <f t="shared" si="34"/>
        <v>1</v>
      </c>
      <c r="K120" s="94">
        <f t="shared" si="34"/>
        <v>6.9999999999999994E-5</v>
      </c>
      <c r="L120" s="690" t="str">
        <f t="shared" si="31"/>
        <v>Inside of two hands (palms, fingers)</v>
      </c>
    </row>
    <row r="121" spans="6:12">
      <c r="F121" s="689" t="str">
        <f>A46</f>
        <v>Sealants for Small Home Repairs</v>
      </c>
      <c r="G121" s="30" t="str">
        <f t="shared" si="32"/>
        <v>High</v>
      </c>
      <c r="H121" s="86">
        <f t="shared" si="34"/>
        <v>120</v>
      </c>
      <c r="I121" s="86">
        <f t="shared" si="34"/>
        <v>52</v>
      </c>
      <c r="J121" s="86">
        <f t="shared" si="34"/>
        <v>1</v>
      </c>
      <c r="K121" s="94">
        <f t="shared" si="34"/>
        <v>6.9999999999999994E-5</v>
      </c>
      <c r="L121" s="690" t="str">
        <f t="shared" si="31"/>
        <v>Inside of two hands (palms, fingers)</v>
      </c>
    </row>
    <row r="122" spans="6:12">
      <c r="F122" s="689"/>
      <c r="G122" s="30" t="str">
        <f t="shared" si="32"/>
        <v>Medium</v>
      </c>
      <c r="H122" s="86">
        <f t="shared" si="34"/>
        <v>60</v>
      </c>
      <c r="I122" s="86">
        <f t="shared" si="34"/>
        <v>52</v>
      </c>
      <c r="J122" s="86">
        <f t="shared" si="34"/>
        <v>1</v>
      </c>
      <c r="K122" s="94">
        <f t="shared" si="34"/>
        <v>6.9999999999999994E-5</v>
      </c>
      <c r="L122" s="690" t="str">
        <f t="shared" si="31"/>
        <v>Inside of one hand (palms, fingers)</v>
      </c>
    </row>
    <row r="123" spans="6:12">
      <c r="F123" s="689"/>
      <c r="G123" s="30" t="str">
        <f t="shared" si="32"/>
        <v>Low</v>
      </c>
      <c r="H123" s="86">
        <f t="shared" si="34"/>
        <v>30</v>
      </c>
      <c r="I123" s="86">
        <f t="shared" si="34"/>
        <v>52</v>
      </c>
      <c r="J123" s="86">
        <f t="shared" si="34"/>
        <v>1</v>
      </c>
      <c r="K123" s="94">
        <f t="shared" si="34"/>
        <v>6.9999999999999994E-5</v>
      </c>
      <c r="L123" s="690" t="str">
        <f t="shared" si="31"/>
        <v>10% of Hands (some fingers)</v>
      </c>
    </row>
    <row r="124" spans="6:12">
      <c r="F124" s="689" t="str">
        <f>A49</f>
        <v>Concrete Adhesive</v>
      </c>
      <c r="G124" s="30" t="str">
        <f t="shared" si="32"/>
        <v>High</v>
      </c>
      <c r="H124" s="86">
        <f t="shared" si="34"/>
        <v>120</v>
      </c>
      <c r="I124" s="86">
        <f t="shared" si="34"/>
        <v>2</v>
      </c>
      <c r="J124" s="86">
        <f t="shared" si="34"/>
        <v>1</v>
      </c>
      <c r="K124" s="94">
        <f t="shared" si="34"/>
        <v>6.9999999999999994E-5</v>
      </c>
      <c r="L124" s="690" t="str">
        <f t="shared" si="31"/>
        <v>10% of Hands (some fingers)</v>
      </c>
    </row>
    <row r="125" spans="6:12">
      <c r="F125" s="689"/>
      <c r="G125" s="30" t="str">
        <f t="shared" si="32"/>
        <v>Medium</v>
      </c>
      <c r="H125" s="86">
        <f t="shared" si="34"/>
        <v>60</v>
      </c>
      <c r="I125" s="86">
        <f t="shared" si="34"/>
        <v>2</v>
      </c>
      <c r="J125" s="86">
        <f t="shared" si="34"/>
        <v>1</v>
      </c>
      <c r="K125" s="94">
        <f t="shared" si="34"/>
        <v>6.9999999999999994E-5</v>
      </c>
      <c r="L125" s="690" t="str">
        <f t="shared" si="31"/>
        <v>10% of Hands (some fingers)</v>
      </c>
    </row>
    <row r="126" spans="6:12">
      <c r="F126" s="689"/>
      <c r="G126" s="30" t="str">
        <f t="shared" si="32"/>
        <v>Low</v>
      </c>
      <c r="H126" s="86">
        <f t="shared" si="34"/>
        <v>30</v>
      </c>
      <c r="I126" s="86">
        <f t="shared" si="34"/>
        <v>2</v>
      </c>
      <c r="J126" s="86">
        <f t="shared" si="34"/>
        <v>1</v>
      </c>
      <c r="K126" s="94">
        <f t="shared" si="34"/>
        <v>6.9999999999999994E-5</v>
      </c>
      <c r="L126" s="690" t="str">
        <f t="shared" si="31"/>
        <v>10% of Hands (some fingers)</v>
      </c>
    </row>
    <row r="127" spans="6:12">
      <c r="F127" s="689" t="str">
        <f>A52</f>
        <v>Flooring Adhesive</v>
      </c>
      <c r="G127" s="30" t="str">
        <f t="shared" si="32"/>
        <v>High</v>
      </c>
      <c r="H127" s="86">
        <f t="shared" si="34"/>
        <v>480</v>
      </c>
      <c r="I127" s="86">
        <f t="shared" si="34"/>
        <v>2</v>
      </c>
      <c r="J127" s="86">
        <f t="shared" si="34"/>
        <v>1</v>
      </c>
      <c r="K127" s="94">
        <f t="shared" si="34"/>
        <v>6.9999999999999994E-5</v>
      </c>
      <c r="L127" s="690" t="str">
        <f t="shared" si="31"/>
        <v>10% of Hands (some fingers)</v>
      </c>
    </row>
    <row r="128" spans="6:12">
      <c r="F128" s="689"/>
      <c r="G128" s="30" t="str">
        <f t="shared" si="32"/>
        <v>Medium</v>
      </c>
      <c r="H128" s="86">
        <f t="shared" si="34"/>
        <v>240</v>
      </c>
      <c r="I128" s="86">
        <f t="shared" si="34"/>
        <v>2</v>
      </c>
      <c r="J128" s="86">
        <f t="shared" si="34"/>
        <v>1</v>
      </c>
      <c r="K128" s="94">
        <f t="shared" si="34"/>
        <v>6.9999999999999994E-5</v>
      </c>
      <c r="L128" s="690" t="str">
        <f t="shared" si="31"/>
        <v>10% of Hands (some fingers)</v>
      </c>
    </row>
    <row r="129" spans="6:12">
      <c r="F129" s="691"/>
      <c r="G129" s="692" t="str">
        <f t="shared" si="32"/>
        <v>Low</v>
      </c>
      <c r="H129" s="693">
        <f t="shared" si="34"/>
        <v>120</v>
      </c>
      <c r="I129" s="693">
        <f t="shared" si="34"/>
        <v>2</v>
      </c>
      <c r="J129" s="693">
        <f t="shared" si="34"/>
        <v>1</v>
      </c>
      <c r="K129" s="694">
        <f t="shared" si="34"/>
        <v>6.9999999999999994E-5</v>
      </c>
      <c r="L129" s="695" t="str">
        <f t="shared" si="31"/>
        <v>10% of Hands (some fingers)</v>
      </c>
    </row>
  </sheetData>
  <sheetProtection sheet="1" objects="1" scenarios="1" formatCells="0" formatColumns="0" formatRows="0" sort="0" autoFilter="0"/>
  <mergeCells count="56">
    <mergeCell ref="B72:C72"/>
    <mergeCell ref="B73:C73"/>
    <mergeCell ref="A58:H58"/>
    <mergeCell ref="A59:A60"/>
    <mergeCell ref="B59:H59"/>
    <mergeCell ref="A69:C69"/>
    <mergeCell ref="B70:C70"/>
    <mergeCell ref="B71:C71"/>
    <mergeCell ref="A46:A48"/>
    <mergeCell ref="C46:C48"/>
    <mergeCell ref="A49:A51"/>
    <mergeCell ref="C49:C51"/>
    <mergeCell ref="A52:A54"/>
    <mergeCell ref="C52:C54"/>
    <mergeCell ref="A37:A39"/>
    <mergeCell ref="C37:C39"/>
    <mergeCell ref="A40:A42"/>
    <mergeCell ref="C40:C42"/>
    <mergeCell ref="A43:A45"/>
    <mergeCell ref="C43:C45"/>
    <mergeCell ref="A28:A30"/>
    <mergeCell ref="C28:C30"/>
    <mergeCell ref="A31:A33"/>
    <mergeCell ref="C31:C33"/>
    <mergeCell ref="A34:A36"/>
    <mergeCell ref="C34:C36"/>
    <mergeCell ref="A19:A21"/>
    <mergeCell ref="C19:C21"/>
    <mergeCell ref="A22:A24"/>
    <mergeCell ref="C22:C24"/>
    <mergeCell ref="A25:A27"/>
    <mergeCell ref="C25:C27"/>
    <mergeCell ref="A10:A12"/>
    <mergeCell ref="C10:C12"/>
    <mergeCell ref="A13:A15"/>
    <mergeCell ref="C13:C15"/>
    <mergeCell ref="A16:A18"/>
    <mergeCell ref="C16:C18"/>
    <mergeCell ref="A7:A9"/>
    <mergeCell ref="C7:C9"/>
    <mergeCell ref="T2:Z2"/>
    <mergeCell ref="AA2:AG2"/>
    <mergeCell ref="AH2:AN2"/>
    <mergeCell ref="A2:A3"/>
    <mergeCell ref="B2:B3"/>
    <mergeCell ref="C2:C3"/>
    <mergeCell ref="D2:F2"/>
    <mergeCell ref="G2:L2"/>
    <mergeCell ref="M2:S2"/>
    <mergeCell ref="BB2:BH2"/>
    <mergeCell ref="BI2:BO2"/>
    <mergeCell ref="A4:A6"/>
    <mergeCell ref="C4:C6"/>
    <mergeCell ref="AO2:AU2"/>
    <mergeCell ref="AV2:AX2"/>
    <mergeCell ref="AY2:BA2"/>
  </mergeCells>
  <conditionalFormatting sqref="M4:BA54">
    <cfRule type="cellIs" dxfId="1" priority="2" operator="equal">
      <formula>0</formula>
    </cfRule>
  </conditionalFormatting>
  <conditionalFormatting sqref="BB4:BO54">
    <cfRule type="cellIs" dxfId="0" priority="1" operator="lessThan">
      <formula>30</formula>
    </cfRule>
  </conditionalFormatting>
  <dataValidations count="1">
    <dataValidation type="list" allowBlank="1" showInputMessage="1" showErrorMessage="1" sqref="L4:L54" xr:uid="{C84F18A3-8B44-4118-8224-42B7C6570539}">
      <formula1>$A$61:$A$67</formula1>
    </dataValidation>
  </dataValidation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77447-B38F-4A0F-9866-1B26B2F5B4AA}">
  <sheetPr codeName="Sheet15"/>
  <dimension ref="A1:X165"/>
  <sheetViews>
    <sheetView workbookViewId="0"/>
  </sheetViews>
  <sheetFormatPr defaultRowHeight="14.5"/>
  <cols>
    <col min="1" max="9" width="8.7265625" style="30"/>
    <col min="10" max="10" width="3.1796875" style="30" customWidth="1"/>
    <col min="11" max="17" width="12.54296875" style="30" customWidth="1"/>
    <col min="18" max="18" width="13" style="30" customWidth="1"/>
    <col min="19" max="19" width="25.81640625" style="30" customWidth="1"/>
    <col min="20" max="25" width="12.54296875" style="30" customWidth="1"/>
    <col min="26" max="16384" width="8.7265625" style="30"/>
  </cols>
  <sheetData>
    <row r="1" spans="1:14" s="697" customFormat="1" ht="18.5">
      <c r="A1" s="696" t="s">
        <v>713</v>
      </c>
    </row>
    <row r="2" spans="1:14">
      <c r="A2" s="30" t="s">
        <v>714</v>
      </c>
      <c r="L2" s="30" t="s">
        <v>715</v>
      </c>
    </row>
    <row r="3" spans="1:14" ht="42" customHeight="1">
      <c r="A3" s="74" t="s">
        <v>716</v>
      </c>
      <c r="B3" s="80" t="s">
        <v>717</v>
      </c>
      <c r="C3" s="80" t="s">
        <v>718</v>
      </c>
      <c r="D3" s="80" t="s">
        <v>719</v>
      </c>
      <c r="E3" s="80" t="s">
        <v>720</v>
      </c>
      <c r="F3" s="80" t="s">
        <v>721</v>
      </c>
      <c r="L3" s="86" t="s">
        <v>722</v>
      </c>
      <c r="M3" s="86" t="s">
        <v>723</v>
      </c>
      <c r="N3" s="86" t="s">
        <v>724</v>
      </c>
    </row>
    <row r="4" spans="1:14">
      <c r="A4" s="30" t="s">
        <v>725</v>
      </c>
      <c r="B4" s="30">
        <v>100</v>
      </c>
      <c r="C4" s="30">
        <v>6.4</v>
      </c>
      <c r="D4" s="30">
        <v>4.8</v>
      </c>
      <c r="E4" s="30">
        <v>11</v>
      </c>
      <c r="F4" s="30">
        <v>75</v>
      </c>
      <c r="L4" s="86">
        <f>0.36</f>
        <v>0.36</v>
      </c>
      <c r="M4" s="86">
        <f>AVERAGE(L4, N4)</f>
        <v>1.53</v>
      </c>
      <c r="N4" s="86">
        <v>2.7</v>
      </c>
    </row>
    <row r="28" spans="1:16" s="697" customFormat="1" ht="18.5">
      <c r="A28" s="696" t="s">
        <v>726</v>
      </c>
    </row>
    <row r="29" spans="1:16" ht="15" thickBot="1">
      <c r="A29" s="30" t="s">
        <v>727</v>
      </c>
    </row>
    <row r="30" spans="1:16" ht="15" thickBot="1">
      <c r="A30" s="61"/>
      <c r="B30" s="62"/>
      <c r="C30" s="62"/>
      <c r="D30" s="62"/>
      <c r="E30" s="62"/>
      <c r="F30" s="62"/>
      <c r="G30" s="62"/>
      <c r="H30" s="62"/>
      <c r="I30" s="63"/>
    </row>
    <row r="31" spans="1:16">
      <c r="A31" s="66"/>
      <c r="I31" s="65"/>
      <c r="J31" s="698"/>
      <c r="K31" s="699" t="s">
        <v>728</v>
      </c>
      <c r="L31" s="699"/>
      <c r="M31" s="699"/>
      <c r="N31" s="699"/>
      <c r="O31" s="62"/>
      <c r="P31" s="63"/>
    </row>
    <row r="32" spans="1:16" ht="28" customHeight="1">
      <c r="A32" s="66"/>
      <c r="I32" s="65"/>
      <c r="J32" s="66"/>
      <c r="L32" s="86" t="s">
        <v>729</v>
      </c>
      <c r="M32" s="86" t="s">
        <v>730</v>
      </c>
      <c r="N32" s="86" t="s">
        <v>731</v>
      </c>
      <c r="O32" s="86" t="s">
        <v>732</v>
      </c>
      <c r="P32" s="87" t="s">
        <v>733</v>
      </c>
    </row>
    <row r="33" spans="1:16" ht="31">
      <c r="A33" s="66"/>
      <c r="I33" s="65"/>
      <c r="J33" s="66"/>
      <c r="K33" s="80" t="s">
        <v>734</v>
      </c>
      <c r="L33" s="86">
        <f>3.7*10^-2</f>
        <v>3.7000000000000005E-2</v>
      </c>
      <c r="M33" s="86">
        <f>4.2*10^-2</f>
        <v>4.2000000000000003E-2</v>
      </c>
      <c r="N33" s="86">
        <f>4.9*10^-2</f>
        <v>4.9000000000000002E-2</v>
      </c>
      <c r="O33" s="86">
        <f>4.9*10^-2</f>
        <v>4.9000000000000002E-2</v>
      </c>
      <c r="P33" s="87">
        <f>AVERAGE(5,4.9,5.2,5.3,4.7)*10^-2</f>
        <v>5.0200000000000009E-2</v>
      </c>
    </row>
    <row r="34" spans="1:16" ht="31">
      <c r="A34" s="66"/>
      <c r="I34" s="65"/>
      <c r="J34" s="66"/>
      <c r="K34" s="80" t="s">
        <v>735</v>
      </c>
      <c r="L34" s="86">
        <f>L33*60</f>
        <v>2.2200000000000002</v>
      </c>
      <c r="M34" s="86">
        <f>M33*60</f>
        <v>2.52</v>
      </c>
      <c r="N34" s="86">
        <f>N33*60</f>
        <v>2.94</v>
      </c>
      <c r="O34" s="86">
        <f>O33*60</f>
        <v>2.94</v>
      </c>
      <c r="P34" s="87">
        <f>P33*60</f>
        <v>3.0120000000000005</v>
      </c>
    </row>
    <row r="35" spans="1:16">
      <c r="A35" s="66"/>
      <c r="I35" s="65"/>
      <c r="J35" s="66"/>
      <c r="K35" s="86"/>
      <c r="P35" s="65"/>
    </row>
    <row r="36" spans="1:16">
      <c r="A36" s="66"/>
      <c r="I36" s="65"/>
      <c r="J36" s="66"/>
      <c r="K36" s="86"/>
      <c r="P36" s="65"/>
    </row>
    <row r="37" spans="1:16" ht="15" thickBot="1">
      <c r="A37" s="66"/>
      <c r="I37" s="65"/>
      <c r="J37" s="700"/>
      <c r="K37" s="701"/>
      <c r="L37" s="121"/>
      <c r="M37" s="121"/>
      <c r="N37" s="121"/>
      <c r="O37" s="121"/>
      <c r="P37" s="122"/>
    </row>
    <row r="38" spans="1:16">
      <c r="A38" s="66"/>
      <c r="I38" s="65"/>
    </row>
    <row r="39" spans="1:16">
      <c r="A39" s="66"/>
      <c r="I39" s="65"/>
    </row>
    <row r="40" spans="1:16">
      <c r="A40" s="66"/>
      <c r="I40" s="65"/>
    </row>
    <row r="41" spans="1:16">
      <c r="A41" s="66"/>
      <c r="I41" s="65"/>
    </row>
    <row r="42" spans="1:16">
      <c r="A42" s="66"/>
      <c r="I42" s="65"/>
    </row>
    <row r="43" spans="1:16">
      <c r="A43" s="66"/>
      <c r="I43" s="65"/>
    </row>
    <row r="44" spans="1:16">
      <c r="A44" s="66"/>
      <c r="I44" s="65"/>
    </row>
    <row r="45" spans="1:16">
      <c r="A45" s="66"/>
      <c r="I45" s="65"/>
    </row>
    <row r="46" spans="1:16">
      <c r="A46" s="66"/>
      <c r="I46" s="65"/>
    </row>
    <row r="47" spans="1:16">
      <c r="A47" s="66"/>
      <c r="I47" s="65"/>
    </row>
    <row r="48" spans="1:16">
      <c r="A48" s="66"/>
      <c r="I48" s="65"/>
    </row>
    <row r="49" spans="1:24">
      <c r="A49" s="66"/>
      <c r="I49" s="65"/>
    </row>
    <row r="50" spans="1:24" ht="15" thickBot="1">
      <c r="A50" s="700"/>
      <c r="B50" s="121"/>
      <c r="C50" s="121"/>
      <c r="D50" s="121"/>
      <c r="E50" s="121"/>
      <c r="F50" s="121"/>
      <c r="G50" s="121"/>
      <c r="H50" s="121"/>
      <c r="I50" s="122"/>
    </row>
    <row r="51" spans="1:24" s="697" customFormat="1" ht="18.5">
      <c r="A51" s="696" t="s">
        <v>736</v>
      </c>
    </row>
    <row r="52" spans="1:24">
      <c r="A52" s="30" t="s">
        <v>737</v>
      </c>
    </row>
    <row r="53" spans="1:24" ht="15" thickBot="1"/>
    <row r="54" spans="1:24">
      <c r="S54" s="61"/>
      <c r="T54" s="702" t="s">
        <v>729</v>
      </c>
      <c r="U54" s="702" t="s">
        <v>730</v>
      </c>
      <c r="V54" s="702" t="s">
        <v>731</v>
      </c>
      <c r="W54" s="702" t="s">
        <v>732</v>
      </c>
      <c r="X54" s="703" t="s">
        <v>733</v>
      </c>
    </row>
    <row r="55" spans="1:24">
      <c r="S55" s="66" t="s">
        <v>738</v>
      </c>
      <c r="T55" s="86">
        <v>1</v>
      </c>
      <c r="U55" s="86">
        <v>1</v>
      </c>
      <c r="V55" s="86">
        <v>3</v>
      </c>
      <c r="W55" s="86">
        <v>2</v>
      </c>
      <c r="X55" s="87">
        <v>2</v>
      </c>
    </row>
    <row r="56" spans="1:24" ht="16.5">
      <c r="S56" s="66" t="s">
        <v>739</v>
      </c>
      <c r="T56" s="86">
        <v>78</v>
      </c>
      <c r="U56" s="86">
        <v>78</v>
      </c>
      <c r="V56" s="86">
        <v>138</v>
      </c>
      <c r="W56" s="86">
        <v>138</v>
      </c>
      <c r="X56" s="87">
        <v>78</v>
      </c>
    </row>
    <row r="57" spans="1:24" ht="17" thickBot="1">
      <c r="S57" s="700" t="s">
        <v>740</v>
      </c>
      <c r="T57" s="701">
        <v>1</v>
      </c>
      <c r="U57" s="701">
        <v>1</v>
      </c>
      <c r="V57" s="701">
        <v>1</v>
      </c>
      <c r="W57" s="701">
        <v>1</v>
      </c>
      <c r="X57" s="704">
        <v>1</v>
      </c>
    </row>
    <row r="58" spans="1:24">
      <c r="T58" s="86"/>
      <c r="U58" s="86"/>
      <c r="V58" s="86"/>
      <c r="W58" s="86"/>
      <c r="X58" s="86"/>
    </row>
    <row r="68" spans="1:21" s="696" customFormat="1" ht="18.5">
      <c r="A68" s="696" t="s">
        <v>741</v>
      </c>
    </row>
    <row r="69" spans="1:21">
      <c r="A69" s="30" t="s">
        <v>737</v>
      </c>
    </row>
    <row r="72" spans="1:21" ht="15" thickBot="1">
      <c r="T72" s="74"/>
    </row>
    <row r="73" spans="1:21" ht="29">
      <c r="S73" s="705" t="s">
        <v>742</v>
      </c>
      <c r="T73" s="207" t="s">
        <v>741</v>
      </c>
      <c r="U73" s="86"/>
    </row>
    <row r="74" spans="1:21">
      <c r="S74" s="706" t="s">
        <v>293</v>
      </c>
      <c r="T74" s="87">
        <v>0.5</v>
      </c>
      <c r="U74" s="86"/>
    </row>
    <row r="75" spans="1:21">
      <c r="S75" s="706" t="s">
        <v>231</v>
      </c>
      <c r="T75" s="87">
        <v>0.1</v>
      </c>
      <c r="U75" s="86"/>
    </row>
    <row r="76" spans="1:21" ht="15" thickBot="1">
      <c r="S76" s="707" t="s">
        <v>292</v>
      </c>
      <c r="T76" s="704">
        <v>0.7</v>
      </c>
      <c r="U76" s="86"/>
    </row>
    <row r="77" spans="1:21">
      <c r="S77" s="86"/>
      <c r="T77" s="86"/>
      <c r="U77" s="86"/>
    </row>
    <row r="78" spans="1:21">
      <c r="S78" s="86"/>
      <c r="T78" s="86"/>
      <c r="U78" s="86"/>
    </row>
    <row r="79" spans="1:21">
      <c r="S79" s="86"/>
      <c r="T79" s="86"/>
      <c r="U79" s="86"/>
    </row>
    <row r="80" spans="1:21">
      <c r="S80" s="86"/>
      <c r="T80" s="86"/>
      <c r="U80" s="86"/>
    </row>
    <row r="81" spans="1:21">
      <c r="S81" s="86"/>
      <c r="T81" s="86"/>
      <c r="U81" s="86"/>
    </row>
    <row r="82" spans="1:21">
      <c r="S82" s="86"/>
      <c r="T82" s="86"/>
      <c r="U82" s="86"/>
    </row>
    <row r="84" spans="1:21" s="697" customFormat="1" ht="18.5">
      <c r="A84" s="708" t="s">
        <v>743</v>
      </c>
      <c r="B84" s="709"/>
      <c r="C84" s="709"/>
      <c r="D84" s="709"/>
      <c r="E84" s="709"/>
      <c r="F84" s="709"/>
      <c r="G84" s="709"/>
    </row>
    <row r="85" spans="1:21">
      <c r="A85" s="710" t="s">
        <v>744</v>
      </c>
      <c r="B85" s="710"/>
      <c r="C85" s="710"/>
      <c r="D85" s="710"/>
      <c r="E85" s="710"/>
      <c r="F85" s="710"/>
      <c r="G85" s="710"/>
    </row>
    <row r="86" spans="1:21">
      <c r="A86" s="86" t="s">
        <v>745</v>
      </c>
      <c r="B86" s="209" t="s">
        <v>746</v>
      </c>
      <c r="C86" s="209" t="s">
        <v>747</v>
      </c>
      <c r="D86" s="209" t="s">
        <v>748</v>
      </c>
      <c r="E86" s="209" t="s">
        <v>749</v>
      </c>
      <c r="F86" s="209" t="s">
        <v>750</v>
      </c>
      <c r="G86" s="209" t="s">
        <v>664</v>
      </c>
    </row>
    <row r="87" spans="1:21">
      <c r="A87" s="383">
        <v>7.8</v>
      </c>
      <c r="B87" s="383">
        <v>12.6</v>
      </c>
      <c r="C87" s="383">
        <v>18.600000000000001</v>
      </c>
      <c r="D87" s="383">
        <v>31.8</v>
      </c>
      <c r="E87" s="383">
        <v>56.8</v>
      </c>
      <c r="F87" s="383">
        <v>71.599999999999994</v>
      </c>
      <c r="G87" s="383">
        <v>80</v>
      </c>
    </row>
    <row r="89" spans="1:21" s="697" customFormat="1" ht="18.5">
      <c r="A89" s="708" t="s">
        <v>751</v>
      </c>
      <c r="B89" s="709"/>
      <c r="C89" s="709"/>
      <c r="D89" s="709"/>
      <c r="E89" s="709"/>
      <c r="F89" s="709"/>
      <c r="G89" s="709"/>
    </row>
    <row r="91" spans="1:21" ht="15" thickBot="1"/>
    <row r="92" spans="1:21">
      <c r="O92" s="61"/>
      <c r="P92" s="702" t="s">
        <v>729</v>
      </c>
      <c r="Q92" s="702" t="s">
        <v>730</v>
      </c>
      <c r="R92" s="702" t="s">
        <v>731</v>
      </c>
      <c r="S92" s="702" t="s">
        <v>732</v>
      </c>
      <c r="T92" s="703" t="s">
        <v>733</v>
      </c>
    </row>
    <row r="93" spans="1:21">
      <c r="O93" s="706" t="s">
        <v>752</v>
      </c>
      <c r="P93" s="86">
        <v>80</v>
      </c>
      <c r="Q93" s="86">
        <v>60</v>
      </c>
      <c r="R93" s="86">
        <v>60</v>
      </c>
      <c r="S93" s="86">
        <v>30</v>
      </c>
      <c r="T93" s="87">
        <v>30</v>
      </c>
    </row>
    <row r="94" spans="1:21" ht="15" thickBot="1">
      <c r="O94" s="707" t="s">
        <v>753</v>
      </c>
      <c r="P94" s="701">
        <f>P93/1000</f>
        <v>0.08</v>
      </c>
      <c r="Q94" s="701">
        <f t="shared" ref="Q94:T94" si="0">Q93/1000</f>
        <v>0.06</v>
      </c>
      <c r="R94" s="701">
        <f t="shared" si="0"/>
        <v>0.06</v>
      </c>
      <c r="S94" s="701">
        <f t="shared" si="0"/>
        <v>0.03</v>
      </c>
      <c r="T94" s="704">
        <f t="shared" si="0"/>
        <v>0.03</v>
      </c>
    </row>
    <row r="111" spans="1:19" s="697" customFormat="1" ht="18.5">
      <c r="A111" s="708" t="s">
        <v>754</v>
      </c>
      <c r="B111" s="709"/>
      <c r="C111" s="709"/>
      <c r="D111" s="709"/>
      <c r="E111" s="709"/>
      <c r="F111" s="709"/>
      <c r="G111" s="709"/>
    </row>
    <row r="112" spans="1:19" ht="18.5">
      <c r="A112" s="30" t="s">
        <v>755</v>
      </c>
      <c r="B112" s="711"/>
      <c r="C112" s="711"/>
      <c r="D112" s="711"/>
      <c r="E112" s="711"/>
      <c r="F112" s="711"/>
      <c r="G112" s="711"/>
      <c r="M112" s="68" t="s">
        <v>756</v>
      </c>
      <c r="N112" s="68"/>
      <c r="O112" s="68"/>
      <c r="P112" s="68"/>
      <c r="Q112" s="68"/>
      <c r="R112" s="68"/>
      <c r="S112" s="68"/>
    </row>
    <row r="113" spans="1:24">
      <c r="A113" s="30" t="s">
        <v>757</v>
      </c>
      <c r="M113" s="68"/>
      <c r="N113" s="68"/>
      <c r="O113" s="68"/>
      <c r="P113" s="68"/>
      <c r="Q113" s="68"/>
      <c r="R113" s="68"/>
      <c r="S113" s="68"/>
    </row>
    <row r="114" spans="1:24">
      <c r="M114" s="712"/>
      <c r="N114" s="712"/>
      <c r="O114" s="712"/>
      <c r="P114" s="712"/>
      <c r="Q114" s="712"/>
      <c r="R114" s="712"/>
      <c r="S114" s="712"/>
    </row>
    <row r="115" spans="1:24">
      <c r="M115" s="712"/>
      <c r="N115" s="712"/>
      <c r="O115" s="712"/>
      <c r="P115" s="712"/>
      <c r="Q115" s="712"/>
      <c r="R115" s="712"/>
      <c r="S115" s="712"/>
    </row>
    <row r="117" spans="1:24">
      <c r="M117" s="30" t="s">
        <v>758</v>
      </c>
    </row>
    <row r="118" spans="1:24">
      <c r="N118" s="713" t="s">
        <v>759</v>
      </c>
      <c r="O118" s="713"/>
      <c r="P118" s="713"/>
      <c r="Q118" s="713"/>
      <c r="R118" s="713"/>
    </row>
    <row r="119" spans="1:24">
      <c r="M119" s="86"/>
      <c r="O119" s="86" t="s">
        <v>760</v>
      </c>
      <c r="P119" s="86" t="s">
        <v>761</v>
      </c>
      <c r="Q119" s="86" t="s">
        <v>762</v>
      </c>
      <c r="R119" s="86" t="s">
        <v>763</v>
      </c>
      <c r="S119" s="86"/>
    </row>
    <row r="120" spans="1:24">
      <c r="N120" s="30" t="s">
        <v>764</v>
      </c>
      <c r="O120" s="86">
        <v>0.11</v>
      </c>
      <c r="P120" s="86">
        <v>8.3000000000000001E-3</v>
      </c>
      <c r="Q120" s="86">
        <v>5.5E-2</v>
      </c>
      <c r="R120" s="86">
        <v>2.1999999999999999E-2</v>
      </c>
      <c r="S120" s="86"/>
    </row>
    <row r="121" spans="1:24">
      <c r="M121" s="86" t="s">
        <v>765</v>
      </c>
      <c r="N121" s="30" t="s">
        <v>766</v>
      </c>
      <c r="O121" s="86">
        <v>3.5000000000000003E-2</v>
      </c>
      <c r="P121" s="86">
        <v>4.3E-3</v>
      </c>
      <c r="Q121" s="86">
        <v>1.4E-2</v>
      </c>
      <c r="R121" s="86">
        <v>1.6E-2</v>
      </c>
      <c r="S121" s="86"/>
    </row>
    <row r="122" spans="1:24">
      <c r="N122" s="30" t="s">
        <v>767</v>
      </c>
      <c r="O122" s="86">
        <v>1.0999999999999999E-2</v>
      </c>
      <c r="P122" s="86">
        <v>2.2000000000000001E-3</v>
      </c>
      <c r="Q122" s="86">
        <v>3.3999999999999998E-3</v>
      </c>
      <c r="R122" s="86">
        <v>1.0999999999999999E-2</v>
      </c>
      <c r="S122" s="86"/>
    </row>
    <row r="123" spans="1:24">
      <c r="M123" s="86"/>
      <c r="O123" s="86"/>
      <c r="P123" s="86"/>
      <c r="Q123" s="86"/>
      <c r="R123" s="86"/>
      <c r="S123" s="86"/>
    </row>
    <row r="124" spans="1:24">
      <c r="M124" s="86"/>
      <c r="N124" s="30" t="s">
        <v>764</v>
      </c>
      <c r="O124" s="86">
        <v>2.8000000000000001E-2</v>
      </c>
      <c r="P124" s="86">
        <v>6.0000000000000001E-3</v>
      </c>
      <c r="Q124" s="86">
        <v>1.2999999999999999E-2</v>
      </c>
      <c r="R124" s="86">
        <v>1.2E-2</v>
      </c>
      <c r="S124" s="86"/>
    </row>
    <row r="125" spans="1:24">
      <c r="M125" s="86" t="s">
        <v>768</v>
      </c>
      <c r="N125" s="30" t="s">
        <v>766</v>
      </c>
      <c r="O125" s="86">
        <v>1.9E-2</v>
      </c>
      <c r="P125" s="86">
        <v>2.8999999999999998E-3</v>
      </c>
      <c r="Q125" s="86">
        <v>8.0999999999999996E-3</v>
      </c>
      <c r="R125" s="86">
        <v>1.2E-2</v>
      </c>
      <c r="S125" s="86"/>
    </row>
    <row r="126" spans="1:24">
      <c r="N126" s="30" t="s">
        <v>767</v>
      </c>
      <c r="O126" s="86">
        <v>1.2999999999999999E-2</v>
      </c>
      <c r="P126" s="86">
        <v>1.4E-3</v>
      </c>
      <c r="Q126" s="86">
        <v>5.1999999999999998E-3</v>
      </c>
      <c r="R126" s="86">
        <v>7.7999999999999996E-3</v>
      </c>
    </row>
    <row r="127" spans="1:24" ht="15" thickBot="1">
      <c r="O127" s="86"/>
      <c r="P127" s="86"/>
      <c r="Q127" s="86"/>
      <c r="R127" s="86"/>
      <c r="T127" s="714" t="s">
        <v>769</v>
      </c>
      <c r="U127" s="714"/>
      <c r="V127" s="714"/>
      <c r="W127" s="714"/>
      <c r="X127" s="714"/>
    </row>
    <row r="128" spans="1:24">
      <c r="T128" s="702" t="s">
        <v>729</v>
      </c>
      <c r="U128" s="702" t="s">
        <v>730</v>
      </c>
      <c r="V128" s="702" t="s">
        <v>731</v>
      </c>
      <c r="W128" s="702" t="s">
        <v>732</v>
      </c>
      <c r="X128" s="703" t="s">
        <v>733</v>
      </c>
    </row>
    <row r="129" spans="1:24">
      <c r="M129" s="86" t="s">
        <v>770</v>
      </c>
      <c r="N129" s="86"/>
      <c r="O129" s="86" t="s">
        <v>760</v>
      </c>
      <c r="P129" s="86" t="s">
        <v>761</v>
      </c>
      <c r="Q129" s="86" t="s">
        <v>762</v>
      </c>
      <c r="R129" s="86" t="s">
        <v>763</v>
      </c>
      <c r="S129" s="72" t="s">
        <v>724</v>
      </c>
      <c r="T129" s="30">
        <f>($O130*K$160+$P130*K$159+$Q130*K$161+K$158*$R130)/K$163</f>
        <v>4.4435553837158852E-2</v>
      </c>
      <c r="U129" s="30">
        <f t="shared" ref="U129:X131" si="1">($O130*L$160+$P130*L$159+$Q130*L$161+L$158*$R130)/L$163</f>
        <v>4.5150288570238596E-2</v>
      </c>
      <c r="V129" s="30">
        <f t="shared" si="1"/>
        <v>4.4963877681036317E-2</v>
      </c>
      <c r="W129" s="30">
        <f t="shared" si="1"/>
        <v>4.4692711024651208E-2</v>
      </c>
      <c r="X129" s="30">
        <f t="shared" si="1"/>
        <v>4.6421851094187824E-2</v>
      </c>
    </row>
    <row r="130" spans="1:24">
      <c r="M130" s="86"/>
      <c r="N130" s="86" t="s">
        <v>724</v>
      </c>
      <c r="O130" s="86">
        <f>MAX(O120,O124)</f>
        <v>0.11</v>
      </c>
      <c r="P130" s="86">
        <f t="shared" ref="P130:R130" si="2">MAX(P120,P124)</f>
        <v>8.3000000000000001E-3</v>
      </c>
      <c r="Q130" s="86">
        <f t="shared" si="2"/>
        <v>5.5E-2</v>
      </c>
      <c r="R130" s="86">
        <f t="shared" si="2"/>
        <v>2.1999999999999999E-2</v>
      </c>
      <c r="S130" s="72" t="s">
        <v>771</v>
      </c>
      <c r="T130" s="30">
        <f t="shared" ref="T130:T131" si="3">($O131*K$160+$P131*K$159+$Q131*K$161+K$158*$R131)/K$163</f>
        <v>1.1386922162916579E-2</v>
      </c>
      <c r="U130" s="30">
        <f t="shared" si="1"/>
        <v>1.1254810495626825E-2</v>
      </c>
      <c r="V130" s="30">
        <f t="shared" si="1"/>
        <v>1.1020208112125719E-2</v>
      </c>
      <c r="W130" s="30">
        <f t="shared" si="1"/>
        <v>1.0946320556855835E-2</v>
      </c>
      <c r="X130" s="30">
        <f t="shared" si="1"/>
        <v>1.136357979061732E-2</v>
      </c>
    </row>
    <row r="131" spans="1:24">
      <c r="M131" s="86"/>
      <c r="N131" s="86" t="s">
        <v>771</v>
      </c>
      <c r="O131" s="86">
        <f>AVERAGE(O121,O125)</f>
        <v>2.7000000000000003E-2</v>
      </c>
      <c r="P131" s="86">
        <f t="shared" ref="P131:R131" si="4">AVERAGE(P121,P125)</f>
        <v>3.5999999999999999E-3</v>
      </c>
      <c r="Q131" s="86">
        <f t="shared" si="4"/>
        <v>1.1050000000000001E-2</v>
      </c>
      <c r="R131" s="86">
        <f t="shared" si="4"/>
        <v>1.4E-2</v>
      </c>
      <c r="S131" s="72" t="s">
        <v>722</v>
      </c>
      <c r="T131" s="30">
        <f t="shared" si="3"/>
        <v>4.407532864336771E-3</v>
      </c>
      <c r="U131" s="30">
        <f t="shared" si="1"/>
        <v>4.2628071636817994E-3</v>
      </c>
      <c r="V131" s="30">
        <f t="shared" si="1"/>
        <v>4.1084136759396905E-3</v>
      </c>
      <c r="W131" s="30">
        <f t="shared" si="1"/>
        <v>4.0753883096750661E-3</v>
      </c>
      <c r="X131" s="30">
        <f t="shared" si="1"/>
        <v>4.2500799367382377E-3</v>
      </c>
    </row>
    <row r="132" spans="1:24">
      <c r="M132" s="86"/>
      <c r="N132" s="86" t="s">
        <v>722</v>
      </c>
      <c r="O132" s="86">
        <f>MIN(O122,O126)</f>
        <v>1.0999999999999999E-2</v>
      </c>
      <c r="P132" s="86">
        <f t="shared" ref="P132:R132" si="5">MIN(P122,P126)</f>
        <v>1.4E-3</v>
      </c>
      <c r="Q132" s="86">
        <f t="shared" si="5"/>
        <v>3.3999999999999998E-3</v>
      </c>
      <c r="R132" s="86">
        <f t="shared" si="5"/>
        <v>7.7999999999999996E-3</v>
      </c>
    </row>
    <row r="134" spans="1:24" s="697" customFormat="1" ht="18.5">
      <c r="A134" s="715" t="s">
        <v>772</v>
      </c>
      <c r="B134" s="716"/>
      <c r="C134" s="716"/>
      <c r="D134" s="716"/>
      <c r="E134" s="716"/>
      <c r="F134" s="716"/>
      <c r="G134" s="716"/>
      <c r="H134" s="712"/>
      <c r="I134" s="712"/>
    </row>
    <row r="135" spans="1:24" hidden="1">
      <c r="A135" s="665" t="s">
        <v>690</v>
      </c>
      <c r="B135" s="665"/>
      <c r="C135" s="665"/>
      <c r="D135" s="665"/>
      <c r="E135" s="665"/>
      <c r="F135" s="665"/>
      <c r="G135" s="665"/>
      <c r="H135" s="665"/>
    </row>
    <row r="136" spans="1:24" hidden="1">
      <c r="A136" s="666" t="s">
        <v>672</v>
      </c>
      <c r="B136" s="666" t="s">
        <v>691</v>
      </c>
      <c r="C136" s="666"/>
      <c r="D136" s="666"/>
      <c r="E136" s="666"/>
      <c r="F136" s="666"/>
      <c r="G136" s="666"/>
      <c r="H136" s="666"/>
    </row>
    <row r="137" spans="1:24" ht="58" hidden="1">
      <c r="A137" s="666"/>
      <c r="B137" s="569" t="s">
        <v>679</v>
      </c>
      <c r="C137" s="569" t="s">
        <v>678</v>
      </c>
      <c r="D137" s="569" t="s">
        <v>677</v>
      </c>
      <c r="E137" s="569" t="s">
        <v>676</v>
      </c>
      <c r="F137" s="569" t="s">
        <v>675</v>
      </c>
      <c r="G137" s="569" t="s">
        <v>674</v>
      </c>
      <c r="H137" s="569" t="s">
        <v>673</v>
      </c>
    </row>
    <row r="138" spans="1:24" ht="29" hidden="1">
      <c r="A138" s="372" t="s">
        <v>692</v>
      </c>
      <c r="B138" s="373">
        <v>509.57446808510639</v>
      </c>
      <c r="C138" s="373">
        <v>452.38095238095241</v>
      </c>
      <c r="D138" s="373">
        <v>408.60215053763437</v>
      </c>
      <c r="E138" s="373">
        <v>339.62264150943395</v>
      </c>
      <c r="F138" s="373">
        <v>279.92957746478874</v>
      </c>
      <c r="G138" s="373">
        <v>256.98324022346372</v>
      </c>
      <c r="H138" s="373">
        <v>245.8872238302861</v>
      </c>
    </row>
    <row r="139" spans="1:24" ht="72.5" hidden="1">
      <c r="A139" s="372" t="s">
        <v>683</v>
      </c>
      <c r="B139" s="373">
        <v>254.78723404255319</v>
      </c>
      <c r="C139" s="373">
        <v>226.1904761904762</v>
      </c>
      <c r="D139" s="373">
        <v>204.30107526881719</v>
      </c>
      <c r="E139" s="373">
        <v>169.81132075471697</v>
      </c>
      <c r="F139" s="373">
        <v>139.96478873239437</v>
      </c>
      <c r="G139" s="373">
        <v>128.49162011173186</v>
      </c>
      <c r="H139" s="373">
        <v>122.94361191514305</v>
      </c>
    </row>
    <row r="140" spans="1:24" ht="72.5" hidden="1">
      <c r="A140" s="372" t="s">
        <v>686</v>
      </c>
      <c r="B140" s="373">
        <v>81.941489361702125</v>
      </c>
      <c r="C140" s="373">
        <v>35.019841269841265</v>
      </c>
      <c r="D140" s="373">
        <v>27.419354838709676</v>
      </c>
      <c r="E140" s="373">
        <v>21.069182389937108</v>
      </c>
      <c r="F140" s="373">
        <v>16.37323943661972</v>
      </c>
      <c r="G140" s="373">
        <v>14.909217877094973</v>
      </c>
      <c r="H140" s="373">
        <v>15.753352507969074</v>
      </c>
    </row>
    <row r="141" spans="1:24" ht="72.5" hidden="1">
      <c r="A141" s="372" t="s">
        <v>688</v>
      </c>
      <c r="B141" s="373">
        <v>26.914893617021278</v>
      </c>
      <c r="C141" s="373">
        <v>23.015873015873012</v>
      </c>
      <c r="D141" s="373">
        <v>19.892473118279568</v>
      </c>
      <c r="E141" s="373">
        <v>16.037735849056602</v>
      </c>
      <c r="F141" s="373">
        <v>12.67605633802817</v>
      </c>
      <c r="G141" s="373">
        <v>11.592178770949722</v>
      </c>
      <c r="H141" s="373">
        <v>12.387791741472176</v>
      </c>
    </row>
    <row r="142" spans="1:24" ht="72.5" hidden="1">
      <c r="A142" s="372" t="s">
        <v>685</v>
      </c>
      <c r="B142" s="373">
        <v>13.457446808510639</v>
      </c>
      <c r="C142" s="373">
        <v>11.507936507936506</v>
      </c>
      <c r="D142" s="373">
        <v>9.9462365591397841</v>
      </c>
      <c r="E142" s="373">
        <v>8.0188679245283012</v>
      </c>
      <c r="F142" s="373">
        <v>6.3380281690140849</v>
      </c>
      <c r="G142" s="373">
        <v>5.7960893854748612</v>
      </c>
      <c r="H142" s="373">
        <v>6.193895870736088</v>
      </c>
    </row>
    <row r="143" spans="1:24" ht="58" hidden="1">
      <c r="A143" s="372" t="s">
        <v>687</v>
      </c>
      <c r="B143" s="373">
        <v>6.7287234042553195</v>
      </c>
      <c r="C143" s="373">
        <v>5.7539682539682531</v>
      </c>
      <c r="D143" s="373">
        <v>4.9731182795698921</v>
      </c>
      <c r="E143" s="373">
        <v>4.0094339622641506</v>
      </c>
      <c r="F143" s="373">
        <v>3.1690140845070425</v>
      </c>
      <c r="G143" s="373">
        <v>2.8980446927374306</v>
      </c>
      <c r="H143" s="373">
        <v>3.096947935368044</v>
      </c>
    </row>
    <row r="144" spans="1:24" ht="58" hidden="1">
      <c r="A144" s="372" t="s">
        <v>684</v>
      </c>
      <c r="B144" s="373">
        <v>2.691489361702128</v>
      </c>
      <c r="C144" s="373">
        <v>2.3015873015873014</v>
      </c>
      <c r="D144" s="373">
        <v>1.989247311827957</v>
      </c>
      <c r="E144" s="373">
        <v>1.6037735849056602</v>
      </c>
      <c r="F144" s="373">
        <v>1.267605633802817</v>
      </c>
      <c r="G144" s="373">
        <v>1.1592178770949724</v>
      </c>
      <c r="H144" s="373">
        <v>1.2387791741472176</v>
      </c>
    </row>
    <row r="146" spans="1:15">
      <c r="A146" s="30" t="s">
        <v>773</v>
      </c>
    </row>
    <row r="149" spans="1:15" ht="15" thickBot="1">
      <c r="K149" s="717" t="s">
        <v>774</v>
      </c>
      <c r="L149" s="717"/>
      <c r="M149" s="717"/>
      <c r="N149" s="717"/>
      <c r="O149" s="717"/>
    </row>
    <row r="150" spans="1:15">
      <c r="I150" s="30" t="s">
        <v>1467</v>
      </c>
      <c r="K150" s="702" t="s">
        <v>729</v>
      </c>
      <c r="L150" s="702" t="s">
        <v>730</v>
      </c>
      <c r="M150" s="702" t="s">
        <v>731</v>
      </c>
      <c r="N150" s="702" t="s">
        <v>732</v>
      </c>
      <c r="O150" s="703" t="s">
        <v>733</v>
      </c>
    </row>
    <row r="151" spans="1:15">
      <c r="I151" s="30" t="s">
        <v>775</v>
      </c>
      <c r="K151" s="30">
        <f>0.076*0.33</f>
        <v>2.5080000000000002E-2</v>
      </c>
      <c r="L151" s="30">
        <f>0.09*0.33</f>
        <v>2.9700000000000001E-2</v>
      </c>
      <c r="M151" s="30">
        <f>0.095*0.33</f>
        <v>3.1350000000000003E-2</v>
      </c>
      <c r="N151" s="30">
        <f>0.096*0.33</f>
        <v>3.168E-2</v>
      </c>
      <c r="O151" s="30">
        <f>AVERAGE(0.154, 0.121)*0.33</f>
        <v>4.5375000000000006E-2</v>
      </c>
    </row>
    <row r="152" spans="1:15">
      <c r="I152" s="30" t="s">
        <v>761</v>
      </c>
      <c r="K152" s="30">
        <v>0.13300000000000001</v>
      </c>
      <c r="L152" s="30">
        <v>0.20699999999999999</v>
      </c>
      <c r="M152" s="30">
        <v>0.29499999999999998</v>
      </c>
      <c r="N152" s="30">
        <v>0.34</v>
      </c>
      <c r="O152" s="30">
        <f>AVERAGE(0.399, 0.266)</f>
        <v>0.33250000000000002</v>
      </c>
    </row>
    <row r="153" spans="1:15">
      <c r="I153" s="30" t="s">
        <v>760</v>
      </c>
      <c r="K153" s="30">
        <v>4.5999999999999999E-2</v>
      </c>
      <c r="L153" s="30">
        <v>7.0000000000000007E-2</v>
      </c>
      <c r="M153" s="30">
        <v>9.2999999999999999E-2</v>
      </c>
      <c r="N153" s="30">
        <v>0.105</v>
      </c>
      <c r="O153" s="30">
        <f>AVERAGE(0.131,0.106)</f>
        <v>0.11849999999999999</v>
      </c>
    </row>
    <row r="154" spans="1:15">
      <c r="I154" s="30" t="s">
        <v>762</v>
      </c>
      <c r="K154" s="30">
        <v>0.24399999999999999</v>
      </c>
      <c r="L154" s="30">
        <v>0.42599999999999999</v>
      </c>
      <c r="M154" s="30">
        <v>0.626</v>
      </c>
      <c r="N154" s="30">
        <v>0.68700000000000006</v>
      </c>
      <c r="O154" s="30">
        <f>AVERAGE(0.847, 0.764)</f>
        <v>0.80549999999999999</v>
      </c>
    </row>
    <row r="156" spans="1:15" ht="15" thickBot="1">
      <c r="K156" s="717" t="s">
        <v>776</v>
      </c>
      <c r="L156" s="717"/>
      <c r="M156" s="717"/>
      <c r="N156" s="717"/>
      <c r="O156" s="717"/>
    </row>
    <row r="157" spans="1:15">
      <c r="I157" s="165" t="s">
        <v>1467</v>
      </c>
      <c r="K157" s="702" t="s">
        <v>729</v>
      </c>
      <c r="L157" s="702" t="s">
        <v>730</v>
      </c>
      <c r="M157" s="702" t="s">
        <v>731</v>
      </c>
      <c r="N157" s="702" t="s">
        <v>732</v>
      </c>
      <c r="O157" s="703" t="s">
        <v>733</v>
      </c>
    </row>
    <row r="158" spans="1:15">
      <c r="I158" s="30" t="s">
        <v>775</v>
      </c>
      <c r="K158" s="30">
        <f>K151</f>
        <v>2.5080000000000002E-2</v>
      </c>
      <c r="L158" s="30">
        <f t="shared" ref="L158:O158" si="6">L151</f>
        <v>2.9700000000000001E-2</v>
      </c>
      <c r="M158" s="30">
        <f t="shared" si="6"/>
        <v>3.1350000000000003E-2</v>
      </c>
      <c r="N158" s="30">
        <f t="shared" si="6"/>
        <v>3.168E-2</v>
      </c>
      <c r="O158" s="30">
        <f t="shared" si="6"/>
        <v>4.5375000000000006E-2</v>
      </c>
    </row>
    <row r="159" spans="1:15">
      <c r="I159" s="30" t="s">
        <v>761</v>
      </c>
      <c r="K159" s="30">
        <f>K152*0.725</f>
        <v>9.6424999999999997E-2</v>
      </c>
      <c r="L159" s="30">
        <f t="shared" ref="L159:O159" si="7">L152*0.725</f>
        <v>0.15007499999999999</v>
      </c>
      <c r="M159" s="30">
        <f t="shared" si="7"/>
        <v>0.21387499999999998</v>
      </c>
      <c r="N159" s="30">
        <f t="shared" si="7"/>
        <v>0.2465</v>
      </c>
      <c r="O159" s="30">
        <f t="shared" si="7"/>
        <v>0.24106250000000001</v>
      </c>
    </row>
    <row r="160" spans="1:15">
      <c r="I160" s="30" t="s">
        <v>760</v>
      </c>
      <c r="K160" s="30">
        <f>K153</f>
        <v>4.5999999999999999E-2</v>
      </c>
      <c r="L160" s="30">
        <f t="shared" ref="L160:O160" si="8">L153</f>
        <v>7.0000000000000007E-2</v>
      </c>
      <c r="M160" s="30">
        <f t="shared" si="8"/>
        <v>9.2999999999999999E-2</v>
      </c>
      <c r="N160" s="30">
        <f t="shared" si="8"/>
        <v>0.105</v>
      </c>
      <c r="O160" s="30">
        <f t="shared" si="8"/>
        <v>0.11849999999999999</v>
      </c>
    </row>
    <row r="161" spans="9:15">
      <c r="I161" s="30" t="s">
        <v>762</v>
      </c>
      <c r="K161" s="30">
        <f>0.4*K154</f>
        <v>9.7600000000000006E-2</v>
      </c>
      <c r="L161" s="30">
        <f t="shared" ref="L161:O161" si="9">0.4*L154</f>
        <v>0.1704</v>
      </c>
      <c r="M161" s="30">
        <f t="shared" si="9"/>
        <v>0.25040000000000001</v>
      </c>
      <c r="N161" s="30">
        <f t="shared" si="9"/>
        <v>0.27480000000000004</v>
      </c>
      <c r="O161" s="30">
        <f t="shared" si="9"/>
        <v>0.32220000000000004</v>
      </c>
    </row>
    <row r="163" spans="9:15">
      <c r="I163" s="30" t="s">
        <v>777</v>
      </c>
      <c r="K163" s="30">
        <f>SUM(K158:K161)</f>
        <v>0.26510500000000004</v>
      </c>
      <c r="L163" s="30">
        <f t="shared" ref="L163:O163" si="10">SUM(L158:L161)</f>
        <v>0.42017499999999997</v>
      </c>
      <c r="M163" s="30">
        <f t="shared" si="10"/>
        <v>0.58862499999999995</v>
      </c>
      <c r="N163" s="30">
        <f t="shared" si="10"/>
        <v>0.65798000000000001</v>
      </c>
      <c r="O163" s="30">
        <f t="shared" si="10"/>
        <v>0.72713749999999999</v>
      </c>
    </row>
    <row r="165" spans="9:15" ht="16.5">
      <c r="I165" s="30" t="s">
        <v>778</v>
      </c>
      <c r="K165" s="30">
        <f>K163*10000</f>
        <v>2651.05</v>
      </c>
      <c r="L165" s="30">
        <f t="shared" ref="L165:O165" si="11">L163*10000</f>
        <v>4201.75</v>
      </c>
      <c r="M165" s="30">
        <f t="shared" si="11"/>
        <v>5886.2499999999991</v>
      </c>
      <c r="N165" s="30">
        <f t="shared" si="11"/>
        <v>6579.8</v>
      </c>
      <c r="O165" s="30">
        <f t="shared" si="11"/>
        <v>7271.375</v>
      </c>
    </row>
  </sheetData>
  <sheetProtection sheet="1" objects="1" scenarios="1" formatCells="0" formatColumns="0" formatRows="0" sort="0" autoFilter="0"/>
  <mergeCells count="12">
    <mergeCell ref="T127:X127"/>
    <mergeCell ref="K156:O156"/>
    <mergeCell ref="A84:G84"/>
    <mergeCell ref="A85:G85"/>
    <mergeCell ref="A89:G89"/>
    <mergeCell ref="A111:G111"/>
    <mergeCell ref="M112:S115"/>
    <mergeCell ref="A134:I134"/>
    <mergeCell ref="A135:H135"/>
    <mergeCell ref="A136:A137"/>
    <mergeCell ref="B136:H136"/>
    <mergeCell ref="K149:O149"/>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3A0E16-E055-4454-BB74-A5B57BB14FA8}">
  <sheetPr codeName="Sheet16"/>
  <dimension ref="A21:Q42"/>
  <sheetViews>
    <sheetView workbookViewId="0"/>
  </sheetViews>
  <sheetFormatPr defaultRowHeight="14.5"/>
  <cols>
    <col min="1" max="1" width="10.26953125" style="30" customWidth="1"/>
    <col min="2" max="12" width="15.54296875" style="30" customWidth="1"/>
    <col min="13" max="13" width="14.1796875" style="30" customWidth="1"/>
    <col min="14" max="17" width="12.54296875" style="30" customWidth="1"/>
    <col min="18" max="18" width="8.7265625" style="30"/>
    <col min="19" max="19" width="16.7265625" style="30" customWidth="1"/>
    <col min="20" max="16384" width="8.7265625" style="30"/>
  </cols>
  <sheetData>
    <row r="21" spans="1:17" ht="15" thickBot="1">
      <c r="A21" s="178" t="s">
        <v>779</v>
      </c>
    </row>
    <row r="22" spans="1:17">
      <c r="A22" s="61"/>
      <c r="B22" s="62"/>
      <c r="C22" s="718" t="s">
        <v>780</v>
      </c>
      <c r="D22" s="719"/>
      <c r="E22" s="719"/>
      <c r="F22" s="719"/>
      <c r="G22" s="720"/>
      <c r="H22" s="718" t="s">
        <v>781</v>
      </c>
      <c r="I22" s="719"/>
      <c r="J22" s="719"/>
      <c r="K22" s="719"/>
      <c r="L22" s="720"/>
      <c r="M22" s="718" t="s">
        <v>782</v>
      </c>
      <c r="N22" s="719"/>
      <c r="O22" s="719"/>
      <c r="P22" s="719"/>
      <c r="Q22" s="721"/>
    </row>
    <row r="23" spans="1:17" ht="15">
      <c r="A23" s="66"/>
      <c r="B23" s="164" t="s">
        <v>1465</v>
      </c>
      <c r="C23" s="722" t="s">
        <v>729</v>
      </c>
      <c r="D23" s="86" t="s">
        <v>730</v>
      </c>
      <c r="E23" s="86" t="s">
        <v>731</v>
      </c>
      <c r="F23" s="86" t="s">
        <v>732</v>
      </c>
      <c r="G23" s="723" t="s">
        <v>733</v>
      </c>
      <c r="H23" s="722" t="s">
        <v>729</v>
      </c>
      <c r="I23" s="86" t="s">
        <v>730</v>
      </c>
      <c r="J23" s="86" t="s">
        <v>731</v>
      </c>
      <c r="K23" s="86" t="s">
        <v>732</v>
      </c>
      <c r="L23" s="723" t="s">
        <v>733</v>
      </c>
      <c r="M23" s="722" t="s">
        <v>729</v>
      </c>
      <c r="N23" s="86" t="s">
        <v>730</v>
      </c>
      <c r="O23" s="86" t="s">
        <v>731</v>
      </c>
      <c r="P23" s="86" t="s">
        <v>732</v>
      </c>
      <c r="Q23" s="87" t="s">
        <v>733</v>
      </c>
    </row>
    <row r="24" spans="1:17">
      <c r="A24" s="79" t="s">
        <v>292</v>
      </c>
      <c r="B24" s="30" t="s">
        <v>296</v>
      </c>
      <c r="C24" s="724">
        <f>(('Tire Crumb Calc Inputs'!$F$4*10^-6)*'Tire Crumb Calc Inputs'!L34*'Tire Crumb Calc Inputs'!T55*'Tire Crumb Calc Inputs'!$T$76)/'Tire Crumb Calc Inputs'!C87</f>
        <v>6.2661290322580641E-6</v>
      </c>
      <c r="D24" s="724">
        <f>(('Tire Crumb Calc Inputs'!$F$4*10^-6)*'Tire Crumb Calc Inputs'!M34*'Tire Crumb Calc Inputs'!U55*'Tire Crumb Calc Inputs'!$T$76)/'Tire Crumb Calc Inputs'!D87</f>
        <v>4.1603773584905653E-6</v>
      </c>
      <c r="E24" s="724">
        <f>(('Tire Crumb Calc Inputs'!$F$4*10^-6)*'Tire Crumb Calc Inputs'!N34*'Tire Crumb Calc Inputs'!V55*'Tire Crumb Calc Inputs'!$T$76)/'Tire Crumb Calc Inputs'!E87</f>
        <v>8.1522887323943651E-6</v>
      </c>
      <c r="F24" s="724">
        <f>(('Tire Crumb Calc Inputs'!$F$4*10^-6)*'Tire Crumb Calc Inputs'!O34*'Tire Crumb Calc Inputs'!W55*'Tire Crumb Calc Inputs'!$T$76)/'Tire Crumb Calc Inputs'!F87</f>
        <v>4.31145251396648E-6</v>
      </c>
      <c r="G24" s="724">
        <f>(('Tire Crumb Calc Inputs'!$F$4*10^-6)*'Tire Crumb Calc Inputs'!P34*'Tire Crumb Calc Inputs'!X55*'Tire Crumb Calc Inputs'!$T$76)/'Tire Crumb Calc Inputs'!G87</f>
        <v>3.9532499999999998E-6</v>
      </c>
      <c r="H24" s="725">
        <f>C24*'Tire Crumb Calc Inputs'!T$57/1</f>
        <v>6.2661290322580641E-6</v>
      </c>
      <c r="I24" s="726">
        <f>D24*'Tire Crumb Calc Inputs'!U$57/1</f>
        <v>4.1603773584905653E-6</v>
      </c>
      <c r="J24" s="726">
        <f>E24*'Tire Crumb Calc Inputs'!V$57/1</f>
        <v>8.1522887323943651E-6</v>
      </c>
      <c r="K24" s="726">
        <f>F24*'Tire Crumb Calc Inputs'!W$57/1</f>
        <v>4.31145251396648E-6</v>
      </c>
      <c r="L24" s="727">
        <f>G24*'Tire Crumb Calc Inputs'!X$57/1</f>
        <v>3.9532499999999998E-6</v>
      </c>
      <c r="M24" s="725">
        <f>C24*'Tire Crumb Calc Inputs'!T$56/365</f>
        <v>1.339063190455148E-6</v>
      </c>
      <c r="N24" s="726">
        <f>D24*'Tire Crumb Calc Inputs'!U$56/365</f>
        <v>8.8906694236236729E-7</v>
      </c>
      <c r="O24" s="726">
        <f>E24*'Tire Crumb Calc Inputs'!V$56/365</f>
        <v>3.0822351919737598E-6</v>
      </c>
      <c r="P24" s="726">
        <f>F24*'Tire Crumb Calc Inputs'!W$56/365</f>
        <v>1.6300834162393815E-6</v>
      </c>
      <c r="Q24" s="727">
        <f>G24*'Tire Crumb Calc Inputs'!X$56/365</f>
        <v>8.4480410958904103E-7</v>
      </c>
    </row>
    <row r="25" spans="1:17">
      <c r="A25" s="66"/>
      <c r="B25" s="30" t="s">
        <v>302</v>
      </c>
      <c r="C25" s="724">
        <f>((AVERAGE('Tire Crumb Calc Inputs'!$D$4:$E$4)*10^-6)*'Tire Crumb Calc Inputs'!L34*'Tire Crumb Calc Inputs'!T55*'Tire Crumb Calc Inputs'!$T$76)/'Tire Crumb Calc Inputs'!C87</f>
        <v>6.6003225806451622E-7</v>
      </c>
      <c r="D25" s="724">
        <f>((AVERAGE('Tire Crumb Calc Inputs'!$D$4:$E$4)*10^-6)*'Tire Crumb Calc Inputs'!M34*'Tire Crumb Calc Inputs'!U55*'Tire Crumb Calc Inputs'!$T$76)/'Tire Crumb Calc Inputs'!D87</f>
        <v>4.3822641509433966E-7</v>
      </c>
      <c r="E25" s="724">
        <f>((AVERAGE('Tire Crumb Calc Inputs'!$D$4:$E$4)*10^-6)*'Tire Crumb Calc Inputs'!N34*'Tire Crumb Calc Inputs'!V55*'Tire Crumb Calc Inputs'!$T$76)/'Tire Crumb Calc Inputs'!E87</f>
        <v>8.5870774647887322E-7</v>
      </c>
      <c r="F25" s="724">
        <f>((AVERAGE('Tire Crumb Calc Inputs'!$D$4:$E$4)*10^-6)*'Tire Crumb Calc Inputs'!O34*'Tire Crumb Calc Inputs'!W55*'Tire Crumb Calc Inputs'!$T$76)/'Tire Crumb Calc Inputs'!F87</f>
        <v>4.5413966480446929E-7</v>
      </c>
      <c r="G25" s="724">
        <f>((AVERAGE('Tire Crumb Calc Inputs'!$D$4:$E$4)*10^-6)*'Tire Crumb Calc Inputs'!P34*'Tire Crumb Calc Inputs'!X55*'Tire Crumb Calc Inputs'!$T$76)/'Tire Crumb Calc Inputs'!G87</f>
        <v>4.1640900000000009E-7</v>
      </c>
      <c r="H25" s="724">
        <f>C25*'Tire Crumb Calc Inputs'!T$57/1</f>
        <v>6.6003225806451622E-7</v>
      </c>
      <c r="I25" s="728">
        <f>D25*'Tire Crumb Calc Inputs'!U$57/1</f>
        <v>4.3822641509433966E-7</v>
      </c>
      <c r="J25" s="728">
        <f>E25*'Tire Crumb Calc Inputs'!V$57/1</f>
        <v>8.5870774647887322E-7</v>
      </c>
      <c r="K25" s="728">
        <f>F25*'Tire Crumb Calc Inputs'!W$57/1</f>
        <v>4.5413966480446929E-7</v>
      </c>
      <c r="L25" s="729">
        <f>G25*'Tire Crumb Calc Inputs'!X$57/1</f>
        <v>4.1640900000000009E-7</v>
      </c>
      <c r="M25" s="724">
        <f>C25*'Tire Crumb Calc Inputs'!T$56/365</f>
        <v>1.4104798939460895E-7</v>
      </c>
      <c r="N25" s="728">
        <f>D25*'Tire Crumb Calc Inputs'!U$56/365</f>
        <v>9.3648384595502724E-8</v>
      </c>
      <c r="O25" s="728">
        <f>E25*'Tire Crumb Calc Inputs'!V$56/365</f>
        <v>3.2466210688790278E-7</v>
      </c>
      <c r="P25" s="728">
        <f>F25*'Tire Crumb Calc Inputs'!W$56/365</f>
        <v>1.7170211984388155E-7</v>
      </c>
      <c r="Q25" s="729">
        <f>G25*'Tire Crumb Calc Inputs'!X$56/365</f>
        <v>8.8986032876712344E-8</v>
      </c>
    </row>
    <row r="26" spans="1:17" ht="15" thickBot="1">
      <c r="A26" s="700"/>
      <c r="B26" s="121" t="s">
        <v>298</v>
      </c>
      <c r="C26" s="730">
        <f>(('Tire Crumb Calc Inputs'!$D$4*10^-6)*'Tire Crumb Calc Inputs'!L34*'Tire Crumb Calc Inputs'!T55*'Tire Crumb Calc Inputs'!$T$76)/'Tire Crumb Calc Inputs'!C87</f>
        <v>4.0103225806451614E-7</v>
      </c>
      <c r="D26" s="730">
        <f>(('Tire Crumb Calc Inputs'!$D$4*10^-6)*'Tire Crumb Calc Inputs'!M34*'Tire Crumb Calc Inputs'!U55*'Tire Crumb Calc Inputs'!$T$76)/'Tire Crumb Calc Inputs'!D87</f>
        <v>2.662641509433962E-7</v>
      </c>
      <c r="E26" s="730">
        <f>(('Tire Crumb Calc Inputs'!$D$4*10^-6)*'Tire Crumb Calc Inputs'!N34*'Tire Crumb Calc Inputs'!V55*'Tire Crumb Calc Inputs'!$T$76)/'Tire Crumb Calc Inputs'!E87</f>
        <v>5.2174647887323936E-7</v>
      </c>
      <c r="F26" s="730">
        <f>(('Tire Crumb Calc Inputs'!$D$4*10^-6)*'Tire Crumb Calc Inputs'!O34*'Tire Crumb Calc Inputs'!W55*'Tire Crumb Calc Inputs'!$T$76)/'Tire Crumb Calc Inputs'!F87</f>
        <v>2.7593296089385471E-7</v>
      </c>
      <c r="G26" s="730">
        <f>(('Tire Crumb Calc Inputs'!$D$4*10^-6)*'Tire Crumb Calc Inputs'!P34*'Tire Crumb Calc Inputs'!X55*'Tire Crumb Calc Inputs'!$T$76)/'Tire Crumb Calc Inputs'!G87</f>
        <v>2.5300800000000001E-7</v>
      </c>
      <c r="H26" s="731">
        <f>C26*'Tire Crumb Calc Inputs'!T$57/1</f>
        <v>4.0103225806451614E-7</v>
      </c>
      <c r="I26" s="732">
        <f>D26*'Tire Crumb Calc Inputs'!U$57/1</f>
        <v>2.662641509433962E-7</v>
      </c>
      <c r="J26" s="732">
        <f>E26*'Tire Crumb Calc Inputs'!V$57/1</f>
        <v>5.2174647887323936E-7</v>
      </c>
      <c r="K26" s="732">
        <f>F26*'Tire Crumb Calc Inputs'!W$57/1</f>
        <v>2.7593296089385471E-7</v>
      </c>
      <c r="L26" s="733">
        <f>G26*'Tire Crumb Calc Inputs'!X$57/1</f>
        <v>2.5300800000000001E-7</v>
      </c>
      <c r="M26" s="731">
        <f>C26*'Tire Crumb Calc Inputs'!T$56/365</f>
        <v>8.5700044189129481E-8</v>
      </c>
      <c r="N26" s="732">
        <f>D26*'Tire Crumb Calc Inputs'!U$56/365</f>
        <v>5.6900284311191512E-8</v>
      </c>
      <c r="O26" s="732">
        <f>E26*'Tire Crumb Calc Inputs'!V$56/365</f>
        <v>1.9726305228632063E-7</v>
      </c>
      <c r="P26" s="732">
        <f>F26*'Tire Crumb Calc Inputs'!W$56/365</f>
        <v>1.0432533863932042E-7</v>
      </c>
      <c r="Q26" s="733">
        <f>G26*'Tire Crumb Calc Inputs'!X$56/365</f>
        <v>5.4067463013698636E-8</v>
      </c>
    </row>
    <row r="27" spans="1:17">
      <c r="A27" s="66"/>
      <c r="C27" s="734" t="s">
        <v>780</v>
      </c>
      <c r="D27" s="735"/>
      <c r="E27" s="735"/>
      <c r="F27" s="735"/>
      <c r="G27" s="736"/>
      <c r="H27" s="734" t="s">
        <v>781</v>
      </c>
      <c r="I27" s="735"/>
      <c r="J27" s="735"/>
      <c r="K27" s="735"/>
      <c r="L27" s="736"/>
      <c r="M27" s="734" t="s">
        <v>782</v>
      </c>
      <c r="N27" s="735"/>
      <c r="O27" s="735"/>
      <c r="P27" s="735"/>
      <c r="Q27" s="737"/>
    </row>
    <row r="28" spans="1:17">
      <c r="A28" s="66"/>
      <c r="B28" s="30" t="s">
        <v>1466</v>
      </c>
      <c r="C28" s="722" t="s">
        <v>729</v>
      </c>
      <c r="D28" s="86" t="s">
        <v>730</v>
      </c>
      <c r="E28" s="86" t="s">
        <v>731</v>
      </c>
      <c r="F28" s="86" t="s">
        <v>732</v>
      </c>
      <c r="G28" s="723" t="s">
        <v>733</v>
      </c>
      <c r="H28" s="722" t="s">
        <v>729</v>
      </c>
      <c r="I28" s="86" t="s">
        <v>730</v>
      </c>
      <c r="J28" s="86" t="s">
        <v>731</v>
      </c>
      <c r="K28" s="86" t="s">
        <v>732</v>
      </c>
      <c r="L28" s="723" t="s">
        <v>733</v>
      </c>
      <c r="M28" s="722" t="s">
        <v>729</v>
      </c>
      <c r="N28" s="86" t="s">
        <v>730</v>
      </c>
      <c r="O28" s="86" t="s">
        <v>731</v>
      </c>
      <c r="P28" s="86" t="s">
        <v>732</v>
      </c>
      <c r="Q28" s="87" t="s">
        <v>733</v>
      </c>
    </row>
    <row r="29" spans="1:17">
      <c r="A29" s="79" t="s">
        <v>293</v>
      </c>
      <c r="B29" s="30" t="s">
        <v>296</v>
      </c>
      <c r="C29" s="738">
        <f>(('Tire Crumb Calc Inputs'!$N$4*10^-3)*'Tire Crumb Calc Inputs'!P94*'Tire Crumb Calc Inputs'!$T$74)/'Tire Crumb Calc Inputs'!C87</f>
        <v>5.8064516129032256E-6</v>
      </c>
      <c r="D29" s="738">
        <f>(('Tire Crumb Calc Inputs'!$N$4*10^-3)*'Tire Crumb Calc Inputs'!Q94*'Tire Crumb Calc Inputs'!$T$74)/'Tire Crumb Calc Inputs'!D87</f>
        <v>2.5471698113207547E-6</v>
      </c>
      <c r="E29" s="738">
        <f>(('Tire Crumb Calc Inputs'!$N$4*10^-3)*'Tire Crumb Calc Inputs'!R94*'Tire Crumb Calc Inputs'!$T$74)/'Tire Crumb Calc Inputs'!E87</f>
        <v>1.4260563380281691E-6</v>
      </c>
      <c r="F29" s="738">
        <f>(('Tire Crumb Calc Inputs'!$N$4*10^-3)*'Tire Crumb Calc Inputs'!S94*'Tire Crumb Calc Inputs'!$T$74)/'Tire Crumb Calc Inputs'!F87</f>
        <v>5.6564245810055869E-7</v>
      </c>
      <c r="G29" s="738">
        <f>(('Tire Crumb Calc Inputs'!$N$4*10^-3)*'Tire Crumb Calc Inputs'!T94*'Tire Crumb Calc Inputs'!$T$74)/'Tire Crumb Calc Inputs'!G87</f>
        <v>5.0625000000000002E-7</v>
      </c>
      <c r="H29" s="725">
        <f>C29*'Tire Crumb Calc Inputs'!T$57/1</f>
        <v>5.8064516129032256E-6</v>
      </c>
      <c r="I29" s="726">
        <f>D29*'Tire Crumb Calc Inputs'!U$57/1</f>
        <v>2.5471698113207547E-6</v>
      </c>
      <c r="J29" s="726">
        <f>E29*'Tire Crumb Calc Inputs'!V$57/1</f>
        <v>1.4260563380281691E-6</v>
      </c>
      <c r="K29" s="726">
        <f>F29*'Tire Crumb Calc Inputs'!W$57/1</f>
        <v>5.6564245810055869E-7</v>
      </c>
      <c r="L29" s="727">
        <f>G29*'Tire Crumb Calc Inputs'!X$57/1</f>
        <v>5.0625000000000002E-7</v>
      </c>
      <c r="M29" s="725">
        <f>C29*'Tire Crumb Calc Inputs'!T$56/365</f>
        <v>1.240830755634114E-6</v>
      </c>
      <c r="N29" s="726">
        <f>D29*'Tire Crumb Calc Inputs'!U$56/365</f>
        <v>5.443266994055311E-7</v>
      </c>
      <c r="O29" s="726">
        <f>E29*'Tire Crumb Calc Inputs'!V$56/365</f>
        <v>5.3916650588462279E-7</v>
      </c>
      <c r="P29" s="726">
        <f>F29*'Tire Crumb Calc Inputs'!W$56/365</f>
        <v>2.1385934032295095E-7</v>
      </c>
      <c r="Q29" s="727">
        <f>G29*'Tire Crumb Calc Inputs'!X$56/365</f>
        <v>1.0818493150684932E-7</v>
      </c>
    </row>
    <row r="30" spans="1:17">
      <c r="A30" s="66"/>
      <c r="B30" s="30" t="s">
        <v>302</v>
      </c>
      <c r="C30" s="738">
        <f>(('Tire Crumb Calc Inputs'!$M$4*10^-3)*'Tire Crumb Calc Inputs'!P94*'Tire Crumb Calc Inputs'!$T$74)/'Tire Crumb Calc Inputs'!C87</f>
        <v>3.2903225806451615E-6</v>
      </c>
      <c r="D30" s="738">
        <f>(('Tire Crumb Calc Inputs'!$M$4*10^-3)*'Tire Crumb Calc Inputs'!Q94*'Tire Crumb Calc Inputs'!$T$74)/'Tire Crumb Calc Inputs'!D87</f>
        <v>1.4433962264150945E-6</v>
      </c>
      <c r="E30" s="738">
        <f>(('Tire Crumb Calc Inputs'!$M$4*10^-3)*'Tire Crumb Calc Inputs'!R94*'Tire Crumb Calc Inputs'!$T$74)/'Tire Crumb Calc Inputs'!E87</f>
        <v>8.080985915492959E-7</v>
      </c>
      <c r="F30" s="738">
        <f>(('Tire Crumb Calc Inputs'!$M$4*10^-3)*'Tire Crumb Calc Inputs'!S94*'Tire Crumb Calc Inputs'!$T$74)/'Tire Crumb Calc Inputs'!F87</f>
        <v>3.205307262569833E-7</v>
      </c>
      <c r="G30" s="738">
        <f>(('Tire Crumb Calc Inputs'!$M$4*10^-3)*'Tire Crumb Calc Inputs'!T94*'Tire Crumb Calc Inputs'!$T$74)/'Tire Crumb Calc Inputs'!G87</f>
        <v>2.8687500000000001E-7</v>
      </c>
      <c r="H30" s="724">
        <f>C30*'Tire Crumb Calc Inputs'!T$57/1</f>
        <v>3.2903225806451615E-6</v>
      </c>
      <c r="I30" s="728">
        <f>D30*'Tire Crumb Calc Inputs'!U$57/1</f>
        <v>1.4433962264150945E-6</v>
      </c>
      <c r="J30" s="728">
        <f>E30*'Tire Crumb Calc Inputs'!V$57/1</f>
        <v>8.080985915492959E-7</v>
      </c>
      <c r="K30" s="728">
        <f>F30*'Tire Crumb Calc Inputs'!W$57/1</f>
        <v>3.205307262569833E-7</v>
      </c>
      <c r="L30" s="729">
        <f>G30*'Tire Crumb Calc Inputs'!X$57/1</f>
        <v>2.8687500000000001E-7</v>
      </c>
      <c r="M30" s="724">
        <f>C30*'Tire Crumb Calc Inputs'!T$56/365</f>
        <v>7.0313742819266455E-7</v>
      </c>
      <c r="N30" s="728">
        <f>D30*'Tire Crumb Calc Inputs'!U$56/365</f>
        <v>3.08451796329801E-7</v>
      </c>
      <c r="O30" s="728">
        <f>E30*'Tire Crumb Calc Inputs'!V$56/365</f>
        <v>3.0552768666795296E-7</v>
      </c>
      <c r="P30" s="728">
        <f>F30*'Tire Crumb Calc Inputs'!W$56/365</f>
        <v>1.2118695951633889E-7</v>
      </c>
      <c r="Q30" s="729">
        <f>G30*'Tire Crumb Calc Inputs'!X$56/365</f>
        <v>6.1304794520547948E-8</v>
      </c>
    </row>
    <row r="31" spans="1:17" ht="15" thickBot="1">
      <c r="A31" s="66"/>
      <c r="B31" s="30" t="s">
        <v>298</v>
      </c>
      <c r="C31" s="738">
        <f>(('Tire Crumb Calc Inputs'!$L$4*10^-3)*'Tire Crumb Calc Inputs'!P94*'Tire Crumb Calc Inputs'!$T$74)/'Tire Crumb Calc Inputs'!C87</f>
        <v>7.7419354838709663E-7</v>
      </c>
      <c r="D31" s="738">
        <f>(('Tire Crumb Calc Inputs'!$L$4*10^-3)*'Tire Crumb Calc Inputs'!Q94*'Tire Crumb Calc Inputs'!$T$74)/'Tire Crumb Calc Inputs'!D87</f>
        <v>3.396226415094339E-7</v>
      </c>
      <c r="E31" s="738">
        <f>(('Tire Crumb Calc Inputs'!$L$4*10^-3)*'Tire Crumb Calc Inputs'!R94*'Tire Crumb Calc Inputs'!$T$74)/'Tire Crumb Calc Inputs'!E87</f>
        <v>1.9014084507042251E-7</v>
      </c>
      <c r="F31" s="738">
        <f>(('Tire Crumb Calc Inputs'!$L$4*10^-3)*'Tire Crumb Calc Inputs'!S94*'Tire Crumb Calc Inputs'!$T$74)/'Tire Crumb Calc Inputs'!F87</f>
        <v>7.541899441340781E-8</v>
      </c>
      <c r="G31" s="738">
        <f>(('Tire Crumb Calc Inputs'!$L$4*10^-3)*'Tire Crumb Calc Inputs'!T94*'Tire Crumb Calc Inputs'!$T$74)/'Tire Crumb Calc Inputs'!G87</f>
        <v>6.7499999999999989E-8</v>
      </c>
      <c r="H31" s="731">
        <f>C31*'Tire Crumb Calc Inputs'!T$57/1</f>
        <v>7.7419354838709663E-7</v>
      </c>
      <c r="I31" s="732">
        <f>D31*'Tire Crumb Calc Inputs'!U$57/1</f>
        <v>3.396226415094339E-7</v>
      </c>
      <c r="J31" s="732">
        <f>E31*'Tire Crumb Calc Inputs'!V$57/1</f>
        <v>1.9014084507042251E-7</v>
      </c>
      <c r="K31" s="732">
        <f>F31*'Tire Crumb Calc Inputs'!W$57/1</f>
        <v>7.541899441340781E-8</v>
      </c>
      <c r="L31" s="733">
        <f>G31*'Tire Crumb Calc Inputs'!X$57/1</f>
        <v>6.7499999999999989E-8</v>
      </c>
      <c r="M31" s="731">
        <f>C31*'Tire Crumb Calc Inputs'!T$56/365</f>
        <v>1.6544410075121515E-7</v>
      </c>
      <c r="N31" s="732">
        <f>D31*'Tire Crumb Calc Inputs'!U$56/365</f>
        <v>7.2576893254070799E-8</v>
      </c>
      <c r="O31" s="732">
        <f>E31*'Tire Crumb Calc Inputs'!V$56/365</f>
        <v>7.1888867451283031E-8</v>
      </c>
      <c r="P31" s="732">
        <f>F31*'Tire Crumb Calc Inputs'!W$56/365</f>
        <v>2.8514578709726791E-8</v>
      </c>
      <c r="Q31" s="733">
        <f>G31*'Tire Crumb Calc Inputs'!X$56/365</f>
        <v>1.4424657534246575E-8</v>
      </c>
    </row>
    <row r="32" spans="1:17">
      <c r="A32" s="61"/>
      <c r="B32" s="62"/>
      <c r="C32" s="718" t="s">
        <v>780</v>
      </c>
      <c r="D32" s="719"/>
      <c r="E32" s="719"/>
      <c r="F32" s="719"/>
      <c r="G32" s="720"/>
      <c r="H32" s="718" t="s">
        <v>781</v>
      </c>
      <c r="I32" s="719"/>
      <c r="J32" s="719"/>
      <c r="K32" s="719"/>
      <c r="L32" s="720"/>
      <c r="M32" s="718" t="s">
        <v>782</v>
      </c>
      <c r="N32" s="719"/>
      <c r="O32" s="719"/>
      <c r="P32" s="719"/>
      <c r="Q32" s="721"/>
    </row>
    <row r="33" spans="1:17" ht="15">
      <c r="A33" s="66"/>
      <c r="B33" s="164" t="s">
        <v>1466</v>
      </c>
      <c r="C33" s="722" t="s">
        <v>729</v>
      </c>
      <c r="D33" s="86" t="s">
        <v>730</v>
      </c>
      <c r="E33" s="86" t="s">
        <v>731</v>
      </c>
      <c r="F33" s="86" t="s">
        <v>732</v>
      </c>
      <c r="G33" s="723" t="s">
        <v>733</v>
      </c>
      <c r="H33" s="722" t="s">
        <v>729</v>
      </c>
      <c r="I33" s="86" t="s">
        <v>730</v>
      </c>
      <c r="J33" s="86" t="s">
        <v>731</v>
      </c>
      <c r="K33" s="86" t="s">
        <v>732</v>
      </c>
      <c r="L33" s="723" t="s">
        <v>733</v>
      </c>
      <c r="M33" s="722" t="s">
        <v>729</v>
      </c>
      <c r="N33" s="86" t="s">
        <v>730</v>
      </c>
      <c r="O33" s="86" t="s">
        <v>731</v>
      </c>
      <c r="P33" s="86" t="s">
        <v>732</v>
      </c>
      <c r="Q33" s="87" t="s">
        <v>733</v>
      </c>
    </row>
    <row r="34" spans="1:17">
      <c r="A34" s="79" t="s">
        <v>231</v>
      </c>
      <c r="B34" s="30" t="s">
        <v>296</v>
      </c>
      <c r="C34" s="94">
        <f>(('Tire Crumb Calc Inputs'!$N$4*10^-3)*'Tire Crumb Calc Inputs'!$T$75*'Tire Crumb Calc Inputs'!T129*'Tire Crumb Calc Inputs'!K$165)/'Tire Crumb Calc Inputs'!C$87</f>
        <v>1.7100127016129029E-3</v>
      </c>
      <c r="D34" s="94">
        <f>(('Tire Crumb Calc Inputs'!$N$4*10^-3)*'Tire Crumb Calc Inputs'!$T$75*'Tire Crumb Calc Inputs'!U129*'Tire Crumb Calc Inputs'!L$165)/'Tire Crumb Calc Inputs'!D$87</f>
        <v>1.6107471933962266E-3</v>
      </c>
      <c r="E34" s="94">
        <f>(('Tire Crumb Calc Inputs'!$N$4*10^-3)*'Tire Crumb Calc Inputs'!$T$75*'Tire Crumb Calc Inputs'!V129*'Tire Crumb Calc Inputs'!M$165)/'Tire Crumb Calc Inputs'!E$87</f>
        <v>1.258107900528169E-3</v>
      </c>
      <c r="F34" s="94">
        <f>(('Tire Crumb Calc Inputs'!$N$4*10^-3)*'Tire Crumb Calc Inputs'!$T$75*'Tire Crumb Calc Inputs'!W129*'Tire Crumb Calc Inputs'!N$165)/'Tire Crumb Calc Inputs'!F$87</f>
        <v>1.1089197905027935E-3</v>
      </c>
      <c r="G34" s="94">
        <f>(('Tire Crumb Calc Inputs'!$N$4*10^-3)*'Tire Crumb Calc Inputs'!$T$75*'Tire Crumb Calc Inputs'!X129*'Tire Crumb Calc Inputs'!O$165)/'Tire Crumb Calc Inputs'!G$87</f>
        <v>1.1392335703125E-3</v>
      </c>
      <c r="H34" s="725">
        <f>C34*'Tire Crumb Calc Inputs'!T$57/1</f>
        <v>1.7100127016129029E-3</v>
      </c>
      <c r="I34" s="726">
        <f>D34*'Tire Crumb Calc Inputs'!U$57/1</f>
        <v>1.6107471933962266E-3</v>
      </c>
      <c r="J34" s="726">
        <f>E34*'Tire Crumb Calc Inputs'!V$57/1</f>
        <v>1.258107900528169E-3</v>
      </c>
      <c r="K34" s="726">
        <f>F34*'Tire Crumb Calc Inputs'!W$57/1</f>
        <v>1.1089197905027935E-3</v>
      </c>
      <c r="L34" s="727">
        <f>G34*'Tire Crumb Calc Inputs'!X$57/1</f>
        <v>1.1392335703125E-3</v>
      </c>
      <c r="M34" s="725">
        <f>C34*'Tire Crumb Calc Inputs'!T$56/365</f>
        <v>3.6542737185152444E-4</v>
      </c>
      <c r="N34" s="726">
        <f>D34*'Tire Crumb Calc Inputs'!U$56/365</f>
        <v>3.4421446872576899E-4</v>
      </c>
      <c r="O34" s="726">
        <f>E34*'Tire Crumb Calc Inputs'!V$56/365</f>
        <v>4.756681925284584E-4</v>
      </c>
      <c r="P34" s="726">
        <f>F34*'Tire Crumb Calc Inputs'!W$56/365</f>
        <v>4.1926282490242604E-4</v>
      </c>
      <c r="Q34" s="727">
        <f>G34*'Tire Crumb Calc Inputs'!X$56/365</f>
        <v>2.4345265338184932E-4</v>
      </c>
    </row>
    <row r="35" spans="1:17">
      <c r="A35" s="66"/>
      <c r="B35" s="30" t="s">
        <v>302</v>
      </c>
      <c r="C35" s="94">
        <f>(('Tire Crumb Calc Inputs'!$M$4*10^-3)*'Tire Crumb Calc Inputs'!$T$75*'Tire Crumb Calc Inputs'!T130*'Tire Crumb Calc Inputs'!K$165)/'Tire Crumb Calc Inputs'!C$87</f>
        <v>2.4831488709677421E-4</v>
      </c>
      <c r="D35" s="94">
        <f>(('Tire Crumb Calc Inputs'!$M$4*10^-3)*'Tire Crumb Calc Inputs'!$T$75*'Tire Crumb Calc Inputs'!U130*'Tire Crumb Calc Inputs'!L$165)/'Tire Crumb Calc Inputs'!D$87</f>
        <v>2.2752687735849068E-4</v>
      </c>
      <c r="E35" s="94">
        <f>(('Tire Crumb Calc Inputs'!$M$4*10^-3)*'Tire Crumb Calc Inputs'!$T$75*'Tire Crumb Calc Inputs'!V130*'Tire Crumb Calc Inputs'!M$165)/'Tire Crumb Calc Inputs'!E$87</f>
        <v>1.747316566901409E-4</v>
      </c>
      <c r="F35" s="94">
        <f>(('Tire Crumb Calc Inputs'!$M$4*10^-3)*'Tire Crumb Calc Inputs'!$T$75*'Tire Crumb Calc Inputs'!W130*'Tire Crumb Calc Inputs'!N$165)/'Tire Crumb Calc Inputs'!F$87</f>
        <v>1.5390731564245819E-4</v>
      </c>
      <c r="G35" s="94">
        <f>(('Tire Crumb Calc Inputs'!$M$4*10^-3)*'Tire Crumb Calc Inputs'!$T$75*'Tire Crumb Calc Inputs'!X130*'Tire Crumb Calc Inputs'!O$165)/'Tire Crumb Calc Inputs'!G$87</f>
        <v>1.5802767562500005E-4</v>
      </c>
      <c r="H35" s="724">
        <f>C35*'Tire Crumb Calc Inputs'!T$57/1</f>
        <v>2.4831488709677421E-4</v>
      </c>
      <c r="I35" s="728">
        <f>D35*'Tire Crumb Calc Inputs'!U$57/1</f>
        <v>2.2752687735849068E-4</v>
      </c>
      <c r="J35" s="728">
        <f>E35*'Tire Crumb Calc Inputs'!V$57/1</f>
        <v>1.747316566901409E-4</v>
      </c>
      <c r="K35" s="728">
        <f>F35*'Tire Crumb Calc Inputs'!W$57/1</f>
        <v>1.5390731564245819E-4</v>
      </c>
      <c r="L35" s="729">
        <f>G35*'Tire Crumb Calc Inputs'!X$57/1</f>
        <v>1.5802767562500005E-4</v>
      </c>
      <c r="M35" s="724">
        <f>C35*'Tire Crumb Calc Inputs'!T$56/365</f>
        <v>5.3064551215201066E-5</v>
      </c>
      <c r="N35" s="728">
        <f>D35*'Tire Crumb Calc Inputs'!U$56/365</f>
        <v>4.8622182010855541E-5</v>
      </c>
      <c r="O35" s="728">
        <f>E35*'Tire Crumb Calc Inputs'!V$56/365</f>
        <v>6.6062927734902591E-5</v>
      </c>
      <c r="P35" s="728">
        <f>F35*'Tire Crumb Calc Inputs'!W$56/365</f>
        <v>5.8189615229203372E-5</v>
      </c>
      <c r="Q35" s="729">
        <f>G35*'Tire Crumb Calc Inputs'!X$56/365</f>
        <v>3.3770297804794534E-5</v>
      </c>
    </row>
    <row r="36" spans="1:17" ht="15" thickBot="1">
      <c r="A36" s="700"/>
      <c r="B36" s="121" t="s">
        <v>298</v>
      </c>
      <c r="C36" s="117">
        <f>(('Tire Crumb Calc Inputs'!$L$4*10^-3)*'Tire Crumb Calc Inputs'!$T$75*'Tire Crumb Calc Inputs'!T131*'Tire Crumb Calc Inputs'!K$165)/'Tire Crumb Calc Inputs'!C$87</f>
        <v>2.2615335483870958E-5</v>
      </c>
      <c r="D36" s="117">
        <f>(('Tire Crumb Calc Inputs'!$L$4*10^-3)*'Tire Crumb Calc Inputs'!$T$75*'Tire Crumb Calc Inputs'!U131*'Tire Crumb Calc Inputs'!L$165)/'Tire Crumb Calc Inputs'!D$87</f>
        <v>2.0276886792452832E-5</v>
      </c>
      <c r="E36" s="117">
        <f>(('Tire Crumb Calc Inputs'!$L$4*10^-3)*'Tire Crumb Calc Inputs'!$T$75*'Tire Crumb Calc Inputs'!V131*'Tire Crumb Calc Inputs'!M$165)/'Tire Crumb Calc Inputs'!E$87</f>
        <v>1.5327348591549297E-5</v>
      </c>
      <c r="F36" s="117">
        <f>(('Tire Crumb Calc Inputs'!$L$4*10^-3)*'Tire Crumb Calc Inputs'!$T$75*'Tire Crumb Calc Inputs'!W131*'Tire Crumb Calc Inputs'!N$165)/'Tire Crumb Calc Inputs'!F$87</f>
        <v>1.3482522905027933E-5</v>
      </c>
      <c r="G36" s="117">
        <f>(('Tire Crumb Calc Inputs'!$L$4*10^-3)*'Tire Crumb Calc Inputs'!$T$75*'Tire Crumb Calc Inputs'!X131*'Tire Crumb Calc Inputs'!O$165)/'Tire Crumb Calc Inputs'!G$87</f>
        <v>1.3906766250000003E-5</v>
      </c>
      <c r="H36" s="731">
        <f>C36*'Tire Crumb Calc Inputs'!T$57/1</f>
        <v>2.2615335483870958E-5</v>
      </c>
      <c r="I36" s="732">
        <f>D36*'Tire Crumb Calc Inputs'!U$57/1</f>
        <v>2.0276886792452832E-5</v>
      </c>
      <c r="J36" s="732">
        <f>E36*'Tire Crumb Calc Inputs'!V$57/1</f>
        <v>1.5327348591549297E-5</v>
      </c>
      <c r="K36" s="732">
        <f>F36*'Tire Crumb Calc Inputs'!W$57/1</f>
        <v>1.3482522905027933E-5</v>
      </c>
      <c r="L36" s="733">
        <f>G36*'Tire Crumb Calc Inputs'!X$57/1</f>
        <v>1.3906766250000003E-5</v>
      </c>
      <c r="M36" s="731">
        <f>C36*'Tire Crumb Calc Inputs'!T$56/365</f>
        <v>4.8328662129916026E-6</v>
      </c>
      <c r="N36" s="732">
        <f>D36*'Tire Crumb Calc Inputs'!U$56/365</f>
        <v>4.3331429309899204E-6</v>
      </c>
      <c r="O36" s="732">
        <f>E36*'Tire Crumb Calc Inputs'!V$56/365</f>
        <v>5.7949975496816522E-6</v>
      </c>
      <c r="P36" s="732">
        <f>F36*'Tire Crumb Calc Inputs'!W$56/365</f>
        <v>5.097501810668095E-6</v>
      </c>
      <c r="Q36" s="733">
        <f>G36*'Tire Crumb Calc Inputs'!X$56/365</f>
        <v>2.9718568972602743E-6</v>
      </c>
    </row>
    <row r="39" spans="1:17">
      <c r="C39" s="667"/>
      <c r="D39" s="667"/>
      <c r="E39" s="667"/>
      <c r="F39" s="667"/>
      <c r="G39" s="667"/>
      <c r="H39" s="667"/>
      <c r="I39" s="667"/>
      <c r="J39" s="667"/>
      <c r="K39" s="667"/>
      <c r="L39" s="667"/>
      <c r="M39" s="667"/>
      <c r="N39" s="667"/>
      <c r="O39" s="667"/>
      <c r="P39" s="667"/>
      <c r="Q39" s="667"/>
    </row>
    <row r="40" spans="1:17">
      <c r="C40" s="667"/>
      <c r="D40" s="667"/>
      <c r="E40" s="667"/>
      <c r="F40" s="667"/>
      <c r="G40" s="667"/>
      <c r="H40" s="667"/>
      <c r="I40" s="667"/>
      <c r="J40" s="667"/>
      <c r="K40" s="667"/>
      <c r="L40" s="667"/>
      <c r="M40" s="667"/>
      <c r="N40" s="667"/>
      <c r="O40" s="667"/>
      <c r="P40" s="667"/>
      <c r="Q40" s="667"/>
    </row>
    <row r="42" spans="1:17">
      <c r="C42" s="667"/>
      <c r="D42" s="667"/>
      <c r="E42" s="667"/>
      <c r="F42" s="667"/>
      <c r="G42" s="667"/>
      <c r="H42" s="667"/>
      <c r="I42" s="667"/>
      <c r="J42" s="667"/>
      <c r="K42" s="667"/>
      <c r="L42" s="667"/>
      <c r="M42" s="667"/>
      <c r="N42" s="667"/>
      <c r="O42" s="667"/>
      <c r="P42" s="667"/>
      <c r="Q42" s="667"/>
    </row>
  </sheetData>
  <sheetProtection sheet="1" objects="1" scenarios="1" formatCells="0" formatColumns="0" formatRows="0" sort="0" autoFilter="0"/>
  <mergeCells count="9">
    <mergeCell ref="C32:G32"/>
    <mergeCell ref="H32:L32"/>
    <mergeCell ref="M32:Q32"/>
    <mergeCell ref="C22:G22"/>
    <mergeCell ref="H22:L22"/>
    <mergeCell ref="M22:Q22"/>
    <mergeCell ref="C27:G27"/>
    <mergeCell ref="H27:L27"/>
    <mergeCell ref="M27:Q27"/>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48F8D-A6D8-41BE-83EF-424F04165962}">
  <sheetPr codeName="Sheet2"/>
  <dimension ref="A1:D39"/>
  <sheetViews>
    <sheetView workbookViewId="0"/>
  </sheetViews>
  <sheetFormatPr defaultColWidth="8.7265625" defaultRowHeight="14.5"/>
  <cols>
    <col min="1" max="1" width="30.26953125" style="24" customWidth="1"/>
    <col min="2" max="2" width="49.7265625" style="12" customWidth="1"/>
    <col min="3" max="16384" width="8.7265625" style="12"/>
  </cols>
  <sheetData>
    <row r="1" spans="1:4" ht="21">
      <c r="A1" s="10" t="s">
        <v>0</v>
      </c>
      <c r="B1" s="11"/>
    </row>
    <row r="3" spans="1:4" ht="21" customHeight="1">
      <c r="A3" s="13" t="s">
        <v>1</v>
      </c>
      <c r="B3" s="13" t="s">
        <v>2</v>
      </c>
    </row>
    <row r="4" spans="1:4" s="16" customFormat="1" ht="31.15" customHeight="1">
      <c r="A4" s="14" t="s">
        <v>3</v>
      </c>
      <c r="B4" s="15" t="s">
        <v>4</v>
      </c>
    </row>
    <row r="5" spans="1:4" s="16" customFormat="1" ht="29">
      <c r="A5" s="14" t="s">
        <v>1477</v>
      </c>
      <c r="B5" s="15" t="s">
        <v>5</v>
      </c>
    </row>
    <row r="6" spans="1:4" s="16" customFormat="1">
      <c r="A6" s="14" t="s">
        <v>1478</v>
      </c>
      <c r="B6" s="15" t="s">
        <v>1479</v>
      </c>
    </row>
    <row r="7" spans="1:4" s="16" customFormat="1">
      <c r="A7" s="14" t="s">
        <v>1480</v>
      </c>
      <c r="B7" s="15" t="s">
        <v>1481</v>
      </c>
    </row>
    <row r="8" spans="1:4" s="16" customFormat="1" ht="29">
      <c r="A8" s="14" t="s">
        <v>1482</v>
      </c>
      <c r="B8" s="15" t="s">
        <v>1483</v>
      </c>
    </row>
    <row r="9" spans="1:4" s="16" customFormat="1" ht="29">
      <c r="A9" s="14" t="s">
        <v>1476</v>
      </c>
      <c r="B9" s="15" t="s">
        <v>6</v>
      </c>
    </row>
    <row r="10" spans="1:4" s="16" customFormat="1" ht="46.15" customHeight="1">
      <c r="A10" s="17" t="s">
        <v>9</v>
      </c>
      <c r="B10" s="18" t="s">
        <v>10</v>
      </c>
      <c r="D10" s="19"/>
    </row>
    <row r="11" spans="1:4" s="16" customFormat="1" ht="46.15" customHeight="1">
      <c r="A11" s="17" t="s">
        <v>1484</v>
      </c>
      <c r="B11" s="18" t="s">
        <v>1485</v>
      </c>
      <c r="D11" s="19"/>
    </row>
    <row r="12" spans="1:4" s="16" customFormat="1" ht="33.65" customHeight="1">
      <c r="A12" s="20" t="s">
        <v>11</v>
      </c>
      <c r="B12" s="18" t="s">
        <v>12</v>
      </c>
      <c r="D12" s="19"/>
    </row>
    <row r="13" spans="1:4" s="16" customFormat="1" ht="33.65" customHeight="1">
      <c r="A13" s="21" t="s">
        <v>13</v>
      </c>
      <c r="B13" s="18" t="s">
        <v>14</v>
      </c>
      <c r="D13" s="19"/>
    </row>
    <row r="14" spans="1:4" s="16" customFormat="1" ht="29">
      <c r="A14" s="17" t="s">
        <v>7</v>
      </c>
      <c r="B14" s="15" t="s">
        <v>8</v>
      </c>
      <c r="D14" s="19"/>
    </row>
    <row r="15" spans="1:4">
      <c r="A15" s="22" t="s">
        <v>1486</v>
      </c>
      <c r="B15" s="23" t="s">
        <v>1488</v>
      </c>
      <c r="D15" s="19"/>
    </row>
    <row r="16" spans="1:4">
      <c r="A16" s="22" t="s">
        <v>1487</v>
      </c>
      <c r="B16" s="23" t="s">
        <v>1489</v>
      </c>
      <c r="D16" s="19"/>
    </row>
    <row r="17" spans="4:4">
      <c r="D17" s="19"/>
    </row>
    <row r="18" spans="4:4">
      <c r="D18" s="19"/>
    </row>
    <row r="19" spans="4:4">
      <c r="D19" s="19"/>
    </row>
    <row r="20" spans="4:4">
      <c r="D20" s="19"/>
    </row>
    <row r="21" spans="4:4">
      <c r="D21" s="19"/>
    </row>
    <row r="22" spans="4:4">
      <c r="D22" s="19"/>
    </row>
    <row r="23" spans="4:4">
      <c r="D23" s="19"/>
    </row>
    <row r="24" spans="4:4">
      <c r="D24" s="19"/>
    </row>
    <row r="25" spans="4:4">
      <c r="D25" s="19"/>
    </row>
    <row r="26" spans="4:4">
      <c r="D26" s="19"/>
    </row>
    <row r="27" spans="4:4">
      <c r="D27" s="19"/>
    </row>
    <row r="28" spans="4:4">
      <c r="D28" s="19"/>
    </row>
    <row r="29" spans="4:4">
      <c r="D29" s="19"/>
    </row>
    <row r="30" spans="4:4">
      <c r="D30" s="19"/>
    </row>
    <row r="31" spans="4:4">
      <c r="D31" s="19"/>
    </row>
    <row r="32" spans="4:4">
      <c r="D32" s="19"/>
    </row>
    <row r="33" spans="4:4">
      <c r="D33" s="19"/>
    </row>
    <row r="34" spans="4:4">
      <c r="D34" s="19"/>
    </row>
    <row r="35" spans="4:4">
      <c r="D35" s="19"/>
    </row>
    <row r="36" spans="4:4">
      <c r="D36" s="19"/>
    </row>
    <row r="37" spans="4:4">
      <c r="D37" s="19"/>
    </row>
    <row r="38" spans="4:4">
      <c r="D38" s="19"/>
    </row>
    <row r="39" spans="4:4">
      <c r="D39" s="19"/>
    </row>
  </sheetData>
  <sheetProtection sheet="1" objects="1" scenarios="1" formatCells="0" formatColumns="0" formatRows="0" sort="0" autoFilter="0"/>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0458B1-3298-406C-969D-C4ADEB28D3EA}">
  <sheetPr codeName="Sheet3"/>
  <dimension ref="A1:V79"/>
  <sheetViews>
    <sheetView zoomScale="105" zoomScaleNormal="97" workbookViewId="0"/>
  </sheetViews>
  <sheetFormatPr defaultColWidth="8.7265625" defaultRowHeight="14.5"/>
  <cols>
    <col min="1" max="1" width="39.54296875" style="24" customWidth="1"/>
    <col min="2" max="2" width="13.54296875" style="24" customWidth="1"/>
    <col min="3" max="3" width="18.54296875" style="24" customWidth="1"/>
    <col min="4" max="4" width="15" style="24" customWidth="1"/>
    <col min="5" max="5" width="8.26953125" style="24" customWidth="1"/>
    <col min="6" max="6" width="8.7265625" style="24"/>
    <col min="7" max="7" width="29.26953125" style="24" customWidth="1"/>
    <col min="8" max="8" width="10.54296875" style="24" bestFit="1" customWidth="1"/>
    <col min="9" max="9" width="10.7265625" style="24" bestFit="1" customWidth="1"/>
    <col min="10" max="10" width="11.7265625" style="24" bestFit="1" customWidth="1"/>
    <col min="11" max="11" width="8.7265625" style="24"/>
    <col min="12" max="12" width="8.7265625" style="24" bestFit="1" customWidth="1"/>
    <col min="13" max="13" width="8.7265625" style="24"/>
    <col min="14" max="14" width="48.26953125" style="24" customWidth="1"/>
    <col min="15" max="15" width="11.7265625" style="24" bestFit="1" customWidth="1"/>
    <col min="16" max="17" width="8.7265625" style="24" bestFit="1" customWidth="1"/>
    <col min="18" max="16384" width="8.7265625" style="24"/>
  </cols>
  <sheetData>
    <row r="1" spans="1:22" s="25" customFormat="1" ht="21">
      <c r="A1" s="10" t="s">
        <v>26</v>
      </c>
      <c r="G1" s="26" t="s">
        <v>27</v>
      </c>
      <c r="H1" s="26" t="s">
        <v>28</v>
      </c>
      <c r="I1" s="27" t="s">
        <v>29</v>
      </c>
      <c r="J1" s="28" t="s">
        <v>30</v>
      </c>
      <c r="O1" s="12"/>
      <c r="P1" s="12"/>
      <c r="Q1" s="12"/>
      <c r="R1" s="12"/>
      <c r="S1" s="12"/>
    </row>
    <row r="2" spans="1:22">
      <c r="A2" s="29" t="s">
        <v>31</v>
      </c>
      <c r="B2" s="30"/>
      <c r="C2" s="30"/>
      <c r="D2" s="30"/>
      <c r="E2" s="30"/>
      <c r="F2" s="30"/>
      <c r="G2" s="31" t="s">
        <v>32</v>
      </c>
      <c r="H2" s="32">
        <v>2.4564350616644553E-10</v>
      </c>
      <c r="I2" s="33">
        <v>13974340204.023058</v>
      </c>
      <c r="J2" s="33">
        <v>-3.6123610708324345</v>
      </c>
      <c r="K2" s="30"/>
      <c r="L2" s="30"/>
      <c r="M2" s="30"/>
      <c r="N2" s="12"/>
      <c r="O2" s="12"/>
      <c r="P2" s="12"/>
      <c r="Q2" s="12"/>
      <c r="R2" s="12"/>
      <c r="S2" s="12"/>
      <c r="T2" s="30"/>
      <c r="U2" s="30"/>
      <c r="V2" s="30"/>
    </row>
    <row r="3" spans="1:22">
      <c r="A3" s="34" t="s">
        <v>33</v>
      </c>
      <c r="B3" s="34" t="s">
        <v>34</v>
      </c>
      <c r="C3" s="34" t="s">
        <v>35</v>
      </c>
      <c r="D3" s="34" t="s">
        <v>36</v>
      </c>
      <c r="E3" s="30"/>
      <c r="F3" s="30"/>
      <c r="G3" s="31" t="s">
        <v>37</v>
      </c>
      <c r="H3" s="32">
        <v>3.27838436831621E-10</v>
      </c>
      <c r="I3" s="33">
        <v>27702043997.748554</v>
      </c>
      <c r="J3" s="33">
        <v>-3.7184508869808952</v>
      </c>
      <c r="K3" s="30"/>
      <c r="L3" s="30"/>
      <c r="M3" s="30"/>
      <c r="N3" s="12"/>
      <c r="O3" s="12"/>
      <c r="P3" s="12"/>
      <c r="Q3" s="12"/>
      <c r="R3" s="12"/>
      <c r="S3" s="12"/>
      <c r="T3" s="30"/>
      <c r="U3" s="30"/>
      <c r="V3" s="30"/>
    </row>
    <row r="4" spans="1:22">
      <c r="A4" s="35" t="s">
        <v>38</v>
      </c>
      <c r="B4" s="36"/>
      <c r="C4" s="37">
        <v>278.35000000000002</v>
      </c>
      <c r="D4" s="36" t="s">
        <v>39</v>
      </c>
      <c r="E4" s="30"/>
      <c r="F4" s="30"/>
      <c r="G4" s="38" t="s">
        <v>40</v>
      </c>
      <c r="H4" s="39">
        <v>5.9842805931772729E-12</v>
      </c>
      <c r="I4" s="40">
        <v>477320004953.16284</v>
      </c>
      <c r="J4" s="40">
        <f>P34+Q34+R34</f>
        <v>-4.6858638697523558</v>
      </c>
      <c r="K4" s="30"/>
      <c r="L4" s="30"/>
      <c r="M4" s="30"/>
      <c r="N4" s="41"/>
      <c r="O4" s="41"/>
      <c r="P4" s="41"/>
      <c r="Q4" s="41"/>
      <c r="R4" s="12"/>
      <c r="S4" s="12"/>
      <c r="T4" s="30"/>
      <c r="U4" s="30"/>
      <c r="V4" s="30"/>
    </row>
    <row r="5" spans="1:22">
      <c r="A5" s="35" t="s">
        <v>41</v>
      </c>
      <c r="B5" s="42"/>
      <c r="C5" s="43">
        <v>4.7599999999999998E-5</v>
      </c>
      <c r="D5" s="36" t="s">
        <v>42</v>
      </c>
      <c r="E5" s="30"/>
      <c r="F5" s="30"/>
      <c r="G5" s="31" t="s">
        <v>43</v>
      </c>
      <c r="H5" s="32">
        <v>4.4522811359408949E-14</v>
      </c>
      <c r="I5" s="33">
        <v>80594750900.253906</v>
      </c>
      <c r="J5" s="33">
        <v>-6.3438186475875957</v>
      </c>
      <c r="K5" s="30"/>
      <c r="L5" s="30"/>
      <c r="M5" s="30"/>
      <c r="N5" s="41"/>
      <c r="O5" s="41"/>
      <c r="P5" s="41"/>
      <c r="Q5" s="41"/>
      <c r="R5" s="12"/>
      <c r="S5" s="12"/>
      <c r="T5" s="30"/>
      <c r="U5" s="30"/>
      <c r="V5" s="30"/>
    </row>
    <row r="6" spans="1:22">
      <c r="A6" s="35" t="s">
        <v>44</v>
      </c>
      <c r="B6" s="36"/>
      <c r="C6" s="44">
        <v>6.2</v>
      </c>
      <c r="D6" s="36" t="s">
        <v>45</v>
      </c>
      <c r="E6" s="30"/>
      <c r="F6" s="30"/>
      <c r="G6" s="31" t="s">
        <v>46</v>
      </c>
      <c r="H6" s="32">
        <v>4.3210085532020638E-12</v>
      </c>
      <c r="I6" s="33">
        <v>17296005328.067699</v>
      </c>
      <c r="J6" s="33">
        <v>-4.6113779250446116</v>
      </c>
      <c r="K6" s="30"/>
      <c r="L6" s="30"/>
      <c r="M6" s="30"/>
      <c r="N6" s="41"/>
      <c r="O6" s="41"/>
      <c r="P6" s="41"/>
      <c r="Q6" s="41"/>
      <c r="R6" s="30"/>
      <c r="S6" s="30"/>
      <c r="T6" s="30"/>
      <c r="U6" s="30"/>
      <c r="V6" s="30"/>
    </row>
    <row r="7" spans="1:22">
      <c r="A7" s="35" t="s">
        <v>47</v>
      </c>
      <c r="B7" s="36"/>
      <c r="C7" s="37">
        <v>4.34</v>
      </c>
      <c r="D7" s="36" t="s">
        <v>48</v>
      </c>
      <c r="E7" s="30"/>
      <c r="F7" s="30"/>
      <c r="G7" s="31" t="s">
        <v>49</v>
      </c>
      <c r="H7" s="32">
        <v>4.9136191901050268E-7</v>
      </c>
      <c r="I7" s="33">
        <v>477320004953.16284</v>
      </c>
      <c r="J7" s="33">
        <v>-1.4001595007773564</v>
      </c>
      <c r="K7" s="30"/>
      <c r="L7" s="30"/>
      <c r="M7" s="30"/>
      <c r="N7" s="30"/>
      <c r="Q7" s="30"/>
      <c r="R7" s="30"/>
      <c r="S7" s="30"/>
      <c r="T7" s="30"/>
      <c r="U7" s="30"/>
      <c r="V7" s="30"/>
    </row>
    <row r="8" spans="1:22">
      <c r="A8" s="35" t="s">
        <v>50</v>
      </c>
      <c r="B8" s="42"/>
      <c r="C8" s="45">
        <v>1.8300000000000001E-7</v>
      </c>
      <c r="D8" s="36" t="s">
        <v>51</v>
      </c>
      <c r="E8" s="30"/>
      <c r="F8" s="30"/>
      <c r="G8" s="31" t="s">
        <v>52</v>
      </c>
      <c r="H8" s="32">
        <v>8.8066495411809579E-11</v>
      </c>
      <c r="I8" s="33">
        <v>17969179000.638256</v>
      </c>
      <c r="J8" s="33">
        <v>-4.1351707710602339</v>
      </c>
      <c r="K8" s="30"/>
      <c r="L8" s="30"/>
      <c r="M8" s="30"/>
      <c r="N8" s="30"/>
      <c r="O8" s="30"/>
      <c r="P8" s="30"/>
      <c r="Q8" s="46"/>
      <c r="R8" s="30"/>
      <c r="S8" s="30"/>
      <c r="T8" s="30"/>
      <c r="U8" s="30"/>
      <c r="V8" s="30"/>
    </row>
    <row r="9" spans="1:22" ht="16.5">
      <c r="A9" s="35" t="s">
        <v>53</v>
      </c>
      <c r="B9" s="36"/>
      <c r="C9" s="47">
        <v>9.4700000000000006</v>
      </c>
      <c r="D9" s="36" t="s">
        <v>48</v>
      </c>
      <c r="E9" s="30"/>
      <c r="F9" s="30"/>
      <c r="G9" s="38" t="s">
        <v>54</v>
      </c>
      <c r="H9" s="39">
        <v>9.2696822298225912E-12</v>
      </c>
      <c r="I9" s="40">
        <v>29067026.944583628</v>
      </c>
      <c r="J9" s="40">
        <v>-4.8489252543340564</v>
      </c>
      <c r="K9" s="30"/>
      <c r="L9" s="30"/>
      <c r="M9" s="30"/>
      <c r="N9" s="30"/>
      <c r="O9" s="48"/>
      <c r="P9" s="30"/>
      <c r="Q9" s="46"/>
      <c r="R9" s="30"/>
      <c r="T9" s="30"/>
      <c r="U9" s="30"/>
    </row>
    <row r="10" spans="1:22">
      <c r="A10" s="49" t="s">
        <v>708</v>
      </c>
      <c r="B10" s="30"/>
      <c r="C10" s="30">
        <f>0.0000047*10000</f>
        <v>4.7E-2</v>
      </c>
      <c r="D10" s="50" t="s">
        <v>709</v>
      </c>
      <c r="E10" s="30"/>
      <c r="F10" s="30"/>
      <c r="G10" s="31" t="s">
        <v>55</v>
      </c>
      <c r="H10" s="32">
        <v>3.740286711514543E-10</v>
      </c>
      <c r="I10" s="33">
        <v>15487560339.216837</v>
      </c>
      <c r="J10" s="33">
        <v>-3.6766620194601187</v>
      </c>
      <c r="K10" s="30"/>
      <c r="L10" s="30"/>
      <c r="M10" s="30"/>
      <c r="N10" s="51"/>
      <c r="O10" s="48"/>
      <c r="P10" s="30"/>
      <c r="Q10" s="46"/>
      <c r="R10" s="30"/>
      <c r="T10" s="30"/>
      <c r="U10" s="30"/>
    </row>
    <row r="11" spans="1:22" ht="23.15" customHeight="1">
      <c r="A11" s="52" t="s">
        <v>56</v>
      </c>
      <c r="B11" s="30" t="s">
        <v>57</v>
      </c>
      <c r="C11" s="30"/>
      <c r="D11" s="30"/>
      <c r="E11" s="30"/>
      <c r="F11" s="30"/>
      <c r="G11" s="31" t="s">
        <v>58</v>
      </c>
      <c r="H11" s="32">
        <v>4.8011499179936219E-9</v>
      </c>
      <c r="I11" s="33">
        <v>3494000656.0896826</v>
      </c>
      <c r="J11" s="33">
        <v>-2.8675005472329942</v>
      </c>
      <c r="K11" s="30"/>
      <c r="L11" s="30"/>
      <c r="M11" s="30"/>
      <c r="N11" s="53"/>
      <c r="O11" s="54"/>
      <c r="P11" s="33"/>
      <c r="Q11" s="55"/>
      <c r="R11" s="30"/>
      <c r="S11" s="54"/>
      <c r="T11" s="30"/>
      <c r="U11" s="30"/>
      <c r="V11" s="30"/>
    </row>
    <row r="12" spans="1:22">
      <c r="A12" s="30"/>
      <c r="B12" s="30"/>
      <c r="C12" s="56"/>
      <c r="D12" s="30"/>
      <c r="E12" s="30"/>
      <c r="F12" s="30"/>
      <c r="G12" s="31" t="s">
        <v>59</v>
      </c>
      <c r="H12" s="32">
        <v>5.7046341927317466E-12</v>
      </c>
      <c r="I12" s="33">
        <v>210549014.64339387</v>
      </c>
      <c r="J12" s="33">
        <v>-5.0028362977917249</v>
      </c>
      <c r="K12" s="30"/>
      <c r="L12" s="30"/>
      <c r="M12" s="30"/>
      <c r="N12" s="53"/>
      <c r="O12" s="54"/>
      <c r="P12" s="30"/>
      <c r="Q12" s="55"/>
      <c r="R12" s="30"/>
      <c r="S12" s="54"/>
      <c r="T12" s="30"/>
      <c r="U12" s="30"/>
      <c r="V12" s="30"/>
    </row>
    <row r="13" spans="1:22">
      <c r="A13" s="30"/>
      <c r="B13" s="30"/>
      <c r="C13" s="56"/>
      <c r="D13" s="30"/>
      <c r="E13" s="30"/>
      <c r="F13" s="30"/>
      <c r="G13" s="31" t="s">
        <v>60</v>
      </c>
      <c r="H13" s="32">
        <v>3.3127968303010591E-9</v>
      </c>
      <c r="I13" s="33">
        <v>2864723566.2314734</v>
      </c>
      <c r="J13" s="33">
        <v>-2.9851403868693729</v>
      </c>
      <c r="K13" s="30"/>
      <c r="L13" s="30"/>
      <c r="M13" s="30"/>
      <c r="N13" s="53"/>
      <c r="O13" s="54"/>
      <c r="P13" s="30"/>
      <c r="Q13" s="55"/>
      <c r="R13" s="30"/>
      <c r="S13" s="54"/>
      <c r="T13" s="30"/>
      <c r="U13" s="30"/>
      <c r="V13" s="30"/>
    </row>
    <row r="14" spans="1:22">
      <c r="A14" s="30"/>
      <c r="B14" s="30"/>
      <c r="C14" s="30"/>
      <c r="D14" s="30"/>
      <c r="E14" s="30"/>
      <c r="F14" s="30"/>
      <c r="G14" s="57" t="s">
        <v>61</v>
      </c>
      <c r="H14" s="58">
        <v>2.8867876130930012E-12</v>
      </c>
      <c r="I14" s="59">
        <v>965180.9720474697</v>
      </c>
      <c r="J14" s="60" t="s">
        <v>62</v>
      </c>
      <c r="K14" s="30"/>
      <c r="L14" s="30"/>
      <c r="M14" s="30"/>
      <c r="N14" s="30"/>
      <c r="O14" s="30"/>
      <c r="P14" s="30"/>
      <c r="Q14" s="30"/>
      <c r="R14" s="30"/>
      <c r="S14" s="30"/>
      <c r="T14" s="30"/>
      <c r="U14" s="30"/>
      <c r="V14" s="30"/>
    </row>
    <row r="15" spans="1:22" ht="15" thickBot="1">
      <c r="A15" s="30"/>
      <c r="B15" s="30"/>
      <c r="C15" s="30"/>
      <c r="D15" s="30"/>
      <c r="E15" s="30"/>
      <c r="F15" s="30"/>
      <c r="G15" s="30"/>
      <c r="H15" s="33"/>
      <c r="I15" s="30"/>
      <c r="J15" s="30"/>
      <c r="K15" s="30"/>
      <c r="L15" s="30"/>
      <c r="M15" s="30"/>
      <c r="N15" s="30"/>
      <c r="O15" s="30"/>
      <c r="P15" s="30"/>
      <c r="Q15" s="30"/>
      <c r="R15" s="30"/>
      <c r="S15" s="30"/>
      <c r="T15" s="30"/>
      <c r="U15" s="30"/>
      <c r="V15" s="30"/>
    </row>
    <row r="16" spans="1:22">
      <c r="A16" s="61" t="s">
        <v>63</v>
      </c>
      <c r="B16" s="62"/>
      <c r="C16" s="62"/>
      <c r="D16" s="62"/>
      <c r="E16" s="63"/>
      <c r="G16" s="61" t="s">
        <v>64</v>
      </c>
      <c r="H16" s="62"/>
      <c r="I16" s="62"/>
      <c r="J16" s="62"/>
      <c r="K16" s="62"/>
      <c r="L16" s="63"/>
      <c r="M16" s="30"/>
      <c r="N16" s="61" t="s">
        <v>65</v>
      </c>
      <c r="O16" s="62"/>
      <c r="P16" s="62"/>
      <c r="Q16" s="62"/>
      <c r="R16" s="63"/>
      <c r="S16" s="30"/>
      <c r="T16" s="30"/>
      <c r="U16" s="30"/>
      <c r="V16" s="30"/>
    </row>
    <row r="17" spans="1:21">
      <c r="A17" s="64" t="s">
        <v>66</v>
      </c>
      <c r="B17" s="30"/>
      <c r="C17" s="30"/>
      <c r="D17" s="30"/>
      <c r="E17" s="65"/>
      <c r="G17" s="66" t="s">
        <v>67</v>
      </c>
      <c r="H17" s="30"/>
      <c r="I17" s="30"/>
      <c r="J17" s="30"/>
      <c r="K17" s="30"/>
      <c r="L17" s="65"/>
      <c r="M17" s="30"/>
      <c r="N17" s="64" t="s">
        <v>68</v>
      </c>
      <c r="O17" s="30"/>
      <c r="P17" s="30"/>
      <c r="Q17" s="30"/>
      <c r="R17" s="65"/>
      <c r="S17" s="30"/>
      <c r="T17" s="30"/>
    </row>
    <row r="18" spans="1:21">
      <c r="A18" s="66" t="s">
        <v>69</v>
      </c>
      <c r="B18" s="30"/>
      <c r="C18" s="30"/>
      <c r="D18" s="30"/>
      <c r="E18" s="65"/>
      <c r="G18" s="66"/>
      <c r="H18" s="30"/>
      <c r="I18" s="30"/>
      <c r="J18" s="30"/>
      <c r="K18" s="30"/>
      <c r="L18" s="65"/>
      <c r="M18" s="30"/>
      <c r="N18" s="66"/>
      <c r="O18" s="30"/>
      <c r="P18" s="30"/>
      <c r="Q18" s="30"/>
      <c r="R18" s="65"/>
      <c r="S18" s="30"/>
      <c r="T18" s="30"/>
    </row>
    <row r="19" spans="1:21">
      <c r="A19" s="66"/>
      <c r="B19" s="30"/>
      <c r="C19" s="30"/>
      <c r="D19" s="30"/>
      <c r="E19" s="65"/>
      <c r="G19" s="66" t="s">
        <v>70</v>
      </c>
      <c r="H19" s="30"/>
      <c r="I19" s="30"/>
      <c r="J19" s="30"/>
      <c r="K19" s="30"/>
      <c r="L19" s="65"/>
      <c r="M19" s="30"/>
      <c r="N19" s="66"/>
      <c r="O19" s="30"/>
      <c r="P19" s="30"/>
      <c r="Q19" s="30"/>
      <c r="R19" s="65"/>
      <c r="S19" s="30"/>
      <c r="T19" s="30"/>
    </row>
    <row r="20" spans="1:21">
      <c r="A20" s="66"/>
      <c r="B20" s="30"/>
      <c r="C20" s="30"/>
      <c r="D20" s="30"/>
      <c r="E20" s="65"/>
      <c r="G20" s="66"/>
      <c r="H20" s="30"/>
      <c r="I20" s="30"/>
      <c r="J20" s="30"/>
      <c r="K20" s="30"/>
      <c r="L20" s="65"/>
      <c r="M20" s="30"/>
      <c r="N20" s="66"/>
      <c r="O20" s="30"/>
      <c r="P20" s="30"/>
      <c r="Q20" s="30"/>
      <c r="R20" s="65"/>
      <c r="S20" s="30"/>
      <c r="T20" s="30"/>
      <c r="U20" s="30"/>
    </row>
    <row r="21" spans="1:21">
      <c r="A21" s="66"/>
      <c r="B21" s="30"/>
      <c r="C21" s="30"/>
      <c r="D21" s="30"/>
      <c r="E21" s="65"/>
      <c r="G21" s="66"/>
      <c r="H21" s="30"/>
      <c r="I21" s="30"/>
      <c r="J21" s="30"/>
      <c r="K21" s="30"/>
      <c r="L21" s="65"/>
      <c r="M21" s="30"/>
      <c r="N21" s="67" t="s">
        <v>71</v>
      </c>
      <c r="O21" s="68"/>
      <c r="P21" s="68"/>
      <c r="Q21" s="68"/>
      <c r="R21" s="69"/>
      <c r="S21" s="30"/>
      <c r="T21" s="30"/>
      <c r="U21" s="30"/>
    </row>
    <row r="22" spans="1:21">
      <c r="A22" s="66"/>
      <c r="B22" s="30"/>
      <c r="C22" s="30"/>
      <c r="D22" s="30"/>
      <c r="E22" s="65"/>
      <c r="G22" s="66"/>
      <c r="H22" s="30"/>
      <c r="I22" s="30"/>
      <c r="J22" s="30"/>
      <c r="K22" s="30"/>
      <c r="L22" s="65"/>
      <c r="M22" s="30"/>
      <c r="N22" s="70"/>
      <c r="O22" s="68"/>
      <c r="P22" s="68"/>
      <c r="Q22" s="68"/>
      <c r="R22" s="69"/>
      <c r="S22" s="30"/>
      <c r="T22" s="30"/>
      <c r="U22" s="30"/>
    </row>
    <row r="23" spans="1:21">
      <c r="A23" s="71" t="s">
        <v>72</v>
      </c>
      <c r="B23" s="68"/>
      <c r="C23" s="30"/>
      <c r="D23" s="72"/>
      <c r="E23" s="65"/>
      <c r="G23" s="66"/>
      <c r="H23" s="30"/>
      <c r="I23" s="30"/>
      <c r="J23" s="30"/>
      <c r="K23" s="30"/>
      <c r="L23" s="65"/>
      <c r="M23" s="30"/>
      <c r="N23" s="73"/>
      <c r="O23" s="30"/>
      <c r="P23" s="30"/>
      <c r="Q23" s="30"/>
      <c r="R23" s="65"/>
      <c r="S23" s="30"/>
      <c r="T23" s="30"/>
      <c r="U23" s="30"/>
    </row>
    <row r="24" spans="1:21">
      <c r="A24" s="70"/>
      <c r="B24" s="68"/>
      <c r="C24" s="74"/>
      <c r="D24" s="72" t="s">
        <v>73</v>
      </c>
      <c r="E24" s="65">
        <f>LOG10(C4)</f>
        <v>2.4445912256429572</v>
      </c>
      <c r="G24" s="75" t="s">
        <v>74</v>
      </c>
      <c r="H24" s="68"/>
      <c r="I24" s="68"/>
      <c r="J24" s="68"/>
      <c r="K24" s="68"/>
      <c r="L24" s="76"/>
      <c r="N24" s="73"/>
      <c r="R24" s="77"/>
      <c r="U24" s="30"/>
    </row>
    <row r="25" spans="1:21">
      <c r="A25" s="70"/>
      <c r="B25" s="68"/>
      <c r="C25" s="74"/>
      <c r="D25" s="30"/>
      <c r="E25" s="65"/>
      <c r="G25" s="70"/>
      <c r="H25" s="68"/>
      <c r="I25" s="68"/>
      <c r="J25" s="68"/>
      <c r="K25" s="68"/>
      <c r="L25" s="76"/>
      <c r="N25" s="73"/>
      <c r="R25" s="77"/>
      <c r="U25" s="30"/>
    </row>
    <row r="26" spans="1:21">
      <c r="A26" s="70"/>
      <c r="B26" s="68"/>
      <c r="C26" s="74"/>
      <c r="D26" s="30"/>
      <c r="E26" s="78"/>
      <c r="G26" s="70"/>
      <c r="H26" s="68"/>
      <c r="I26" s="68"/>
      <c r="J26" s="68"/>
      <c r="K26" s="68"/>
      <c r="L26" s="76"/>
      <c r="N26" s="73"/>
      <c r="R26" s="77"/>
      <c r="U26" s="30"/>
    </row>
    <row r="27" spans="1:21">
      <c r="A27" s="79" t="s">
        <v>75</v>
      </c>
      <c r="B27" s="30"/>
      <c r="C27" s="30"/>
      <c r="D27" s="80" t="s">
        <v>76</v>
      </c>
      <c r="E27" s="78" t="s">
        <v>76</v>
      </c>
      <c r="G27" s="70"/>
      <c r="H27" s="68"/>
      <c r="I27" s="68"/>
      <c r="J27" s="68"/>
      <c r="K27" s="68"/>
      <c r="L27" s="65"/>
      <c r="M27" s="30"/>
      <c r="N27" s="73"/>
      <c r="R27" s="65"/>
      <c r="S27" s="30"/>
      <c r="T27" s="30"/>
      <c r="U27" s="30"/>
    </row>
    <row r="28" spans="1:21">
      <c r="A28" s="79"/>
      <c r="B28" s="30"/>
      <c r="C28" s="30"/>
      <c r="D28" s="81">
        <v>295.39999999999998</v>
      </c>
      <c r="E28" s="82">
        <v>310.2</v>
      </c>
      <c r="G28" s="66"/>
      <c r="H28" s="30"/>
      <c r="I28" s="30"/>
      <c r="J28" s="30"/>
      <c r="K28" s="30"/>
      <c r="L28" s="65"/>
      <c r="M28" s="30"/>
      <c r="N28" s="73"/>
      <c r="R28" s="65"/>
      <c r="S28" s="30"/>
      <c r="T28" s="30"/>
      <c r="U28" s="30"/>
    </row>
    <row r="29" spans="1:21" ht="16.5">
      <c r="A29" s="83" t="s">
        <v>77</v>
      </c>
      <c r="B29" s="84" t="s">
        <v>78</v>
      </c>
      <c r="C29" s="85" t="s">
        <v>79</v>
      </c>
      <c r="D29" s="86" t="s">
        <v>80</v>
      </c>
      <c r="E29" s="87" t="s">
        <v>81</v>
      </c>
      <c r="G29" s="73"/>
      <c r="H29" s="88" t="s">
        <v>82</v>
      </c>
      <c r="J29" s="30"/>
      <c r="K29" s="30"/>
      <c r="L29" s="65"/>
      <c r="M29" s="30"/>
      <c r="N29" s="83" t="s">
        <v>77</v>
      </c>
      <c r="O29" s="89" t="s">
        <v>83</v>
      </c>
      <c r="P29" s="89" t="s">
        <v>84</v>
      </c>
      <c r="Q29" s="89" t="s">
        <v>85</v>
      </c>
      <c r="R29" s="90" t="s">
        <v>86</v>
      </c>
      <c r="S29" s="30"/>
      <c r="T29" s="30"/>
      <c r="U29" s="30"/>
    </row>
    <row r="30" spans="1:21">
      <c r="A30" s="91" t="s">
        <v>87</v>
      </c>
      <c r="B30" s="92">
        <v>1.1672793116863847</v>
      </c>
      <c r="C30" s="93">
        <v>0</v>
      </c>
      <c r="D30" s="94">
        <f>10^(6.39 + (($C30-3486)/$D$28)-(2.49*$E$24)+$B30)</f>
        <v>4.6698108784776941E-11</v>
      </c>
      <c r="E30" s="95">
        <f>10^(6.39 + (($C30-3486)/$D$28)-(2.49*$E$24)+$B30)</f>
        <v>4.6698108784776941E-11</v>
      </c>
      <c r="G30" s="73"/>
      <c r="J30" s="30"/>
      <c r="K30" s="30"/>
      <c r="L30" s="65"/>
      <c r="M30" s="30"/>
      <c r="N30" s="91" t="s">
        <v>87</v>
      </c>
      <c r="O30" s="96">
        <v>-6.2089117812253294</v>
      </c>
      <c r="P30" s="97">
        <v>3.23</v>
      </c>
      <c r="Q30" s="98">
        <f>0.73*O30</f>
        <v>-4.5325056002944901</v>
      </c>
      <c r="R30" s="99">
        <f>-0.06*$C$7</f>
        <v>-0.26039999999999996</v>
      </c>
      <c r="S30" s="30"/>
      <c r="T30" s="30"/>
      <c r="U30" s="30"/>
    </row>
    <row r="31" spans="1:21">
      <c r="A31" s="91" t="s">
        <v>32</v>
      </c>
      <c r="B31" s="92">
        <v>-1.2267692780916208</v>
      </c>
      <c r="C31" s="93">
        <v>0</v>
      </c>
      <c r="D31" s="94">
        <f t="shared" ref="D31:E59" si="0">10^(6.39 + (($C31-3486)/$D$28)-(2.49*$E$24)+$B31)</f>
        <v>1.8847367670262581E-13</v>
      </c>
      <c r="E31" s="95">
        <f t="shared" si="0"/>
        <v>1.8847367670262581E-13</v>
      </c>
      <c r="G31" s="100" t="s">
        <v>88</v>
      </c>
      <c r="J31" s="30"/>
      <c r="K31" s="30"/>
      <c r="L31" s="65"/>
      <c r="M31" s="30"/>
      <c r="N31" s="91" t="s">
        <v>32</v>
      </c>
      <c r="O31" s="96">
        <v>-8.602960371003336</v>
      </c>
      <c r="P31" s="97">
        <v>3.23</v>
      </c>
      <c r="Q31" s="98">
        <f t="shared" ref="Q31:Q59" si="1">0.73*O31</f>
        <v>-6.2801610708324347</v>
      </c>
      <c r="R31" s="99">
        <f t="shared" ref="R31:R59" si="2">-0.06*$C$7</f>
        <v>-0.26039999999999996</v>
      </c>
      <c r="S31" s="30"/>
      <c r="T31" s="30"/>
      <c r="U31" s="30"/>
    </row>
    <row r="32" spans="1:21">
      <c r="A32" s="91" t="s">
        <v>89</v>
      </c>
      <c r="B32" s="92">
        <v>0.32957171828715098</v>
      </c>
      <c r="C32" s="93">
        <v>0</v>
      </c>
      <c r="D32" s="94">
        <f t="shared" si="0"/>
        <v>6.7856538110639891E-12</v>
      </c>
      <c r="E32" s="95">
        <f t="shared" si="0"/>
        <v>6.7856538110639891E-12</v>
      </c>
      <c r="G32" s="66" t="s">
        <v>90</v>
      </c>
      <c r="H32" s="16"/>
      <c r="I32" s="16"/>
      <c r="J32" s="30"/>
      <c r="K32" s="30"/>
      <c r="L32" s="65"/>
      <c r="M32" s="30"/>
      <c r="N32" s="91" t="s">
        <v>89</v>
      </c>
      <c r="O32" s="96">
        <v>-7.0466193746245622</v>
      </c>
      <c r="P32" s="97">
        <v>3.23</v>
      </c>
      <c r="Q32" s="98">
        <f t="shared" si="1"/>
        <v>-5.14403214347593</v>
      </c>
      <c r="R32" s="99">
        <f t="shared" si="2"/>
        <v>-0.26039999999999996</v>
      </c>
      <c r="S32" s="30"/>
      <c r="T32" s="30"/>
      <c r="U32" s="30"/>
    </row>
    <row r="33" spans="1:18">
      <c r="A33" s="91" t="s">
        <v>91</v>
      </c>
      <c r="B33" s="92">
        <v>-6.3227435094369584</v>
      </c>
      <c r="C33" s="93">
        <v>1675.913916901716</v>
      </c>
      <c r="D33" s="94">
        <f t="shared" si="0"/>
        <v>7.1227530849948808E-13</v>
      </c>
      <c r="E33" s="95">
        <f t="shared" si="0"/>
        <v>7.1227530849948808E-13</v>
      </c>
      <c r="G33" s="73"/>
      <c r="H33" s="53" t="s">
        <v>92</v>
      </c>
      <c r="I33" s="101">
        <v>65.7</v>
      </c>
      <c r="J33" s="30"/>
      <c r="K33" s="72" t="s">
        <v>93</v>
      </c>
      <c r="L33" s="87">
        <v>3.9697308350248837</v>
      </c>
      <c r="M33" s="30"/>
      <c r="N33" s="91" t="s">
        <v>91</v>
      </c>
      <c r="O33" s="96">
        <v>-8.2962462822270862</v>
      </c>
      <c r="P33" s="97">
        <v>3.23</v>
      </c>
      <c r="Q33" s="98">
        <f t="shared" si="1"/>
        <v>-6.0562597860257723</v>
      </c>
      <c r="R33" s="99">
        <f t="shared" si="2"/>
        <v>-0.26039999999999996</v>
      </c>
    </row>
    <row r="34" spans="1:18">
      <c r="A34" s="102" t="s">
        <v>94</v>
      </c>
      <c r="B34" s="103">
        <v>-8.5134340350898139</v>
      </c>
      <c r="C34" s="104">
        <v>1675.913916901716</v>
      </c>
      <c r="D34" s="105">
        <f t="shared" si="0"/>
        <v>4.5915293402955231E-15</v>
      </c>
      <c r="E34" s="106">
        <f t="shared" si="0"/>
        <v>4.5915293402955231E-15</v>
      </c>
      <c r="G34" s="100"/>
      <c r="L34" s="77"/>
      <c r="M34" s="30"/>
      <c r="N34" s="102" t="s">
        <v>94</v>
      </c>
      <c r="O34" s="107">
        <v>-10.486936807879941</v>
      </c>
      <c r="P34" s="108">
        <v>3.23</v>
      </c>
      <c r="Q34" s="109">
        <f t="shared" si="1"/>
        <v>-7.6554638697523565</v>
      </c>
      <c r="R34" s="99">
        <f t="shared" si="2"/>
        <v>-0.26039999999999996</v>
      </c>
    </row>
    <row r="35" spans="1:18">
      <c r="A35" s="91" t="s">
        <v>95</v>
      </c>
      <c r="B35" s="92">
        <v>2.0357586846114133</v>
      </c>
      <c r="C35" s="93">
        <v>-2391.1523629446024</v>
      </c>
      <c r="D35" s="94">
        <f t="shared" si="0"/>
        <v>2.774298572961034E-18</v>
      </c>
      <c r="E35" s="95">
        <f t="shared" si="0"/>
        <v>2.774298572961034E-18</v>
      </c>
      <c r="G35" s="73"/>
      <c r="I35" s="54" t="s">
        <v>76</v>
      </c>
      <c r="J35" s="30"/>
      <c r="K35" s="30"/>
      <c r="L35" s="65"/>
      <c r="M35" s="30"/>
      <c r="N35" s="91" t="s">
        <v>95</v>
      </c>
      <c r="O35" s="96">
        <v>-13.048853952286766</v>
      </c>
      <c r="P35" s="97">
        <v>3.23</v>
      </c>
      <c r="Q35" s="98">
        <f t="shared" si="1"/>
        <v>-9.5256633851693397</v>
      </c>
      <c r="R35" s="99">
        <f t="shared" si="2"/>
        <v>-0.26039999999999996</v>
      </c>
    </row>
    <row r="36" spans="1:18">
      <c r="A36" s="91" t="s">
        <v>96</v>
      </c>
      <c r="B36" s="92">
        <v>-8.5702143619254709</v>
      </c>
      <c r="C36" s="93">
        <v>0</v>
      </c>
      <c r="D36" s="94">
        <f t="shared" si="0"/>
        <v>8.5468408864340349E-21</v>
      </c>
      <c r="E36" s="95">
        <f t="shared" si="0"/>
        <v>8.5468408864340349E-21</v>
      </c>
      <c r="G36" s="73"/>
      <c r="I36" s="110">
        <v>295.39999999999998</v>
      </c>
      <c r="J36" s="30"/>
      <c r="K36" s="30"/>
      <c r="L36" s="65"/>
      <c r="M36" s="30"/>
      <c r="N36" s="91" t="s">
        <v>96</v>
      </c>
      <c r="O36" s="96">
        <v>-15.946405454837183</v>
      </c>
      <c r="P36" s="97">
        <v>3.23</v>
      </c>
      <c r="Q36" s="98">
        <f t="shared" si="1"/>
        <v>-11.640875982031144</v>
      </c>
      <c r="R36" s="99">
        <f t="shared" si="2"/>
        <v>-0.26039999999999996</v>
      </c>
    </row>
    <row r="37" spans="1:18">
      <c r="A37" s="91" t="s">
        <v>97</v>
      </c>
      <c r="B37" s="92">
        <v>-1.2379363896405635</v>
      </c>
      <c r="C37" s="93">
        <v>1675.913916901716</v>
      </c>
      <c r="D37" s="94">
        <f t="shared" si="0"/>
        <v>8.6587461849184991E-8</v>
      </c>
      <c r="E37" s="95">
        <f t="shared" si="0"/>
        <v>8.6587461849184991E-8</v>
      </c>
      <c r="G37" s="83" t="s">
        <v>77</v>
      </c>
      <c r="H37" s="84" t="s">
        <v>78</v>
      </c>
      <c r="I37" s="111" t="s">
        <v>29</v>
      </c>
      <c r="J37" s="30"/>
      <c r="K37" s="30"/>
      <c r="L37" s="65"/>
      <c r="M37" s="30"/>
      <c r="N37" s="91" t="s">
        <v>97</v>
      </c>
      <c r="O37" s="96">
        <v>-3.2114391624306911</v>
      </c>
      <c r="P37" s="97">
        <v>3.23</v>
      </c>
      <c r="Q37" s="98">
        <f t="shared" si="1"/>
        <v>-2.3443505885744043</v>
      </c>
      <c r="R37" s="99">
        <f t="shared" si="2"/>
        <v>-0.26039999999999996</v>
      </c>
    </row>
    <row r="38" spans="1:18">
      <c r="A38" s="91" t="s">
        <v>98</v>
      </c>
      <c r="B38" s="92">
        <v>-5.7702511818254534</v>
      </c>
      <c r="C38" s="93">
        <v>1675.913916901716</v>
      </c>
      <c r="D38" s="94">
        <f t="shared" si="0"/>
        <v>2.5417932210777737E-12</v>
      </c>
      <c r="E38" s="95">
        <f t="shared" si="0"/>
        <v>2.5417932210777737E-12</v>
      </c>
      <c r="G38" s="91" t="s">
        <v>32</v>
      </c>
      <c r="H38" s="112">
        <v>1.9666623193803938</v>
      </c>
      <c r="I38" s="33">
        <v>13974340204.023058</v>
      </c>
      <c r="J38" s="30"/>
      <c r="K38" s="30"/>
      <c r="L38" s="65"/>
      <c r="M38" s="30"/>
      <c r="N38" s="91" t="s">
        <v>98</v>
      </c>
      <c r="O38" s="96">
        <v>-7.7437539546155802</v>
      </c>
      <c r="P38" s="97">
        <v>3.23</v>
      </c>
      <c r="Q38" s="98">
        <f t="shared" si="1"/>
        <v>-5.6529403868693731</v>
      </c>
      <c r="R38" s="99">
        <f t="shared" si="2"/>
        <v>-0.26039999999999996</v>
      </c>
    </row>
    <row r="39" spans="1:18">
      <c r="A39" s="91" t="s">
        <v>99</v>
      </c>
      <c r="B39" s="92">
        <v>5.1131360272480242</v>
      </c>
      <c r="C39" s="93">
        <v>-2391.1523629446024</v>
      </c>
      <c r="D39" s="94">
        <f t="shared" si="0"/>
        <v>3.3153588376713111E-15</v>
      </c>
      <c r="E39" s="95">
        <f t="shared" si="0"/>
        <v>3.3153588376713111E-15</v>
      </c>
      <c r="G39" s="91" t="s">
        <v>100</v>
      </c>
      <c r="H39" s="112">
        <v>0.72316939780052036</v>
      </c>
      <c r="I39" s="33">
        <v>797697792.70809901</v>
      </c>
      <c r="J39" s="30"/>
      <c r="K39" s="30"/>
      <c r="L39" s="65"/>
      <c r="M39" s="30"/>
      <c r="N39" s="91" t="s">
        <v>99</v>
      </c>
      <c r="O39" s="96">
        <v>-9.9714766096501535</v>
      </c>
      <c r="P39" s="97">
        <v>3.23</v>
      </c>
      <c r="Q39" s="98">
        <f t="shared" si="1"/>
        <v>-7.2791779250446123</v>
      </c>
      <c r="R39" s="99">
        <f t="shared" si="2"/>
        <v>-0.26039999999999996</v>
      </c>
    </row>
    <row r="40" spans="1:18">
      <c r="A40" s="91" t="s">
        <v>101</v>
      </c>
      <c r="B40" s="92">
        <v>-7.1128757073081221</v>
      </c>
      <c r="C40" s="93">
        <v>0</v>
      </c>
      <c r="D40" s="94">
        <f t="shared" si="0"/>
        <v>2.4498769609681566E-19</v>
      </c>
      <c r="E40" s="95">
        <f t="shared" si="0"/>
        <v>2.4498769609681566E-19</v>
      </c>
      <c r="G40" s="91" t="s">
        <v>102</v>
      </c>
      <c r="H40" s="112">
        <v>1.1096573129739258</v>
      </c>
      <c r="I40" s="33">
        <v>1942344702.75402</v>
      </c>
      <c r="J40" s="30"/>
      <c r="K40" s="30"/>
      <c r="L40" s="65"/>
      <c r="M40" s="30"/>
      <c r="N40" s="91" t="s">
        <v>101</v>
      </c>
      <c r="O40" s="96">
        <v>-14.489066800219836</v>
      </c>
      <c r="P40" s="97">
        <v>3.23</v>
      </c>
      <c r="Q40" s="98">
        <f t="shared" si="1"/>
        <v>-10.57701876416048</v>
      </c>
      <c r="R40" s="99">
        <f t="shared" si="2"/>
        <v>-0.26039999999999996</v>
      </c>
    </row>
    <row r="41" spans="1:18">
      <c r="A41" s="91" t="s">
        <v>103</v>
      </c>
      <c r="B41" s="92">
        <v>-7.7256651673126164</v>
      </c>
      <c r="C41" s="93">
        <v>0</v>
      </c>
      <c r="D41" s="94">
        <f t="shared" si="0"/>
        <v>5.9752325677113037E-20</v>
      </c>
      <c r="E41" s="95">
        <f t="shared" si="0"/>
        <v>5.9752325677113037E-20</v>
      </c>
      <c r="G41" s="91" t="s">
        <v>104</v>
      </c>
      <c r="H41" s="112">
        <v>2.2011639114007218</v>
      </c>
      <c r="I41" s="33">
        <v>23979101385.625973</v>
      </c>
      <c r="J41" s="30"/>
      <c r="K41" s="30"/>
      <c r="L41" s="65"/>
      <c r="M41" s="30"/>
      <c r="N41" s="91" t="s">
        <v>103</v>
      </c>
      <c r="O41" s="96">
        <v>-15.101856260224332</v>
      </c>
      <c r="P41" s="97">
        <v>3.23</v>
      </c>
      <c r="Q41" s="98">
        <f t="shared" si="1"/>
        <v>-11.024355069963763</v>
      </c>
      <c r="R41" s="99">
        <f t="shared" si="2"/>
        <v>-0.26039999999999996</v>
      </c>
    </row>
    <row r="42" spans="1:18">
      <c r="A42" s="91" t="s">
        <v>105</v>
      </c>
      <c r="B42" s="92">
        <v>-7.8449683830502401</v>
      </c>
      <c r="C42" s="93">
        <v>0</v>
      </c>
      <c r="D42" s="94">
        <f t="shared" si="0"/>
        <v>4.5399555189751736E-20</v>
      </c>
      <c r="E42" s="95">
        <f t="shared" si="0"/>
        <v>4.5399555189751736E-20</v>
      </c>
      <c r="G42" s="91" t="s">
        <v>106</v>
      </c>
      <c r="H42" s="112">
        <v>3.5001406439329217</v>
      </c>
      <c r="I42" s="33">
        <v>477320004953.16284</v>
      </c>
      <c r="J42" s="30"/>
      <c r="K42" s="30"/>
      <c r="L42" s="65"/>
      <c r="M42" s="30"/>
      <c r="N42" s="91" t="s">
        <v>105</v>
      </c>
      <c r="O42" s="96">
        <v>-15.221159475961954</v>
      </c>
      <c r="P42" s="97">
        <v>3.23</v>
      </c>
      <c r="Q42" s="98">
        <f t="shared" si="1"/>
        <v>-11.111446417452226</v>
      </c>
      <c r="R42" s="99">
        <f t="shared" si="2"/>
        <v>-0.26039999999999996</v>
      </c>
    </row>
    <row r="43" spans="1:18">
      <c r="A43" s="91" t="s">
        <v>107</v>
      </c>
      <c r="B43" s="92">
        <v>-3.5990444885487189</v>
      </c>
      <c r="C43" s="93">
        <v>1675.913916901716</v>
      </c>
      <c r="D43" s="94">
        <f t="shared" si="0"/>
        <v>3.7700482668089405E-10</v>
      </c>
      <c r="E43" s="95">
        <f t="shared" si="0"/>
        <v>3.7700482668089405E-10</v>
      </c>
      <c r="G43" s="91" t="s">
        <v>108</v>
      </c>
      <c r="H43" s="112">
        <v>1.1142586217886847</v>
      </c>
      <c r="I43" s="33">
        <v>1963033062.6012914</v>
      </c>
      <c r="J43" s="30"/>
      <c r="K43" s="30"/>
      <c r="L43" s="65"/>
      <c r="M43" s="30"/>
      <c r="N43" s="91" t="s">
        <v>107</v>
      </c>
      <c r="O43" s="96">
        <v>-5.5725472613388449</v>
      </c>
      <c r="P43" s="97">
        <v>3.23</v>
      </c>
      <c r="Q43" s="98">
        <f t="shared" si="1"/>
        <v>-4.0679595007773566</v>
      </c>
      <c r="R43" s="99">
        <f t="shared" si="2"/>
        <v>-0.26039999999999996</v>
      </c>
    </row>
    <row r="44" spans="1:18">
      <c r="A44" s="91" t="s">
        <v>109</v>
      </c>
      <c r="B44" s="92">
        <v>-6.7175410894840102</v>
      </c>
      <c r="C44" s="93">
        <v>1675.913916901716</v>
      </c>
      <c r="D44" s="94">
        <f t="shared" si="0"/>
        <v>2.8697912655727217E-13</v>
      </c>
      <c r="E44" s="95">
        <f t="shared" si="0"/>
        <v>2.8697912655727217E-13</v>
      </c>
      <c r="G44" s="91" t="s">
        <v>98</v>
      </c>
      <c r="H44" s="112">
        <v>1.2784137282096428</v>
      </c>
      <c r="I44" s="33">
        <v>2864723566.2314734</v>
      </c>
      <c r="J44" s="30"/>
      <c r="K44" s="30"/>
      <c r="L44" s="65"/>
      <c r="M44" s="30"/>
      <c r="N44" s="91" t="s">
        <v>109</v>
      </c>
      <c r="O44" s="96">
        <v>-8.6910438622741353</v>
      </c>
      <c r="P44" s="97">
        <v>3.23</v>
      </c>
      <c r="Q44" s="98">
        <f t="shared" si="1"/>
        <v>-6.3444620194601189</v>
      </c>
      <c r="R44" s="99">
        <f t="shared" si="2"/>
        <v>-0.26039999999999996</v>
      </c>
    </row>
    <row r="45" spans="1:18">
      <c r="A45" s="91" t="s">
        <v>59</v>
      </c>
      <c r="B45" s="92">
        <v>-8.5342181830889476</v>
      </c>
      <c r="C45" s="93">
        <v>1675.913916901716</v>
      </c>
      <c r="D45" s="94">
        <f t="shared" si="0"/>
        <v>4.3769664312605481E-15</v>
      </c>
      <c r="E45" s="95">
        <f t="shared" si="0"/>
        <v>4.3769664312605481E-15</v>
      </c>
      <c r="G45" s="91" t="s">
        <v>110</v>
      </c>
      <c r="H45" s="112">
        <v>2.9205029589320466</v>
      </c>
      <c r="I45" s="33">
        <v>125652736569.73071</v>
      </c>
      <c r="J45" s="30"/>
      <c r="K45" s="30"/>
      <c r="L45" s="65"/>
      <c r="M45" s="30"/>
      <c r="N45" s="91" t="s">
        <v>59</v>
      </c>
      <c r="O45" s="96">
        <v>-10.507720955879075</v>
      </c>
      <c r="P45" s="97">
        <v>3.23</v>
      </c>
      <c r="Q45" s="98">
        <f t="shared" si="1"/>
        <v>-7.6706362977917246</v>
      </c>
      <c r="R45" s="99">
        <f t="shared" si="2"/>
        <v>-0.26039999999999996</v>
      </c>
    </row>
    <row r="46" spans="1:18">
      <c r="A46" s="91" t="s">
        <v>111</v>
      </c>
      <c r="B46" s="92">
        <v>-5.6091007165701416</v>
      </c>
      <c r="C46" s="93">
        <v>1675.913916901716</v>
      </c>
      <c r="D46" s="94">
        <f t="shared" si="0"/>
        <v>3.6837545252738337E-12</v>
      </c>
      <c r="E46" s="95">
        <f t="shared" si="0"/>
        <v>3.6837545252738337E-12</v>
      </c>
      <c r="G46" s="91" t="s">
        <v>59</v>
      </c>
      <c r="H46" s="112">
        <v>0.14468422076350301</v>
      </c>
      <c r="I46" s="33">
        <v>210549014.64339387</v>
      </c>
      <c r="J46" s="30"/>
      <c r="K46" s="30"/>
      <c r="L46" s="65"/>
      <c r="M46" s="30"/>
      <c r="N46" s="91" t="s">
        <v>111</v>
      </c>
      <c r="O46" s="96">
        <v>-7.5826034893602667</v>
      </c>
      <c r="P46" s="97">
        <v>3.23</v>
      </c>
      <c r="Q46" s="98">
        <f t="shared" si="1"/>
        <v>-5.5353005472329944</v>
      </c>
      <c r="R46" s="99">
        <f t="shared" si="2"/>
        <v>-0.26039999999999996</v>
      </c>
    </row>
    <row r="47" spans="1:18">
      <c r="A47" s="91" t="s">
        <v>112</v>
      </c>
      <c r="B47" s="92">
        <v>-5.3961963060869476</v>
      </c>
      <c r="C47" s="93">
        <v>0</v>
      </c>
      <c r="D47" s="94">
        <f t="shared" si="0"/>
        <v>1.2759206749158532E-17</v>
      </c>
      <c r="E47" s="95">
        <f t="shared" si="0"/>
        <v>1.2759206749158532E-17</v>
      </c>
      <c r="G47" s="91" t="s">
        <v>111</v>
      </c>
      <c r="H47" s="112">
        <v>1.3646539896713006</v>
      </c>
      <c r="I47" s="33">
        <v>3494000656.0896826</v>
      </c>
      <c r="J47" s="30"/>
      <c r="K47" s="30"/>
      <c r="L47" s="65"/>
      <c r="M47" s="30"/>
      <c r="N47" s="91" t="s">
        <v>112</v>
      </c>
      <c r="O47" s="96">
        <v>-12.77238739899866</v>
      </c>
      <c r="P47" s="97">
        <v>3.23</v>
      </c>
      <c r="Q47" s="98">
        <f t="shared" si="1"/>
        <v>-9.3238428012690218</v>
      </c>
      <c r="R47" s="99">
        <f t="shared" si="2"/>
        <v>-0.26039999999999996</v>
      </c>
    </row>
    <row r="48" spans="1:18">
      <c r="A48" s="91" t="s">
        <v>113</v>
      </c>
      <c r="B48" s="92">
        <v>-4.9684919859754029</v>
      </c>
      <c r="C48" s="93">
        <v>0</v>
      </c>
      <c r="D48" s="94">
        <f t="shared" si="0"/>
        <v>3.4160797022492117E-17</v>
      </c>
      <c r="E48" s="95">
        <f t="shared" si="0"/>
        <v>3.4160797022492117E-17</v>
      </c>
      <c r="G48" s="91" t="s">
        <v>114</v>
      </c>
      <c r="H48" s="112">
        <v>0.60213654329802435</v>
      </c>
      <c r="I48" s="33">
        <v>603678259.64564252</v>
      </c>
      <c r="J48" s="30"/>
      <c r="K48" s="30"/>
      <c r="L48" s="65"/>
      <c r="M48" s="30"/>
      <c r="N48" s="91" t="s">
        <v>113</v>
      </c>
      <c r="O48" s="96">
        <v>-12.344683078887119</v>
      </c>
      <c r="P48" s="97">
        <v>3.23</v>
      </c>
      <c r="Q48" s="98">
        <f t="shared" si="1"/>
        <v>-9.0116186475875963</v>
      </c>
      <c r="R48" s="99">
        <f t="shared" si="2"/>
        <v>-0.26039999999999996</v>
      </c>
    </row>
    <row r="49" spans="1:18">
      <c r="A49" s="91" t="s">
        <v>115</v>
      </c>
      <c r="B49" s="92">
        <v>-6.3141682579095706</v>
      </c>
      <c r="C49" s="93">
        <v>1675.913916901716</v>
      </c>
      <c r="D49" s="94">
        <f t="shared" si="0"/>
        <v>7.2647912740331809E-13</v>
      </c>
      <c r="E49" s="95">
        <f t="shared" si="0"/>
        <v>7.2647912740331809E-13</v>
      </c>
      <c r="G49" s="91" t="s">
        <v>116</v>
      </c>
      <c r="H49" s="112">
        <v>2.7276377647968642</v>
      </c>
      <c r="I49" s="33">
        <v>80594750900.253906</v>
      </c>
      <c r="J49" s="30"/>
      <c r="K49" s="30"/>
      <c r="L49" s="65"/>
      <c r="M49" s="30"/>
      <c r="N49" s="91" t="s">
        <v>115</v>
      </c>
      <c r="O49" s="96">
        <v>-8.2876710306996966</v>
      </c>
      <c r="P49" s="97">
        <v>3.23</v>
      </c>
      <c r="Q49" s="98">
        <f t="shared" si="1"/>
        <v>-6.0499998524107781</v>
      </c>
      <c r="R49" s="99">
        <f t="shared" si="2"/>
        <v>-0.26039999999999996</v>
      </c>
    </row>
    <row r="50" spans="1:18">
      <c r="A50" s="91" t="s">
        <v>117</v>
      </c>
      <c r="B50" s="92">
        <v>-1.6482969179337801</v>
      </c>
      <c r="C50" s="93">
        <v>0</v>
      </c>
      <c r="D50" s="94">
        <f t="shared" si="0"/>
        <v>7.1404085758104412E-14</v>
      </c>
      <c r="E50" s="95">
        <f t="shared" si="0"/>
        <v>7.1404085758104412E-14</v>
      </c>
      <c r="G50" s="91" t="s">
        <v>118</v>
      </c>
      <c r="H50" s="112">
        <v>2.4493551811584453</v>
      </c>
      <c r="I50" s="33">
        <v>42464319976.33445</v>
      </c>
      <c r="J50" s="30"/>
      <c r="K50" s="30"/>
      <c r="L50" s="65"/>
      <c r="M50" s="30"/>
      <c r="N50" s="91" t="s">
        <v>117</v>
      </c>
      <c r="O50" s="96">
        <v>-9.0244880108454932</v>
      </c>
      <c r="P50" s="97">
        <v>3.23</v>
      </c>
      <c r="Q50" s="98">
        <f t="shared" si="1"/>
        <v>-6.5878762479172099</v>
      </c>
      <c r="R50" s="99">
        <f t="shared" si="2"/>
        <v>-0.26039999999999996</v>
      </c>
    </row>
    <row r="51" spans="1:18">
      <c r="A51" s="91" t="s">
        <v>119</v>
      </c>
      <c r="B51" s="92">
        <v>-1.1634082618724917</v>
      </c>
      <c r="C51" s="93">
        <v>-2391.1523629446024</v>
      </c>
      <c r="D51" s="94">
        <f t="shared" si="0"/>
        <v>1.7538249819942623E-21</v>
      </c>
      <c r="E51" s="95">
        <f t="shared" si="0"/>
        <v>1.7538249819942623E-21</v>
      </c>
      <c r="G51" s="91" t="s">
        <v>120</v>
      </c>
      <c r="H51" s="112">
        <v>2.0592768178687799</v>
      </c>
      <c r="I51" s="33">
        <v>17296005328.067699</v>
      </c>
      <c r="J51" s="30"/>
      <c r="K51" s="30"/>
      <c r="L51" s="65"/>
      <c r="M51" s="30"/>
      <c r="N51" s="91" t="s">
        <v>119</v>
      </c>
      <c r="O51" s="96">
        <v>-16.248020898770672</v>
      </c>
      <c r="P51" s="97">
        <v>3.23</v>
      </c>
      <c r="Q51" s="98">
        <f t="shared" si="1"/>
        <v>-11.86105525610259</v>
      </c>
      <c r="R51" s="99">
        <f t="shared" si="2"/>
        <v>-0.26039999999999996</v>
      </c>
    </row>
    <row r="52" spans="1:18">
      <c r="A52" s="91" t="s">
        <v>121</v>
      </c>
      <c r="B52" s="92">
        <v>0</v>
      </c>
      <c r="C52" s="93">
        <v>-2391.1523629446024</v>
      </c>
      <c r="D52" s="94">
        <f t="shared" si="0"/>
        <v>2.5550212345911776E-20</v>
      </c>
      <c r="E52" s="95">
        <f t="shared" si="0"/>
        <v>2.5550212345911776E-20</v>
      </c>
      <c r="G52" s="91" t="s">
        <v>122</v>
      </c>
      <c r="H52" s="112">
        <v>2.0758592424219944</v>
      </c>
      <c r="I52" s="33">
        <v>17969179000.638256</v>
      </c>
      <c r="J52" s="30"/>
      <c r="K52" s="30"/>
      <c r="L52" s="65"/>
      <c r="M52" s="30"/>
      <c r="N52" s="91" t="s">
        <v>121</v>
      </c>
      <c r="O52" s="96">
        <v>-15.08461263689818</v>
      </c>
      <c r="P52" s="97">
        <v>3.23</v>
      </c>
      <c r="Q52" s="98">
        <f t="shared" si="1"/>
        <v>-11.011767224935671</v>
      </c>
      <c r="R52" s="99">
        <f t="shared" si="2"/>
        <v>-0.26039999999999996</v>
      </c>
    </row>
    <row r="53" spans="1:18">
      <c r="A53" s="91" t="s">
        <v>123</v>
      </c>
      <c r="B53" s="92">
        <v>-8.3233811372565256</v>
      </c>
      <c r="C53" s="93">
        <v>1675.913916901716</v>
      </c>
      <c r="D53" s="94">
        <f t="shared" si="0"/>
        <v>7.1123031867809579E-15</v>
      </c>
      <c r="E53" s="95">
        <f t="shared" si="0"/>
        <v>7.1123031867809579E-15</v>
      </c>
      <c r="G53" s="91" t="s">
        <v>124</v>
      </c>
      <c r="H53" s="112">
        <v>-0.71526837931712417</v>
      </c>
      <c r="I53" s="33">
        <v>29067026.944583628</v>
      </c>
      <c r="J53" s="30"/>
      <c r="K53" s="30"/>
      <c r="L53" s="65"/>
      <c r="M53" s="30"/>
      <c r="N53" s="91" t="s">
        <v>123</v>
      </c>
      <c r="O53" s="96">
        <v>-10.296883910046652</v>
      </c>
      <c r="P53" s="97">
        <v>3.23</v>
      </c>
      <c r="Q53" s="98">
        <f t="shared" si="1"/>
        <v>-7.5167252543340561</v>
      </c>
      <c r="R53" s="99">
        <f t="shared" si="2"/>
        <v>-0.26039999999999996</v>
      </c>
    </row>
    <row r="54" spans="1:18">
      <c r="A54" s="91" t="s">
        <v>125</v>
      </c>
      <c r="B54" s="92">
        <v>-7.3456352697581382</v>
      </c>
      <c r="C54" s="93">
        <v>1675.913916901716</v>
      </c>
      <c r="D54" s="94">
        <f t="shared" si="0"/>
        <v>6.7570343884164786E-14</v>
      </c>
      <c r="E54" s="95">
        <f t="shared" si="0"/>
        <v>6.7570343884164786E-14</v>
      </c>
      <c r="G54" s="91" t="s">
        <v>126</v>
      </c>
      <c r="H54" s="113">
        <v>0</v>
      </c>
      <c r="I54" s="33">
        <v>150892965.05271903</v>
      </c>
      <c r="J54" s="30"/>
      <c r="K54" s="30"/>
      <c r="L54" s="65"/>
      <c r="M54" s="30"/>
      <c r="N54" s="91" t="s">
        <v>125</v>
      </c>
      <c r="O54" s="96">
        <v>-9.3191380425482659</v>
      </c>
      <c r="P54" s="97">
        <v>3.23</v>
      </c>
      <c r="Q54" s="98">
        <f t="shared" si="1"/>
        <v>-6.8029707710602336</v>
      </c>
      <c r="R54" s="99">
        <f t="shared" si="2"/>
        <v>-0.26039999999999996</v>
      </c>
    </row>
    <row r="55" spans="1:18">
      <c r="A55" s="91" t="s">
        <v>127</v>
      </c>
      <c r="B55" s="92">
        <v>4.790627826020228</v>
      </c>
      <c r="C55" s="93">
        <v>-2391.1523629446024</v>
      </c>
      <c r="D55" s="94">
        <f t="shared" si="0"/>
        <v>1.5776924233361909E-15</v>
      </c>
      <c r="E55" s="95">
        <f t="shared" si="0"/>
        <v>1.5776924233361909E-15</v>
      </c>
      <c r="G55" s="91" t="s">
        <v>128</v>
      </c>
      <c r="H55" s="112">
        <v>1.0641316954688826</v>
      </c>
      <c r="I55" s="33">
        <v>1749043810.7400751</v>
      </c>
      <c r="J55" s="30"/>
      <c r="K55" s="30"/>
      <c r="L55" s="65"/>
      <c r="M55" s="30"/>
      <c r="N55" s="91" t="s">
        <v>127</v>
      </c>
      <c r="O55" s="96">
        <v>-10.293984810877951</v>
      </c>
      <c r="P55" s="97">
        <v>3.23</v>
      </c>
      <c r="Q55" s="98">
        <f t="shared" si="1"/>
        <v>-7.5146089119409041</v>
      </c>
      <c r="R55" s="99">
        <f t="shared" si="2"/>
        <v>-0.26039999999999996</v>
      </c>
    </row>
    <row r="56" spans="1:18">
      <c r="A56" s="91" t="s">
        <v>129</v>
      </c>
      <c r="B56" s="92">
        <v>4.5281560541558319</v>
      </c>
      <c r="C56" s="93">
        <v>-2391.1523629446024</v>
      </c>
      <c r="D56" s="94">
        <f t="shared" si="0"/>
        <v>8.6208595173090333E-16</v>
      </c>
      <c r="E56" s="95">
        <f t="shared" si="0"/>
        <v>8.6208595173090333E-16</v>
      </c>
      <c r="G56" s="91" t="s">
        <v>130</v>
      </c>
      <c r="H56" s="112">
        <v>0.96707500152156955</v>
      </c>
      <c r="I56" s="33">
        <v>1398762543.2667451</v>
      </c>
      <c r="J56" s="30"/>
      <c r="K56" s="30"/>
      <c r="L56" s="65"/>
      <c r="M56" s="30"/>
      <c r="N56" s="91" t="s">
        <v>129</v>
      </c>
      <c r="O56" s="96">
        <v>-10.556456582742348</v>
      </c>
      <c r="P56" s="97">
        <v>3.23</v>
      </c>
      <c r="Q56" s="98">
        <f t="shared" si="1"/>
        <v>-7.7062133054019135</v>
      </c>
      <c r="R56" s="99">
        <f t="shared" si="2"/>
        <v>-0.26039999999999996</v>
      </c>
    </row>
    <row r="57" spans="1:18">
      <c r="A57" s="91" t="s">
        <v>131</v>
      </c>
      <c r="B57" s="92">
        <v>-11.944357782475985</v>
      </c>
      <c r="C57" s="93">
        <v>1675.913916901716</v>
      </c>
      <c r="D57" s="94">
        <f t="shared" si="0"/>
        <v>1.7022902686546502E-18</v>
      </c>
      <c r="E57" s="95">
        <f t="shared" si="0"/>
        <v>1.7022902686546502E-18</v>
      </c>
      <c r="G57" s="91" t="s">
        <v>132</v>
      </c>
      <c r="H57" s="112">
        <v>2.0658582536438961</v>
      </c>
      <c r="I57" s="33">
        <v>17560110569.489304</v>
      </c>
      <c r="J57" s="30"/>
      <c r="K57" s="30"/>
      <c r="L57" s="65"/>
      <c r="M57" s="30"/>
      <c r="N57" s="91" t="s">
        <v>131</v>
      </c>
      <c r="O57" s="96">
        <v>-13.91786055526611</v>
      </c>
      <c r="P57" s="97">
        <v>3.23</v>
      </c>
      <c r="Q57" s="98">
        <f t="shared" si="1"/>
        <v>-10.160038205344259</v>
      </c>
      <c r="R57" s="99">
        <f t="shared" si="2"/>
        <v>-0.26039999999999996</v>
      </c>
    </row>
    <row r="58" spans="1:18">
      <c r="A58" s="91" t="s">
        <v>133</v>
      </c>
      <c r="B58" s="92">
        <v>-5.9288727556362133</v>
      </c>
      <c r="C58" s="93">
        <v>1675.913916901716</v>
      </c>
      <c r="D58" s="94">
        <f t="shared" si="0"/>
        <v>1.764081490950159E-12</v>
      </c>
      <c r="E58" s="95">
        <f t="shared" si="0"/>
        <v>1.764081490950159E-12</v>
      </c>
      <c r="G58" s="91" t="s">
        <v>134</v>
      </c>
      <c r="H58" s="112">
        <v>2.263842822177458</v>
      </c>
      <c r="I58" s="33">
        <v>27702043997.748554</v>
      </c>
      <c r="J58" s="30"/>
      <c r="K58" s="30"/>
      <c r="L58" s="65"/>
      <c r="M58" s="30"/>
      <c r="N58" s="91" t="s">
        <v>133</v>
      </c>
      <c r="O58" s="96">
        <v>-7.9023755284263411</v>
      </c>
      <c r="P58" s="97">
        <v>3.23</v>
      </c>
      <c r="Q58" s="98">
        <f t="shared" si="1"/>
        <v>-5.7687341357512292</v>
      </c>
      <c r="R58" s="99">
        <f t="shared" si="2"/>
        <v>-0.26039999999999996</v>
      </c>
    </row>
    <row r="59" spans="1:18" ht="15" thickBot="1">
      <c r="A59" s="114" t="s">
        <v>135</v>
      </c>
      <c r="B59" s="115">
        <v>-0.45923375149611695</v>
      </c>
      <c r="C59" s="116">
        <v>0</v>
      </c>
      <c r="D59" s="117">
        <f t="shared" si="0"/>
        <v>1.1035352984199645E-12</v>
      </c>
      <c r="E59" s="118">
        <f t="shared" si="0"/>
        <v>1.1035352984199645E-12</v>
      </c>
      <c r="G59" s="114" t="s">
        <v>136</v>
      </c>
      <c r="H59" s="119">
        <v>2.0113140188640672</v>
      </c>
      <c r="I59" s="120">
        <v>15487560339.216837</v>
      </c>
      <c r="J59" s="121"/>
      <c r="K59" s="121"/>
      <c r="L59" s="122"/>
      <c r="M59" s="30"/>
      <c r="N59" s="91" t="s">
        <v>135</v>
      </c>
      <c r="O59" s="96">
        <v>-7.8354248444078305</v>
      </c>
      <c r="P59" s="97">
        <v>3.23</v>
      </c>
      <c r="Q59" s="98">
        <f t="shared" si="1"/>
        <v>-5.719860136417716</v>
      </c>
      <c r="R59" s="99">
        <f t="shared" si="2"/>
        <v>-0.26039999999999996</v>
      </c>
    </row>
    <row r="64" spans="1:18">
      <c r="A64" s="24" t="s">
        <v>137</v>
      </c>
    </row>
    <row r="65" spans="1:4" ht="28.5" thickBot="1">
      <c r="A65" s="123" t="s">
        <v>138</v>
      </c>
      <c r="B65" s="124" t="s">
        <v>139</v>
      </c>
      <c r="C65" s="125" t="s">
        <v>140</v>
      </c>
      <c r="D65" s="126" t="s">
        <v>141</v>
      </c>
    </row>
    <row r="66" spans="1:4" ht="15.5" thickTop="1" thickBot="1">
      <c r="A66" s="127" t="s">
        <v>142</v>
      </c>
      <c r="B66" s="128" t="s">
        <v>143</v>
      </c>
      <c r="C66" s="129" t="s">
        <v>144</v>
      </c>
      <c r="D66" s="130" t="s">
        <v>144</v>
      </c>
    </row>
    <row r="67" spans="1:4" ht="15" thickBot="1">
      <c r="A67" s="131" t="s">
        <v>145</v>
      </c>
      <c r="B67" s="132" t="s">
        <v>146</v>
      </c>
      <c r="C67" s="133" t="s">
        <v>144</v>
      </c>
      <c r="D67" s="134" t="s">
        <v>144</v>
      </c>
    </row>
    <row r="68" spans="1:4" ht="28.5" thickBot="1">
      <c r="A68" s="131" t="s">
        <v>147</v>
      </c>
      <c r="B68" s="132" t="s">
        <v>148</v>
      </c>
      <c r="C68" s="135" t="s">
        <v>149</v>
      </c>
      <c r="D68" s="134" t="s">
        <v>150</v>
      </c>
    </row>
    <row r="69" spans="1:4" ht="28.5" thickBot="1">
      <c r="A69" s="131" t="s">
        <v>151</v>
      </c>
      <c r="B69" s="132" t="s">
        <v>152</v>
      </c>
      <c r="C69" s="135" t="s">
        <v>153</v>
      </c>
      <c r="D69" s="134" t="s">
        <v>150</v>
      </c>
    </row>
    <row r="70" spans="1:4" ht="28.5" thickBot="1">
      <c r="A70" s="131" t="s">
        <v>154</v>
      </c>
      <c r="B70" s="132" t="s">
        <v>155</v>
      </c>
      <c r="C70" s="135" t="s">
        <v>153</v>
      </c>
      <c r="D70" s="134" t="s">
        <v>150</v>
      </c>
    </row>
    <row r="71" spans="1:4" ht="28.5" thickBot="1">
      <c r="A71" s="131" t="s">
        <v>156</v>
      </c>
      <c r="B71" s="132" t="s">
        <v>157</v>
      </c>
      <c r="C71" s="132" t="s">
        <v>158</v>
      </c>
      <c r="D71" s="134" t="s">
        <v>150</v>
      </c>
    </row>
    <row r="72" spans="1:4" ht="28.5" thickBot="1">
      <c r="A72" s="131" t="s">
        <v>159</v>
      </c>
      <c r="B72" s="132" t="s">
        <v>160</v>
      </c>
      <c r="C72" s="135" t="s">
        <v>153</v>
      </c>
      <c r="D72" s="134" t="s">
        <v>150</v>
      </c>
    </row>
    <row r="73" spans="1:4" ht="28.5" thickBot="1">
      <c r="A73" s="131" t="s">
        <v>161</v>
      </c>
      <c r="B73" s="132" t="s">
        <v>162</v>
      </c>
      <c r="C73" s="132" t="s">
        <v>163</v>
      </c>
      <c r="D73" s="134" t="s">
        <v>150</v>
      </c>
    </row>
    <row r="74" spans="1:4" ht="28.5" thickBot="1">
      <c r="A74" s="131" t="s">
        <v>164</v>
      </c>
      <c r="B74" s="132" t="s">
        <v>165</v>
      </c>
      <c r="C74" s="132" t="s">
        <v>166</v>
      </c>
      <c r="D74" s="134" t="s">
        <v>150</v>
      </c>
    </row>
    <row r="75" spans="1:4" ht="28.5" thickBot="1">
      <c r="A75" s="131" t="s">
        <v>167</v>
      </c>
      <c r="B75" s="132" t="s">
        <v>168</v>
      </c>
      <c r="C75" s="132" t="s">
        <v>169</v>
      </c>
      <c r="D75" s="134" t="s">
        <v>150</v>
      </c>
    </row>
    <row r="76" spans="1:4" ht="44" thickBot="1">
      <c r="A76" s="131" t="s">
        <v>170</v>
      </c>
      <c r="B76" s="132" t="s">
        <v>171</v>
      </c>
      <c r="C76" s="132" t="s">
        <v>172</v>
      </c>
      <c r="D76" s="134" t="s">
        <v>150</v>
      </c>
    </row>
    <row r="77" spans="1:4" ht="28.5" thickBot="1">
      <c r="A77" s="131" t="s">
        <v>173</v>
      </c>
      <c r="B77" s="132" t="s">
        <v>174</v>
      </c>
      <c r="C77" s="132" t="s">
        <v>175</v>
      </c>
      <c r="D77" s="134" t="s">
        <v>150</v>
      </c>
    </row>
    <row r="78" spans="1:4" ht="28.5" thickBot="1">
      <c r="A78" s="131" t="s">
        <v>176</v>
      </c>
      <c r="B78" s="132" t="s">
        <v>177</v>
      </c>
      <c r="C78" s="132" t="s">
        <v>153</v>
      </c>
      <c r="D78" s="134" t="s">
        <v>150</v>
      </c>
    </row>
    <row r="79" spans="1:4" ht="28">
      <c r="A79" s="136" t="s">
        <v>178</v>
      </c>
      <c r="B79" s="137" t="s">
        <v>179</v>
      </c>
      <c r="C79" s="137" t="s">
        <v>153</v>
      </c>
      <c r="D79" s="138" t="s">
        <v>150</v>
      </c>
    </row>
  </sheetData>
  <sheetProtection sheet="1" objects="1" scenarios="1" formatCells="0" formatColumns="0" formatRows="0" sort="0" autoFilter="0"/>
  <mergeCells count="6">
    <mergeCell ref="N4:Q6"/>
    <mergeCell ref="Q8:Q10"/>
    <mergeCell ref="O9:O10"/>
    <mergeCell ref="N21:R22"/>
    <mergeCell ref="A23:B26"/>
    <mergeCell ref="G24:K27"/>
  </mergeCells>
  <hyperlinks>
    <hyperlink ref="A17" r:id="rId1" xr:uid="{AC478C20-E2E5-480D-9A12-961BCA9490E9}"/>
    <hyperlink ref="N17" r:id="rId2" display="https://doi.org/10.1038%2Fs41370-021-00354-0" xr:uid="{69566450-DAB7-4FDD-8855-2C9E7052CAEE}"/>
  </hyperlinks>
  <pageMargins left="0.7" right="0.7" top="0.75" bottom="0.75" header="0.3" footer="0.3"/>
  <pageSetup orientation="portrait" r:id="rId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701C8D-C4E8-4BC2-A011-A963109582E9}">
  <sheetPr codeName="Sheet4">
    <tabColor theme="6" tint="0.39997558519241921"/>
  </sheetPr>
  <dimension ref="A1:O60"/>
  <sheetViews>
    <sheetView workbookViewId="0"/>
  </sheetViews>
  <sheetFormatPr defaultColWidth="9.1796875" defaultRowHeight="14.5"/>
  <cols>
    <col min="1" max="1" width="16.7265625" style="140" customWidth="1"/>
    <col min="2" max="2" width="28.26953125" style="140" customWidth="1"/>
    <col min="3" max="3" width="21.7265625" style="140" bestFit="1" customWidth="1"/>
    <col min="4" max="4" width="73.1796875" style="140" bestFit="1" customWidth="1"/>
    <col min="5" max="5" width="50" style="140" bestFit="1" customWidth="1"/>
    <col min="6" max="6" width="22.54296875" style="140" bestFit="1" customWidth="1"/>
    <col min="7" max="7" width="9.1796875" style="140"/>
    <col min="8" max="8" width="10.81640625" style="140" customWidth="1"/>
    <col min="9" max="9" width="8.81640625" style="140" bestFit="1" customWidth="1"/>
    <col min="10" max="10" width="10.54296875" style="140" customWidth="1"/>
    <col min="11" max="11" width="14.453125" style="140" customWidth="1"/>
    <col min="12" max="12" width="16" style="140" customWidth="1"/>
    <col min="13" max="13" width="73.7265625" style="140" customWidth="1"/>
    <col min="14" max="14" width="43" style="140" customWidth="1"/>
    <col min="15" max="15" width="50.453125" style="140" customWidth="1"/>
    <col min="16" max="16384" width="9.1796875" style="140"/>
  </cols>
  <sheetData>
    <row r="1" spans="1:15" ht="42.5" customHeight="1">
      <c r="A1" s="139" t="s">
        <v>1041</v>
      </c>
      <c r="B1" s="139" t="s">
        <v>1042</v>
      </c>
      <c r="C1" s="139" t="s">
        <v>1043</v>
      </c>
      <c r="D1" s="139" t="s">
        <v>1044</v>
      </c>
      <c r="E1" s="139" t="s">
        <v>1045</v>
      </c>
      <c r="F1" s="139" t="s">
        <v>1046</v>
      </c>
      <c r="G1" s="139" t="s">
        <v>784</v>
      </c>
      <c r="H1" s="139" t="s">
        <v>1047</v>
      </c>
      <c r="I1" s="139" t="s">
        <v>189</v>
      </c>
      <c r="J1" s="139" t="s">
        <v>190</v>
      </c>
      <c r="K1" s="139" t="s">
        <v>785</v>
      </c>
      <c r="L1" s="139" t="s">
        <v>786</v>
      </c>
      <c r="M1" s="139" t="s">
        <v>787</v>
      </c>
      <c r="N1" s="139" t="s">
        <v>788</v>
      </c>
    </row>
    <row r="2" spans="1:15" ht="87">
      <c r="A2" s="141" t="s">
        <v>789</v>
      </c>
      <c r="B2" s="141" t="s">
        <v>790</v>
      </c>
      <c r="C2" s="141" t="s">
        <v>791</v>
      </c>
      <c r="D2" s="141" t="s">
        <v>792</v>
      </c>
      <c r="E2" s="141" t="s">
        <v>793</v>
      </c>
      <c r="F2" s="141" t="s">
        <v>794</v>
      </c>
      <c r="G2" s="141" t="s">
        <v>795</v>
      </c>
      <c r="H2" s="141" t="s">
        <v>240</v>
      </c>
      <c r="I2" s="141">
        <v>1.2</v>
      </c>
      <c r="J2" s="141" t="s">
        <v>796</v>
      </c>
      <c r="K2" s="141" t="s">
        <v>797</v>
      </c>
      <c r="L2" s="142" t="s">
        <v>783</v>
      </c>
      <c r="M2" s="141" t="s">
        <v>798</v>
      </c>
      <c r="N2" s="141" t="s">
        <v>799</v>
      </c>
      <c r="O2" s="140" t="s">
        <v>800</v>
      </c>
    </row>
    <row r="3" spans="1:15" ht="87">
      <c r="A3" s="141" t="s">
        <v>789</v>
      </c>
      <c r="B3" s="141" t="s">
        <v>801</v>
      </c>
      <c r="C3" s="141" t="s">
        <v>802</v>
      </c>
      <c r="D3" s="141" t="s">
        <v>803</v>
      </c>
      <c r="E3" s="141" t="s">
        <v>804</v>
      </c>
      <c r="F3" s="141" t="s">
        <v>805</v>
      </c>
      <c r="G3" s="141" t="s">
        <v>795</v>
      </c>
      <c r="H3" s="141" t="s">
        <v>806</v>
      </c>
      <c r="I3" s="141">
        <v>1.069</v>
      </c>
      <c r="J3" s="141" t="s">
        <v>807</v>
      </c>
      <c r="K3" s="141" t="s">
        <v>808</v>
      </c>
      <c r="L3" s="142" t="s">
        <v>783</v>
      </c>
      <c r="M3" s="141" t="s">
        <v>809</v>
      </c>
      <c r="N3" s="141" t="s">
        <v>810</v>
      </c>
    </row>
    <row r="4" spans="1:15" ht="72.5">
      <c r="A4" s="141" t="s">
        <v>789</v>
      </c>
      <c r="B4" s="141" t="s">
        <v>801</v>
      </c>
      <c r="C4" s="141" t="s">
        <v>802</v>
      </c>
      <c r="D4" s="141" t="s">
        <v>811</v>
      </c>
      <c r="E4" s="141" t="s">
        <v>804</v>
      </c>
      <c r="F4" s="141" t="s">
        <v>805</v>
      </c>
      <c r="G4" s="141" t="s">
        <v>795</v>
      </c>
      <c r="H4" s="141" t="s">
        <v>806</v>
      </c>
      <c r="I4" s="141">
        <v>1.1299999999999999</v>
      </c>
      <c r="J4" s="141" t="s">
        <v>807</v>
      </c>
      <c r="K4" s="141" t="s">
        <v>808</v>
      </c>
      <c r="L4" s="142" t="s">
        <v>783</v>
      </c>
      <c r="M4" s="141" t="s">
        <v>812</v>
      </c>
      <c r="N4" s="141" t="s">
        <v>810</v>
      </c>
    </row>
    <row r="5" spans="1:15" ht="58">
      <c r="A5" s="141" t="s">
        <v>789</v>
      </c>
      <c r="B5" s="141" t="s">
        <v>813</v>
      </c>
      <c r="C5" s="141" t="s">
        <v>814</v>
      </c>
      <c r="D5" s="141" t="s">
        <v>815</v>
      </c>
      <c r="E5" s="141" t="s">
        <v>816</v>
      </c>
      <c r="F5" s="143" t="s">
        <v>791</v>
      </c>
      <c r="G5" s="141" t="s">
        <v>817</v>
      </c>
      <c r="H5" s="141" t="s">
        <v>240</v>
      </c>
      <c r="I5" s="141" t="s">
        <v>248</v>
      </c>
      <c r="J5" s="141" t="s">
        <v>248</v>
      </c>
      <c r="K5" s="141" t="s">
        <v>797</v>
      </c>
      <c r="L5" s="142" t="s">
        <v>818</v>
      </c>
      <c r="M5" s="141" t="s">
        <v>819</v>
      </c>
      <c r="N5" s="141" t="s">
        <v>820</v>
      </c>
    </row>
    <row r="6" spans="1:15" ht="145">
      <c r="A6" s="141" t="s">
        <v>789</v>
      </c>
      <c r="B6" s="141" t="s">
        <v>813</v>
      </c>
      <c r="C6" s="141" t="s">
        <v>791</v>
      </c>
      <c r="D6" s="141" t="s">
        <v>218</v>
      </c>
      <c r="E6" s="141" t="s">
        <v>219</v>
      </c>
      <c r="F6" s="141" t="s">
        <v>821</v>
      </c>
      <c r="G6" s="141" t="s">
        <v>817</v>
      </c>
      <c r="H6" s="141" t="s">
        <v>220</v>
      </c>
      <c r="I6" s="141" t="s">
        <v>822</v>
      </c>
      <c r="J6" s="141" t="s">
        <v>823</v>
      </c>
      <c r="K6" s="141" t="s">
        <v>797</v>
      </c>
      <c r="L6" s="142" t="s">
        <v>783</v>
      </c>
      <c r="M6" s="141" t="s">
        <v>824</v>
      </c>
      <c r="N6" s="141"/>
    </row>
    <row r="7" spans="1:15" ht="58">
      <c r="A7" s="141" t="s">
        <v>789</v>
      </c>
      <c r="B7" s="141" t="s">
        <v>813</v>
      </c>
      <c r="C7" s="141" t="s">
        <v>791</v>
      </c>
      <c r="D7" s="141" t="s">
        <v>825</v>
      </c>
      <c r="E7" s="141" t="s">
        <v>826</v>
      </c>
      <c r="F7" s="141" t="s">
        <v>827</v>
      </c>
      <c r="G7" s="141" t="s">
        <v>795</v>
      </c>
      <c r="H7" s="141" t="s">
        <v>828</v>
      </c>
      <c r="I7" s="141" t="s">
        <v>248</v>
      </c>
      <c r="J7" s="141" t="s">
        <v>248</v>
      </c>
      <c r="K7" s="141" t="s">
        <v>829</v>
      </c>
      <c r="L7" s="142" t="s">
        <v>830</v>
      </c>
      <c r="M7" s="141" t="s">
        <v>831</v>
      </c>
      <c r="N7" s="141" t="s">
        <v>832</v>
      </c>
    </row>
    <row r="8" spans="1:15" ht="29">
      <c r="A8" s="141" t="s">
        <v>789</v>
      </c>
      <c r="B8" s="141" t="s">
        <v>813</v>
      </c>
      <c r="C8" s="141" t="s">
        <v>791</v>
      </c>
      <c r="D8" s="141" t="s">
        <v>833</v>
      </c>
      <c r="E8" s="141" t="s">
        <v>834</v>
      </c>
      <c r="F8" s="141" t="s">
        <v>835</v>
      </c>
      <c r="G8" s="141" t="s">
        <v>795</v>
      </c>
      <c r="H8" s="141"/>
      <c r="I8" s="141"/>
      <c r="J8" s="141"/>
      <c r="K8" s="141"/>
      <c r="L8" s="142" t="s">
        <v>783</v>
      </c>
      <c r="M8" s="141" t="s">
        <v>831</v>
      </c>
      <c r="N8" s="141" t="s">
        <v>836</v>
      </c>
    </row>
    <row r="9" spans="1:15" ht="72.5">
      <c r="A9" s="141" t="s">
        <v>789</v>
      </c>
      <c r="B9" s="141" t="s">
        <v>813</v>
      </c>
      <c r="C9" s="141" t="s">
        <v>791</v>
      </c>
      <c r="D9" s="141" t="s">
        <v>837</v>
      </c>
      <c r="E9" s="141" t="s">
        <v>838</v>
      </c>
      <c r="F9" s="141" t="s">
        <v>839</v>
      </c>
      <c r="G9" s="141" t="s">
        <v>795</v>
      </c>
      <c r="H9" s="141"/>
      <c r="I9" s="141"/>
      <c r="J9" s="141"/>
      <c r="K9" s="141"/>
      <c r="L9" s="142" t="s">
        <v>783</v>
      </c>
      <c r="M9" s="141" t="s">
        <v>840</v>
      </c>
      <c r="N9" s="141" t="s">
        <v>841</v>
      </c>
      <c r="O9" s="140" t="s">
        <v>842</v>
      </c>
    </row>
    <row r="10" spans="1:15" ht="58">
      <c r="A10" s="141" t="s">
        <v>789</v>
      </c>
      <c r="B10" s="141" t="s">
        <v>813</v>
      </c>
      <c r="C10" s="141" t="s">
        <v>791</v>
      </c>
      <c r="D10" s="141" t="s">
        <v>843</v>
      </c>
      <c r="E10" s="141" t="s">
        <v>838</v>
      </c>
      <c r="F10" s="141" t="s">
        <v>835</v>
      </c>
      <c r="G10" s="141" t="s">
        <v>795</v>
      </c>
      <c r="H10" s="141" t="s">
        <v>828</v>
      </c>
      <c r="I10" s="141" t="s">
        <v>844</v>
      </c>
      <c r="J10" s="141" t="s">
        <v>248</v>
      </c>
      <c r="K10" s="141" t="s">
        <v>829</v>
      </c>
      <c r="L10" s="142" t="s">
        <v>783</v>
      </c>
      <c r="M10" s="141" t="s">
        <v>845</v>
      </c>
      <c r="N10" s="141" t="s">
        <v>846</v>
      </c>
      <c r="O10" s="140" t="s">
        <v>847</v>
      </c>
    </row>
    <row r="11" spans="1:15" ht="43.5">
      <c r="A11" s="141" t="s">
        <v>789</v>
      </c>
      <c r="B11" s="141" t="s">
        <v>848</v>
      </c>
      <c r="C11" s="141" t="s">
        <v>791</v>
      </c>
      <c r="D11" s="141" t="s">
        <v>849</v>
      </c>
      <c r="E11" s="141" t="s">
        <v>850</v>
      </c>
      <c r="F11" s="141" t="s">
        <v>851</v>
      </c>
      <c r="G11" s="141" t="s">
        <v>795</v>
      </c>
      <c r="H11" s="141"/>
      <c r="I11" s="141"/>
      <c r="J11" s="141"/>
      <c r="K11" s="141"/>
      <c r="L11" s="142" t="s">
        <v>783</v>
      </c>
      <c r="M11" s="141" t="s">
        <v>852</v>
      </c>
      <c r="N11" s="141" t="s">
        <v>853</v>
      </c>
    </row>
    <row r="12" spans="1:15" ht="29">
      <c r="A12" s="141" t="s">
        <v>789</v>
      </c>
      <c r="B12" s="141" t="s">
        <v>848</v>
      </c>
      <c r="C12" s="141" t="s">
        <v>791</v>
      </c>
      <c r="D12" s="141" t="s">
        <v>854</v>
      </c>
      <c r="E12" s="141" t="s">
        <v>855</v>
      </c>
      <c r="F12" s="141" t="s">
        <v>856</v>
      </c>
      <c r="G12" s="141" t="s">
        <v>795</v>
      </c>
      <c r="H12" s="141"/>
      <c r="I12" s="141"/>
      <c r="J12" s="141"/>
      <c r="K12" s="141"/>
      <c r="L12" s="142" t="s">
        <v>783</v>
      </c>
      <c r="M12" s="141" t="s">
        <v>831</v>
      </c>
      <c r="N12" s="141" t="s">
        <v>857</v>
      </c>
    </row>
    <row r="13" spans="1:15" ht="29">
      <c r="A13" s="141" t="s">
        <v>789</v>
      </c>
      <c r="B13" s="141" t="s">
        <v>848</v>
      </c>
      <c r="C13" s="141" t="s">
        <v>791</v>
      </c>
      <c r="D13" s="141" t="s">
        <v>858</v>
      </c>
      <c r="E13" s="141" t="s">
        <v>859</v>
      </c>
      <c r="F13" s="141" t="s">
        <v>839</v>
      </c>
      <c r="G13" s="141" t="s">
        <v>795</v>
      </c>
      <c r="H13" s="141"/>
      <c r="I13" s="141"/>
      <c r="J13" s="141"/>
      <c r="K13" s="141"/>
      <c r="L13" s="142" t="s">
        <v>783</v>
      </c>
      <c r="M13" s="141" t="s">
        <v>860</v>
      </c>
      <c r="N13" s="141" t="s">
        <v>857</v>
      </c>
    </row>
    <row r="14" spans="1:15" ht="29">
      <c r="A14" s="141" t="s">
        <v>789</v>
      </c>
      <c r="B14" s="141" t="s">
        <v>861</v>
      </c>
      <c r="C14" s="141" t="s">
        <v>862</v>
      </c>
      <c r="D14" s="141" t="s">
        <v>863</v>
      </c>
      <c r="E14" s="141" t="s">
        <v>864</v>
      </c>
      <c r="F14" s="141" t="s">
        <v>865</v>
      </c>
      <c r="G14" s="141" t="s">
        <v>795</v>
      </c>
      <c r="H14" s="141"/>
      <c r="I14" s="141"/>
      <c r="J14" s="141"/>
      <c r="K14" s="141"/>
      <c r="L14" s="142" t="s">
        <v>783</v>
      </c>
      <c r="M14" s="141" t="s">
        <v>866</v>
      </c>
      <c r="N14" s="141" t="s">
        <v>867</v>
      </c>
    </row>
    <row r="15" spans="1:15" ht="29">
      <c r="A15" s="141" t="s">
        <v>789</v>
      </c>
      <c r="B15" s="141" t="s">
        <v>861</v>
      </c>
      <c r="C15" s="141" t="s">
        <v>862</v>
      </c>
      <c r="D15" s="141" t="s">
        <v>868</v>
      </c>
      <c r="E15" s="141" t="s">
        <v>864</v>
      </c>
      <c r="F15" s="141" t="s">
        <v>869</v>
      </c>
      <c r="G15" s="141" t="s">
        <v>795</v>
      </c>
      <c r="H15" s="141"/>
      <c r="I15" s="141"/>
      <c r="J15" s="141"/>
      <c r="K15" s="141"/>
      <c r="L15" s="142" t="s">
        <v>783</v>
      </c>
      <c r="M15" s="141" t="s">
        <v>870</v>
      </c>
      <c r="N15" s="141" t="s">
        <v>867</v>
      </c>
    </row>
    <row r="16" spans="1:15">
      <c r="A16" s="141" t="s">
        <v>25</v>
      </c>
      <c r="B16" s="141" t="s">
        <v>871</v>
      </c>
      <c r="C16" s="141" t="s">
        <v>791</v>
      </c>
      <c r="D16" s="141" t="s">
        <v>872</v>
      </c>
      <c r="E16" s="141" t="s">
        <v>873</v>
      </c>
      <c r="F16" s="141" t="s">
        <v>874</v>
      </c>
      <c r="G16" s="141" t="s">
        <v>795</v>
      </c>
      <c r="H16" s="141"/>
      <c r="I16" s="141"/>
      <c r="J16" s="141"/>
      <c r="K16" s="141"/>
      <c r="L16" s="142" t="s">
        <v>783</v>
      </c>
      <c r="M16" s="141" t="s">
        <v>875</v>
      </c>
      <c r="N16" s="141" t="s">
        <v>876</v>
      </c>
    </row>
    <row r="17" spans="1:15" ht="116">
      <c r="A17" s="141" t="s">
        <v>789</v>
      </c>
      <c r="B17" s="141" t="s">
        <v>877</v>
      </c>
      <c r="C17" s="141" t="s">
        <v>791</v>
      </c>
      <c r="D17" s="141" t="s">
        <v>878</v>
      </c>
      <c r="E17" s="141" t="s">
        <v>234</v>
      </c>
      <c r="F17" s="141" t="s">
        <v>879</v>
      </c>
      <c r="G17" s="141" t="s">
        <v>817</v>
      </c>
      <c r="H17" s="141" t="s">
        <v>220</v>
      </c>
      <c r="I17" s="141" t="s">
        <v>248</v>
      </c>
      <c r="J17" s="141" t="s">
        <v>880</v>
      </c>
      <c r="K17" s="141" t="s">
        <v>797</v>
      </c>
      <c r="L17" s="142" t="s">
        <v>783</v>
      </c>
      <c r="M17" s="141" t="s">
        <v>881</v>
      </c>
      <c r="N17" s="141" t="s">
        <v>882</v>
      </c>
      <c r="O17" s="140" t="s">
        <v>883</v>
      </c>
    </row>
    <row r="18" spans="1:15" ht="43.5">
      <c r="A18" s="141" t="s">
        <v>21</v>
      </c>
      <c r="B18" s="141" t="s">
        <v>884</v>
      </c>
      <c r="C18" s="141" t="s">
        <v>791</v>
      </c>
      <c r="D18" s="141" t="s">
        <v>884</v>
      </c>
      <c r="E18" s="141" t="s">
        <v>885</v>
      </c>
      <c r="F18" s="141" t="s">
        <v>886</v>
      </c>
      <c r="G18" s="141" t="s">
        <v>795</v>
      </c>
      <c r="H18" s="141"/>
      <c r="I18" s="141"/>
      <c r="J18" s="141"/>
      <c r="K18" s="141"/>
      <c r="L18" s="142" t="s">
        <v>783</v>
      </c>
      <c r="M18" s="141" t="s">
        <v>887</v>
      </c>
      <c r="N18" s="141" t="s">
        <v>888</v>
      </c>
      <c r="O18" s="140" t="s">
        <v>847</v>
      </c>
    </row>
    <row r="19" spans="1:15" ht="130.5">
      <c r="A19" s="141" t="s">
        <v>789</v>
      </c>
      <c r="B19" s="141" t="s">
        <v>889</v>
      </c>
      <c r="C19" s="141" t="s">
        <v>791</v>
      </c>
      <c r="D19" s="141" t="s">
        <v>890</v>
      </c>
      <c r="E19" s="141" t="s">
        <v>225</v>
      </c>
      <c r="F19" s="141" t="s">
        <v>891</v>
      </c>
      <c r="G19" s="141" t="s">
        <v>817</v>
      </c>
      <c r="H19" s="141" t="s">
        <v>220</v>
      </c>
      <c r="I19" s="141" t="s">
        <v>248</v>
      </c>
      <c r="J19" s="141" t="s">
        <v>892</v>
      </c>
      <c r="K19" s="141" t="s">
        <v>893</v>
      </c>
      <c r="L19" s="142" t="s">
        <v>818</v>
      </c>
      <c r="M19" s="141" t="s">
        <v>894</v>
      </c>
      <c r="N19" s="141" t="s">
        <v>853</v>
      </c>
    </row>
    <row r="20" spans="1:15" ht="116">
      <c r="A20" s="141" t="s">
        <v>895</v>
      </c>
      <c r="B20" s="141" t="s">
        <v>896</v>
      </c>
      <c r="C20" s="141" t="s">
        <v>791</v>
      </c>
      <c r="D20" s="141" t="s">
        <v>897</v>
      </c>
      <c r="E20" s="141" t="s">
        <v>898</v>
      </c>
      <c r="F20" s="141" t="s">
        <v>899</v>
      </c>
      <c r="G20" s="141" t="s">
        <v>795</v>
      </c>
      <c r="H20" s="141" t="s">
        <v>240</v>
      </c>
      <c r="I20" s="141">
        <v>1.17</v>
      </c>
      <c r="J20" s="141" t="s">
        <v>900</v>
      </c>
      <c r="K20" s="141" t="s">
        <v>808</v>
      </c>
      <c r="L20" s="142" t="s">
        <v>783</v>
      </c>
      <c r="M20" s="141" t="s">
        <v>901</v>
      </c>
      <c r="N20" s="141" t="s">
        <v>902</v>
      </c>
      <c r="O20" s="140" t="s">
        <v>847</v>
      </c>
    </row>
    <row r="21" spans="1:15" ht="29">
      <c r="A21" s="141" t="s">
        <v>895</v>
      </c>
      <c r="B21" s="141" t="s">
        <v>903</v>
      </c>
      <c r="C21" s="141" t="s">
        <v>791</v>
      </c>
      <c r="D21" s="141" t="s">
        <v>904</v>
      </c>
      <c r="E21" s="141" t="s">
        <v>905</v>
      </c>
      <c r="F21" s="141" t="s">
        <v>839</v>
      </c>
      <c r="G21" s="141" t="s">
        <v>795</v>
      </c>
      <c r="H21" s="141"/>
      <c r="I21" s="141"/>
      <c r="J21" s="141"/>
      <c r="K21" s="141"/>
      <c r="L21" s="142" t="s">
        <v>783</v>
      </c>
      <c r="M21" s="141" t="s">
        <v>831</v>
      </c>
      <c r="N21" s="141" t="s">
        <v>853</v>
      </c>
    </row>
    <row r="22" spans="1:15" ht="43.5">
      <c r="A22" s="141" t="s">
        <v>895</v>
      </c>
      <c r="B22" s="141" t="s">
        <v>906</v>
      </c>
      <c r="C22" s="141" t="s">
        <v>802</v>
      </c>
      <c r="D22" s="141" t="s">
        <v>907</v>
      </c>
      <c r="E22" s="141" t="s">
        <v>908</v>
      </c>
      <c r="F22" s="141" t="s">
        <v>909</v>
      </c>
      <c r="G22" s="141" t="s">
        <v>795</v>
      </c>
      <c r="H22" s="141"/>
      <c r="I22" s="141"/>
      <c r="J22" s="141"/>
      <c r="K22" s="141"/>
      <c r="L22" s="142" t="s">
        <v>783</v>
      </c>
      <c r="M22" s="141" t="s">
        <v>910</v>
      </c>
      <c r="N22" s="141" t="s">
        <v>867</v>
      </c>
    </row>
    <row r="23" spans="1:15" ht="203">
      <c r="A23" s="141" t="s">
        <v>789</v>
      </c>
      <c r="B23" s="141" t="s">
        <v>911</v>
      </c>
      <c r="C23" s="141" t="s">
        <v>791</v>
      </c>
      <c r="D23" s="141" t="s">
        <v>912</v>
      </c>
      <c r="E23" s="141" t="s">
        <v>913</v>
      </c>
      <c r="F23" s="141" t="s">
        <v>914</v>
      </c>
      <c r="G23" s="141" t="s">
        <v>795</v>
      </c>
      <c r="H23" s="141"/>
      <c r="I23" s="141"/>
      <c r="J23" s="141"/>
      <c r="K23" s="141"/>
      <c r="L23" s="142" t="s">
        <v>783</v>
      </c>
      <c r="M23" s="141" t="s">
        <v>915</v>
      </c>
      <c r="N23" s="141" t="s">
        <v>916</v>
      </c>
    </row>
    <row r="24" spans="1:15" ht="29">
      <c r="A24" s="141" t="s">
        <v>789</v>
      </c>
      <c r="B24" s="141" t="s">
        <v>917</v>
      </c>
      <c r="C24" s="141" t="s">
        <v>918</v>
      </c>
      <c r="D24" s="141" t="s">
        <v>919</v>
      </c>
      <c r="E24" s="141" t="s">
        <v>920</v>
      </c>
      <c r="F24" s="141" t="s">
        <v>827</v>
      </c>
      <c r="G24" s="141" t="s">
        <v>795</v>
      </c>
      <c r="H24" s="141"/>
      <c r="I24" s="141"/>
      <c r="J24" s="141"/>
      <c r="K24" s="141"/>
      <c r="L24" s="142" t="s">
        <v>783</v>
      </c>
      <c r="M24" s="141" t="s">
        <v>921</v>
      </c>
      <c r="N24" s="141" t="s">
        <v>922</v>
      </c>
    </row>
    <row r="25" spans="1:15" ht="29">
      <c r="A25" s="141" t="s">
        <v>789</v>
      </c>
      <c r="B25" s="141" t="s">
        <v>917</v>
      </c>
      <c r="C25" s="141" t="s">
        <v>918</v>
      </c>
      <c r="D25" s="141" t="s">
        <v>923</v>
      </c>
      <c r="E25" s="141" t="s">
        <v>920</v>
      </c>
      <c r="F25" s="141" t="s">
        <v>924</v>
      </c>
      <c r="G25" s="141" t="s">
        <v>795</v>
      </c>
      <c r="H25" s="141"/>
      <c r="I25" s="141"/>
      <c r="J25" s="141"/>
      <c r="K25" s="141"/>
      <c r="L25" s="142" t="s">
        <v>783</v>
      </c>
      <c r="M25" s="141" t="s">
        <v>925</v>
      </c>
      <c r="N25" s="141" t="s">
        <v>922</v>
      </c>
    </row>
    <row r="26" spans="1:15" ht="29">
      <c r="A26" s="141" t="s">
        <v>789</v>
      </c>
      <c r="B26" s="141" t="s">
        <v>926</v>
      </c>
      <c r="C26" s="141" t="s">
        <v>791</v>
      </c>
      <c r="D26" s="141" t="s">
        <v>927</v>
      </c>
      <c r="E26" s="141" t="s">
        <v>928</v>
      </c>
      <c r="F26" s="141" t="s">
        <v>929</v>
      </c>
      <c r="G26" s="141" t="s">
        <v>795</v>
      </c>
      <c r="H26" s="141"/>
      <c r="I26" s="141"/>
      <c r="J26" s="141"/>
      <c r="K26" s="141"/>
      <c r="L26" s="142" t="s">
        <v>783</v>
      </c>
      <c r="M26" s="141" t="s">
        <v>930</v>
      </c>
      <c r="N26" s="141" t="s">
        <v>922</v>
      </c>
    </row>
    <row r="27" spans="1:15" ht="130.5">
      <c r="A27" s="141" t="s">
        <v>789</v>
      </c>
      <c r="B27" s="141" t="s">
        <v>911</v>
      </c>
      <c r="C27" s="141" t="s">
        <v>791</v>
      </c>
      <c r="D27" s="141" t="s">
        <v>931</v>
      </c>
      <c r="E27" s="141" t="s">
        <v>913</v>
      </c>
      <c r="F27" s="141" t="s">
        <v>791</v>
      </c>
      <c r="G27" s="141" t="s">
        <v>795</v>
      </c>
      <c r="H27" s="141"/>
      <c r="I27" s="141"/>
      <c r="J27" s="141"/>
      <c r="K27" s="141"/>
      <c r="L27" s="142" t="s">
        <v>783</v>
      </c>
      <c r="M27" s="141" t="s">
        <v>932</v>
      </c>
      <c r="N27" s="141" t="s">
        <v>916</v>
      </c>
    </row>
    <row r="28" spans="1:15" ht="58">
      <c r="A28" s="141" t="s">
        <v>789</v>
      </c>
      <c r="B28" s="141" t="s">
        <v>933</v>
      </c>
      <c r="C28" s="141" t="s">
        <v>802</v>
      </c>
      <c r="D28" s="141" t="s">
        <v>934</v>
      </c>
      <c r="E28" s="141" t="s">
        <v>239</v>
      </c>
      <c r="F28" s="141" t="s">
        <v>935</v>
      </c>
      <c r="G28" s="141" t="s">
        <v>817</v>
      </c>
      <c r="H28" s="141" t="s">
        <v>806</v>
      </c>
      <c r="I28" s="141">
        <v>1.05</v>
      </c>
      <c r="J28" s="141" t="s">
        <v>936</v>
      </c>
      <c r="K28" s="141" t="s">
        <v>797</v>
      </c>
      <c r="L28" s="142" t="s">
        <v>937</v>
      </c>
      <c r="M28" s="141" t="s">
        <v>938</v>
      </c>
      <c r="N28" s="141" t="s">
        <v>939</v>
      </c>
      <c r="O28" s="140" t="s">
        <v>883</v>
      </c>
    </row>
    <row r="29" spans="1:15">
      <c r="A29" s="141" t="s">
        <v>25</v>
      </c>
      <c r="B29" s="141" t="s">
        <v>940</v>
      </c>
      <c r="C29" s="141" t="s">
        <v>791</v>
      </c>
      <c r="D29" s="141" t="s">
        <v>941</v>
      </c>
      <c r="E29" s="141" t="s">
        <v>942</v>
      </c>
      <c r="F29" s="141" t="s">
        <v>943</v>
      </c>
      <c r="G29" s="141" t="s">
        <v>795</v>
      </c>
      <c r="H29" s="141"/>
      <c r="I29" s="141"/>
      <c r="J29" s="141"/>
      <c r="K29" s="141"/>
      <c r="L29" s="142" t="s">
        <v>783</v>
      </c>
      <c r="M29" s="141" t="s">
        <v>944</v>
      </c>
      <c r="N29" s="141" t="s">
        <v>945</v>
      </c>
    </row>
    <row r="30" spans="1:15" ht="130.5">
      <c r="A30" s="141" t="s">
        <v>789</v>
      </c>
      <c r="B30" s="141" t="s">
        <v>946</v>
      </c>
      <c r="C30" s="141" t="s">
        <v>791</v>
      </c>
      <c r="D30" s="141" t="s">
        <v>947</v>
      </c>
      <c r="E30" s="141" t="s">
        <v>948</v>
      </c>
      <c r="F30" s="141" t="s">
        <v>949</v>
      </c>
      <c r="G30" s="141" t="s">
        <v>795</v>
      </c>
      <c r="H30" s="141"/>
      <c r="I30" s="141"/>
      <c r="J30" s="141"/>
      <c r="K30" s="141"/>
      <c r="L30" s="142" t="s">
        <v>783</v>
      </c>
      <c r="M30" s="141"/>
      <c r="N30" s="141" t="s">
        <v>950</v>
      </c>
    </row>
    <row r="31" spans="1:15" ht="58">
      <c r="A31" s="141" t="s">
        <v>789</v>
      </c>
      <c r="B31" s="141" t="s">
        <v>946</v>
      </c>
      <c r="C31" s="141" t="s">
        <v>791</v>
      </c>
      <c r="D31" s="141" t="s">
        <v>951</v>
      </c>
      <c r="E31" s="141" t="s">
        <v>952</v>
      </c>
      <c r="F31" s="141" t="s">
        <v>953</v>
      </c>
      <c r="G31" s="141" t="s">
        <v>795</v>
      </c>
      <c r="H31" s="141" t="s">
        <v>828</v>
      </c>
      <c r="I31" s="141" t="s">
        <v>954</v>
      </c>
      <c r="J31" s="141" t="s">
        <v>955</v>
      </c>
      <c r="K31" s="141" t="s">
        <v>797</v>
      </c>
      <c r="L31" s="142" t="s">
        <v>783</v>
      </c>
      <c r="M31" s="141" t="s">
        <v>956</v>
      </c>
      <c r="N31" s="141" t="s">
        <v>957</v>
      </c>
      <c r="O31" s="140" t="s">
        <v>847</v>
      </c>
    </row>
    <row r="32" spans="1:15" ht="87">
      <c r="A32" s="141" t="s">
        <v>21</v>
      </c>
      <c r="B32" s="141" t="s">
        <v>958</v>
      </c>
      <c r="C32" s="141" t="s">
        <v>791</v>
      </c>
      <c r="D32" s="141" t="s">
        <v>959</v>
      </c>
      <c r="E32" s="141" t="s">
        <v>960</v>
      </c>
      <c r="F32" s="143" t="s">
        <v>791</v>
      </c>
      <c r="G32" s="141" t="s">
        <v>817</v>
      </c>
      <c r="H32" s="141" t="s">
        <v>961</v>
      </c>
      <c r="I32" s="141" t="s">
        <v>248</v>
      </c>
      <c r="J32" s="141" t="s">
        <v>962</v>
      </c>
      <c r="K32" s="141" t="s">
        <v>797</v>
      </c>
      <c r="L32" s="142" t="s">
        <v>818</v>
      </c>
      <c r="M32" s="141" t="s">
        <v>963</v>
      </c>
      <c r="N32" s="141"/>
    </row>
    <row r="33" spans="1:15" ht="72.5">
      <c r="A33" s="141" t="s">
        <v>789</v>
      </c>
      <c r="B33" s="141" t="s">
        <v>964</v>
      </c>
      <c r="C33" s="141" t="s">
        <v>802</v>
      </c>
      <c r="D33" s="141" t="s">
        <v>965</v>
      </c>
      <c r="E33" s="141" t="s">
        <v>966</v>
      </c>
      <c r="F33" s="141" t="s">
        <v>967</v>
      </c>
      <c r="G33" s="141" t="s">
        <v>795</v>
      </c>
      <c r="H33" s="141"/>
      <c r="I33" s="141"/>
      <c r="J33" s="141"/>
      <c r="K33" s="141"/>
      <c r="L33" s="142" t="s">
        <v>783</v>
      </c>
      <c r="M33" s="141" t="s">
        <v>968</v>
      </c>
      <c r="N33" s="141"/>
    </row>
    <row r="34" spans="1:15" ht="29">
      <c r="A34" s="141" t="s">
        <v>789</v>
      </c>
      <c r="B34" s="141" t="s">
        <v>964</v>
      </c>
      <c r="C34" s="141" t="s">
        <v>802</v>
      </c>
      <c r="D34" s="141" t="s">
        <v>969</v>
      </c>
      <c r="E34" s="141" t="s">
        <v>966</v>
      </c>
      <c r="F34" s="141" t="s">
        <v>970</v>
      </c>
      <c r="G34" s="141" t="s">
        <v>795</v>
      </c>
      <c r="H34" s="141"/>
      <c r="I34" s="141"/>
      <c r="J34" s="141"/>
      <c r="K34" s="141"/>
      <c r="L34" s="142" t="s">
        <v>783</v>
      </c>
      <c r="M34" s="141" t="s">
        <v>944</v>
      </c>
      <c r="N34" s="141" t="s">
        <v>971</v>
      </c>
    </row>
    <row r="35" spans="1:15" ht="29">
      <c r="A35" s="141" t="s">
        <v>789</v>
      </c>
      <c r="B35" s="141" t="s">
        <v>964</v>
      </c>
      <c r="C35" s="141" t="s">
        <v>802</v>
      </c>
      <c r="D35" s="141" t="s">
        <v>972</v>
      </c>
      <c r="E35" s="141" t="s">
        <v>966</v>
      </c>
      <c r="F35" s="141" t="s">
        <v>970</v>
      </c>
      <c r="G35" s="141" t="s">
        <v>795</v>
      </c>
      <c r="H35" s="141"/>
      <c r="I35" s="141"/>
      <c r="J35" s="141"/>
      <c r="K35" s="141"/>
      <c r="L35" s="142" t="s">
        <v>783</v>
      </c>
      <c r="M35" s="141" t="s">
        <v>944</v>
      </c>
      <c r="N35" s="141" t="s">
        <v>971</v>
      </c>
    </row>
    <row r="36" spans="1:15" ht="29">
      <c r="A36" s="141" t="s">
        <v>789</v>
      </c>
      <c r="B36" s="141" t="s">
        <v>964</v>
      </c>
      <c r="C36" s="141" t="s">
        <v>802</v>
      </c>
      <c r="D36" s="141" t="s">
        <v>973</v>
      </c>
      <c r="E36" s="141" t="s">
        <v>966</v>
      </c>
      <c r="F36" s="141" t="s">
        <v>970</v>
      </c>
      <c r="G36" s="141" t="s">
        <v>795</v>
      </c>
      <c r="H36" s="141"/>
      <c r="I36" s="141"/>
      <c r="J36" s="141"/>
      <c r="K36" s="141"/>
      <c r="L36" s="142" t="s">
        <v>783</v>
      </c>
      <c r="M36" s="141" t="s">
        <v>944</v>
      </c>
      <c r="N36" s="141" t="s">
        <v>971</v>
      </c>
    </row>
    <row r="37" spans="1:15" ht="72.5">
      <c r="A37" s="141" t="s">
        <v>789</v>
      </c>
      <c r="B37" s="141" t="s">
        <v>964</v>
      </c>
      <c r="C37" s="141" t="s">
        <v>802</v>
      </c>
      <c r="D37" s="141" t="s">
        <v>974</v>
      </c>
      <c r="E37" s="141" t="s">
        <v>804</v>
      </c>
      <c r="F37" s="141" t="s">
        <v>975</v>
      </c>
      <c r="G37" s="141" t="s">
        <v>795</v>
      </c>
      <c r="H37" s="141"/>
      <c r="I37" s="141"/>
      <c r="J37" s="141"/>
      <c r="K37" s="141"/>
      <c r="L37" s="142" t="s">
        <v>783</v>
      </c>
      <c r="M37" s="141" t="s">
        <v>976</v>
      </c>
      <c r="N37" s="141" t="s">
        <v>810</v>
      </c>
    </row>
    <row r="38" spans="1:15" ht="29">
      <c r="A38" s="141" t="s">
        <v>789</v>
      </c>
      <c r="B38" s="141" t="s">
        <v>977</v>
      </c>
      <c r="C38" s="141" t="s">
        <v>802</v>
      </c>
      <c r="D38" s="141" t="s">
        <v>978</v>
      </c>
      <c r="E38" s="141" t="s">
        <v>966</v>
      </c>
      <c r="F38" s="141" t="s">
        <v>979</v>
      </c>
      <c r="G38" s="141" t="s">
        <v>795</v>
      </c>
      <c r="H38" s="141"/>
      <c r="I38" s="141"/>
      <c r="J38" s="141"/>
      <c r="K38" s="141"/>
      <c r="L38" s="142" t="s">
        <v>783</v>
      </c>
      <c r="M38" s="141" t="s">
        <v>980</v>
      </c>
      <c r="N38" s="141" t="s">
        <v>981</v>
      </c>
    </row>
    <row r="39" spans="1:15" ht="29">
      <c r="A39" s="141" t="s">
        <v>789</v>
      </c>
      <c r="B39" s="141" t="s">
        <v>977</v>
      </c>
      <c r="C39" s="141" t="s">
        <v>802</v>
      </c>
      <c r="D39" s="141" t="s">
        <v>982</v>
      </c>
      <c r="E39" s="141" t="s">
        <v>966</v>
      </c>
      <c r="F39" s="141" t="s">
        <v>979</v>
      </c>
      <c r="G39" s="141" t="s">
        <v>795</v>
      </c>
      <c r="H39" s="141"/>
      <c r="I39" s="141"/>
      <c r="J39" s="141"/>
      <c r="K39" s="141"/>
      <c r="L39" s="142" t="s">
        <v>783</v>
      </c>
      <c r="M39" s="141" t="s">
        <v>944</v>
      </c>
      <c r="N39" s="141" t="s">
        <v>981</v>
      </c>
    </row>
    <row r="40" spans="1:15">
      <c r="A40" s="141" t="s">
        <v>25</v>
      </c>
      <c r="B40" s="141" t="s">
        <v>983</v>
      </c>
      <c r="C40" s="141" t="s">
        <v>791</v>
      </c>
      <c r="D40" s="141" t="s">
        <v>984</v>
      </c>
      <c r="E40" s="141" t="s">
        <v>985</v>
      </c>
      <c r="F40" s="141" t="s">
        <v>986</v>
      </c>
      <c r="G40" s="141" t="s">
        <v>795</v>
      </c>
      <c r="H40" s="141"/>
      <c r="I40" s="141"/>
      <c r="J40" s="141"/>
      <c r="K40" s="141"/>
      <c r="L40" s="142" t="s">
        <v>783</v>
      </c>
      <c r="M40" s="141" t="s">
        <v>987</v>
      </c>
      <c r="N40" s="141"/>
    </row>
    <row r="41" spans="1:15">
      <c r="A41" s="141" t="s">
        <v>25</v>
      </c>
      <c r="B41" s="141" t="s">
        <v>983</v>
      </c>
      <c r="C41" s="141" t="s">
        <v>988</v>
      </c>
      <c r="D41" s="141" t="s">
        <v>989</v>
      </c>
      <c r="E41" s="141" t="s">
        <v>990</v>
      </c>
      <c r="F41" s="141" t="s">
        <v>986</v>
      </c>
      <c r="G41" s="141" t="s">
        <v>795</v>
      </c>
      <c r="H41" s="141"/>
      <c r="I41" s="141"/>
      <c r="J41" s="141"/>
      <c r="K41" s="141"/>
      <c r="L41" s="142" t="s">
        <v>783</v>
      </c>
      <c r="M41" s="141" t="s">
        <v>987</v>
      </c>
      <c r="N41" s="141"/>
    </row>
    <row r="42" spans="1:15">
      <c r="A42" s="141" t="s">
        <v>25</v>
      </c>
      <c r="B42" s="141" t="s">
        <v>983</v>
      </c>
      <c r="C42" s="141" t="s">
        <v>791</v>
      </c>
      <c r="D42" s="141" t="s">
        <v>991</v>
      </c>
      <c r="E42" s="141" t="s">
        <v>992</v>
      </c>
      <c r="F42" s="141" t="s">
        <v>993</v>
      </c>
      <c r="G42" s="141" t="s">
        <v>795</v>
      </c>
      <c r="H42" s="141"/>
      <c r="I42" s="141"/>
      <c r="J42" s="141"/>
      <c r="K42" s="141"/>
      <c r="L42" s="142" t="s">
        <v>783</v>
      </c>
      <c r="M42" s="141" t="s">
        <v>987</v>
      </c>
      <c r="N42" s="141"/>
      <c r="O42" s="140" t="s">
        <v>994</v>
      </c>
    </row>
    <row r="43" spans="1:15">
      <c r="A43" s="141" t="s">
        <v>25</v>
      </c>
      <c r="B43" s="141" t="s">
        <v>983</v>
      </c>
      <c r="C43" s="141" t="s">
        <v>791</v>
      </c>
      <c r="D43" s="141" t="s">
        <v>995</v>
      </c>
      <c r="E43" s="141" t="s">
        <v>996</v>
      </c>
      <c r="F43" s="141" t="s">
        <v>986</v>
      </c>
      <c r="G43" s="141" t="s">
        <v>795</v>
      </c>
      <c r="H43" s="141"/>
      <c r="I43" s="141"/>
      <c r="J43" s="141"/>
      <c r="K43" s="141"/>
      <c r="L43" s="142" t="s">
        <v>783</v>
      </c>
      <c r="M43" s="141" t="s">
        <v>987</v>
      </c>
      <c r="N43" s="141"/>
    </row>
    <row r="44" spans="1:15">
      <c r="A44" s="141" t="s">
        <v>25</v>
      </c>
      <c r="B44" s="141" t="s">
        <v>983</v>
      </c>
      <c r="C44" s="141" t="s">
        <v>791</v>
      </c>
      <c r="D44" s="141" t="s">
        <v>997</v>
      </c>
      <c r="E44" s="141" t="s">
        <v>996</v>
      </c>
      <c r="F44" s="141" t="s">
        <v>986</v>
      </c>
      <c r="G44" s="141" t="s">
        <v>795</v>
      </c>
      <c r="H44" s="141"/>
      <c r="I44" s="141"/>
      <c r="J44" s="141"/>
      <c r="K44" s="141"/>
      <c r="L44" s="142" t="s">
        <v>783</v>
      </c>
      <c r="M44" s="141" t="s">
        <v>987</v>
      </c>
      <c r="N44" s="141"/>
      <c r="O44" s="140" t="s">
        <v>994</v>
      </c>
    </row>
    <row r="45" spans="1:15">
      <c r="A45" s="141" t="s">
        <v>25</v>
      </c>
      <c r="B45" s="141" t="s">
        <v>983</v>
      </c>
      <c r="C45" s="141" t="s">
        <v>791</v>
      </c>
      <c r="D45" s="141" t="s">
        <v>998</v>
      </c>
      <c r="E45" s="141" t="s">
        <v>996</v>
      </c>
      <c r="F45" s="141" t="s">
        <v>999</v>
      </c>
      <c r="G45" s="141" t="s">
        <v>795</v>
      </c>
      <c r="H45" s="141"/>
      <c r="I45" s="141"/>
      <c r="J45" s="141"/>
      <c r="K45" s="141"/>
      <c r="L45" s="142" t="s">
        <v>783</v>
      </c>
      <c r="M45" s="141" t="s">
        <v>987</v>
      </c>
      <c r="N45" s="141"/>
      <c r="O45" s="140" t="s">
        <v>994</v>
      </c>
    </row>
    <row r="46" spans="1:15">
      <c r="A46" s="141" t="s">
        <v>25</v>
      </c>
      <c r="B46" s="141" t="s">
        <v>983</v>
      </c>
      <c r="C46" s="141" t="s">
        <v>791</v>
      </c>
      <c r="D46" s="141" t="s">
        <v>1000</v>
      </c>
      <c r="E46" s="141" t="s">
        <v>996</v>
      </c>
      <c r="F46" s="141" t="s">
        <v>986</v>
      </c>
      <c r="G46" s="141" t="s">
        <v>795</v>
      </c>
      <c r="H46" s="141"/>
      <c r="I46" s="141"/>
      <c r="J46" s="141"/>
      <c r="K46" s="141"/>
      <c r="L46" s="142" t="s">
        <v>783</v>
      </c>
      <c r="M46" s="141" t="s">
        <v>987</v>
      </c>
      <c r="N46" s="141"/>
    </row>
    <row r="47" spans="1:15" ht="116">
      <c r="A47" s="141" t="s">
        <v>21</v>
      </c>
      <c r="B47" s="141" t="s">
        <v>1001</v>
      </c>
      <c r="C47" s="141" t="s">
        <v>791</v>
      </c>
      <c r="D47" s="141" t="s">
        <v>1002</v>
      </c>
      <c r="E47" s="141" t="s">
        <v>960</v>
      </c>
      <c r="F47" s="143" t="s">
        <v>791</v>
      </c>
      <c r="G47" s="141" t="s">
        <v>817</v>
      </c>
      <c r="H47" s="141" t="s">
        <v>961</v>
      </c>
      <c r="I47" s="141" t="s">
        <v>248</v>
      </c>
      <c r="J47" s="141" t="s">
        <v>1003</v>
      </c>
      <c r="K47" s="141" t="s">
        <v>797</v>
      </c>
      <c r="L47" s="142" t="s">
        <v>818</v>
      </c>
      <c r="M47" s="141" t="s">
        <v>1004</v>
      </c>
      <c r="N47" s="141" t="s">
        <v>1005</v>
      </c>
    </row>
    <row r="48" spans="1:15" ht="116">
      <c r="A48" s="141" t="s">
        <v>895</v>
      </c>
      <c r="B48" s="141" t="s">
        <v>1001</v>
      </c>
      <c r="C48" s="141" t="s">
        <v>791</v>
      </c>
      <c r="D48" s="141" t="s">
        <v>1006</v>
      </c>
      <c r="E48" s="141" t="s">
        <v>1007</v>
      </c>
      <c r="F48" s="141" t="s">
        <v>827</v>
      </c>
      <c r="G48" s="141" t="s">
        <v>795</v>
      </c>
      <c r="H48" s="141"/>
      <c r="I48" s="141"/>
      <c r="J48" s="141"/>
      <c r="K48" s="141"/>
      <c r="L48" s="142" t="s">
        <v>783</v>
      </c>
      <c r="M48" s="141" t="s">
        <v>1008</v>
      </c>
      <c r="N48" s="141" t="s">
        <v>1009</v>
      </c>
    </row>
    <row r="49" spans="1:15" ht="29">
      <c r="A49" s="141" t="s">
        <v>789</v>
      </c>
      <c r="B49" s="141" t="s">
        <v>1010</v>
      </c>
      <c r="C49" s="141" t="s">
        <v>802</v>
      </c>
      <c r="D49" s="141" t="s">
        <v>1011</v>
      </c>
      <c r="E49" s="141" t="s">
        <v>1012</v>
      </c>
      <c r="F49" s="141" t="s">
        <v>1013</v>
      </c>
      <c r="G49" s="141" t="s">
        <v>795</v>
      </c>
      <c r="H49" s="141"/>
      <c r="I49" s="141"/>
      <c r="J49" s="141"/>
      <c r="K49" s="141"/>
      <c r="L49" s="142" t="s">
        <v>783</v>
      </c>
      <c r="M49" s="141" t="s">
        <v>944</v>
      </c>
      <c r="N49" s="141" t="s">
        <v>945</v>
      </c>
    </row>
    <row r="50" spans="1:15">
      <c r="A50" s="141" t="s">
        <v>25</v>
      </c>
      <c r="B50" s="141" t="s">
        <v>1014</v>
      </c>
      <c r="C50" s="141" t="s">
        <v>791</v>
      </c>
      <c r="D50" s="141" t="s">
        <v>1015</v>
      </c>
      <c r="E50" s="141" t="s">
        <v>1016</v>
      </c>
      <c r="F50" s="141" t="s">
        <v>1017</v>
      </c>
      <c r="G50" s="141" t="s">
        <v>795</v>
      </c>
      <c r="H50" s="141"/>
      <c r="I50" s="141"/>
      <c r="J50" s="141"/>
      <c r="K50" s="141"/>
      <c r="L50" s="142" t="s">
        <v>783</v>
      </c>
      <c r="M50" s="141" t="s">
        <v>1018</v>
      </c>
      <c r="N50" s="141"/>
    </row>
    <row r="51" spans="1:15" ht="145">
      <c r="A51" s="141" t="s">
        <v>789</v>
      </c>
      <c r="B51" s="141" t="s">
        <v>1019</v>
      </c>
      <c r="C51" s="141" t="s">
        <v>791</v>
      </c>
      <c r="D51" s="141" t="s">
        <v>1020</v>
      </c>
      <c r="E51" s="141" t="s">
        <v>826</v>
      </c>
      <c r="F51" s="141" t="s">
        <v>1021</v>
      </c>
      <c r="G51" s="141" t="s">
        <v>795</v>
      </c>
      <c r="H51" s="141"/>
      <c r="I51" s="141"/>
      <c r="J51" s="141"/>
      <c r="K51" s="141"/>
      <c r="L51" s="142" t="s">
        <v>783</v>
      </c>
      <c r="M51" s="141" t="s">
        <v>1022</v>
      </c>
      <c r="N51" s="141" t="s">
        <v>1023</v>
      </c>
      <c r="O51" s="140" t="s">
        <v>842</v>
      </c>
    </row>
    <row r="52" spans="1:15" ht="29">
      <c r="A52" s="141" t="s">
        <v>789</v>
      </c>
      <c r="B52" s="141" t="s">
        <v>1024</v>
      </c>
      <c r="C52" s="141" t="s">
        <v>791</v>
      </c>
      <c r="D52" s="141" t="s">
        <v>1025</v>
      </c>
      <c r="E52" s="141" t="s">
        <v>1026</v>
      </c>
      <c r="F52" s="141" t="s">
        <v>827</v>
      </c>
      <c r="G52" s="141" t="s">
        <v>795</v>
      </c>
      <c r="H52" s="141"/>
      <c r="I52" s="141"/>
      <c r="J52" s="141"/>
      <c r="K52" s="141"/>
      <c r="L52" s="142" t="s">
        <v>783</v>
      </c>
      <c r="M52" s="141" t="s">
        <v>1027</v>
      </c>
      <c r="N52" s="141"/>
    </row>
    <row r="53" spans="1:15">
      <c r="A53" s="141" t="s">
        <v>25</v>
      </c>
      <c r="B53" s="141" t="s">
        <v>791</v>
      </c>
      <c r="C53" s="141" t="s">
        <v>791</v>
      </c>
      <c r="D53" s="141" t="s">
        <v>995</v>
      </c>
      <c r="E53" s="141" t="s">
        <v>1028</v>
      </c>
      <c r="F53" s="141" t="s">
        <v>1029</v>
      </c>
      <c r="G53" s="141" t="s">
        <v>795</v>
      </c>
      <c r="H53" s="141"/>
      <c r="I53" s="141"/>
      <c r="J53" s="141"/>
      <c r="K53" s="141"/>
      <c r="L53" s="142" t="s">
        <v>783</v>
      </c>
      <c r="M53" s="141" t="s">
        <v>987</v>
      </c>
      <c r="N53" s="141" t="s">
        <v>1030</v>
      </c>
    </row>
    <row r="54" spans="1:15">
      <c r="A54" s="141" t="s">
        <v>25</v>
      </c>
      <c r="B54" s="141" t="s">
        <v>791</v>
      </c>
      <c r="C54" s="141" t="s">
        <v>791</v>
      </c>
      <c r="D54" s="141" t="s">
        <v>1031</v>
      </c>
      <c r="E54" s="141" t="s">
        <v>1032</v>
      </c>
      <c r="F54" s="141" t="s">
        <v>1033</v>
      </c>
      <c r="G54" s="141" t="s">
        <v>795</v>
      </c>
      <c r="H54" s="141"/>
      <c r="I54" s="141"/>
      <c r="J54" s="141"/>
      <c r="K54" s="141"/>
      <c r="L54" s="142" t="s">
        <v>783</v>
      </c>
      <c r="M54" s="141" t="s">
        <v>987</v>
      </c>
      <c r="N54" s="141" t="s">
        <v>1034</v>
      </c>
    </row>
    <row r="55" spans="1:15" ht="58">
      <c r="A55" s="141" t="s">
        <v>25</v>
      </c>
      <c r="B55" s="141" t="s">
        <v>1035</v>
      </c>
      <c r="C55" s="141" t="s">
        <v>791</v>
      </c>
      <c r="D55" s="141" t="s">
        <v>1036</v>
      </c>
      <c r="E55" s="141" t="s">
        <v>1037</v>
      </c>
      <c r="F55" s="141" t="s">
        <v>1038</v>
      </c>
      <c r="G55" s="141" t="s">
        <v>795</v>
      </c>
      <c r="H55" s="141"/>
      <c r="I55" s="141"/>
      <c r="J55" s="141"/>
      <c r="K55" s="141"/>
      <c r="L55" s="142" t="s">
        <v>783</v>
      </c>
      <c r="M55" s="141" t="s">
        <v>1039</v>
      </c>
      <c r="N55" s="141" t="s">
        <v>1040</v>
      </c>
    </row>
    <row r="56" spans="1:15">
      <c r="A56" s="141"/>
      <c r="B56" s="141"/>
      <c r="C56" s="141"/>
      <c r="D56" s="141"/>
      <c r="E56" s="141"/>
      <c r="F56" s="141"/>
      <c r="G56" s="141"/>
      <c r="H56" s="141"/>
      <c r="I56" s="141"/>
      <c r="J56" s="141"/>
      <c r="K56" s="141"/>
      <c r="L56" s="144"/>
      <c r="M56" s="141"/>
      <c r="N56" s="145"/>
    </row>
    <row r="57" spans="1:15">
      <c r="A57" s="141"/>
      <c r="B57" s="141"/>
      <c r="C57" s="141"/>
      <c r="D57" s="141"/>
      <c r="E57" s="141"/>
      <c r="F57" s="141"/>
      <c r="G57" s="141"/>
      <c r="H57" s="141"/>
      <c r="I57" s="141"/>
      <c r="J57" s="141"/>
      <c r="K57" s="141"/>
      <c r="L57" s="144"/>
      <c r="M57" s="141"/>
      <c r="N57" s="141"/>
    </row>
    <row r="58" spans="1:15">
      <c r="A58" s="141"/>
      <c r="B58" s="141"/>
      <c r="C58" s="141"/>
      <c r="D58" s="141"/>
      <c r="E58" s="141"/>
      <c r="F58" s="141"/>
      <c r="G58" s="141"/>
      <c r="H58" s="141"/>
      <c r="I58" s="141"/>
      <c r="J58" s="141"/>
      <c r="K58" s="141"/>
      <c r="L58" s="144"/>
      <c r="M58" s="141"/>
      <c r="N58" s="141"/>
    </row>
    <row r="59" spans="1:15">
      <c r="A59" s="141"/>
      <c r="B59" s="141"/>
      <c r="C59" s="141"/>
      <c r="D59" s="141"/>
      <c r="E59" s="141"/>
      <c r="F59" s="141"/>
      <c r="G59" s="141"/>
      <c r="H59" s="141"/>
      <c r="I59" s="141"/>
      <c r="J59" s="141"/>
      <c r="K59" s="141"/>
      <c r="L59" s="144"/>
      <c r="M59" s="141"/>
      <c r="N59" s="141"/>
    </row>
    <row r="60" spans="1:15">
      <c r="A60" s="141"/>
      <c r="B60" s="141"/>
      <c r="C60" s="141"/>
      <c r="D60" s="141"/>
      <c r="E60" s="141"/>
      <c r="F60" s="141"/>
      <c r="G60" s="141"/>
      <c r="H60" s="141"/>
      <c r="I60" s="141"/>
      <c r="J60" s="141"/>
      <c r="K60" s="141"/>
      <c r="L60" s="144"/>
      <c r="M60" s="141"/>
      <c r="N60" s="141"/>
    </row>
  </sheetData>
  <sheetProtection sheet="1" objects="1" scenarios="1" formatCells="0" formatColumns="0" formatRows="0" sort="0" autoFilter="0"/>
  <dataValidations count="3">
    <dataValidation type="list" allowBlank="1" showInputMessage="1" showErrorMessage="1" sqref="K2:K60" xr:uid="{5F9827DD-7A17-4A4F-9B7C-9B99D1127D46}">
      <formula1>"Indoor, Outdoor, Indoor/Outdoor, Unclear"</formula1>
    </dataValidation>
    <dataValidation type="list" allowBlank="1" showInputMessage="1" showErrorMessage="1" sqref="H2:H60" xr:uid="{31413792-43A2-43AA-A18F-509917658B83}">
      <formula1>"Paste (caulk gun), Paste (putty knife or hand application), Liquid (rolled or brushed on), Liquid (sprayed on), Liquid (added to water), Liquid (poured), Solid, Other"</formula1>
    </dataValidation>
    <dataValidation type="list" allowBlank="1" showInputMessage="1" showErrorMessage="1" sqref="G2:G60" xr:uid="{02E6C2D2-3AEC-4390-8AC4-22ACE297E165}">
      <formula1>"Yes, No, Unclear"</formula1>
    </dataValidation>
  </dataValidations>
  <hyperlinks>
    <hyperlink ref="L2" r:id="rId1" xr:uid="{B3B8C44E-DC82-4D15-8CDA-DE47D84AD949}"/>
    <hyperlink ref="L3" r:id="rId2" xr:uid="{9A06E01A-7737-48C3-9D69-73675CF9409A}"/>
    <hyperlink ref="L4" r:id="rId3" xr:uid="{51DB67B4-0AEE-4A9E-B55C-F709B5D6C3FC}"/>
    <hyperlink ref="L6" r:id="rId4" location="tab-product_docs" xr:uid="{41415556-17E7-440C-8475-7FD67F64D2CC}"/>
    <hyperlink ref="L7" r:id="rId5" xr:uid="{F3AE9561-32DA-47D5-9108-BF443076B914}"/>
    <hyperlink ref="L8" r:id="rId6" xr:uid="{10677798-7764-4933-AA1B-5CFC16A3A42C}"/>
    <hyperlink ref="L9" r:id="rId7" xr:uid="{1E2D13BA-7A67-455B-BE54-1B7E7FB3C7B9}"/>
    <hyperlink ref="L10" r:id="rId8" xr:uid="{71DA7E85-3814-4DF9-8963-D4BF8AE76861}"/>
    <hyperlink ref="L11" r:id="rId9" xr:uid="{EEFBF247-531E-4054-B1C3-89D995DCEF89}"/>
    <hyperlink ref="L12" r:id="rId10" xr:uid="{EAA49EBA-DA2F-4860-8892-F2769F49606B}"/>
    <hyperlink ref="L13" r:id="rId11" xr:uid="{A9A4868E-E219-4BA0-97B7-2CA0A0DD6E3C}"/>
    <hyperlink ref="L14" r:id="rId12" xr:uid="{0F45FEEC-9621-48CD-A3D5-7DA63373707E}"/>
    <hyperlink ref="L15" r:id="rId13" xr:uid="{5F4398C2-EE3B-4979-A81B-CF7E007EE81D}"/>
    <hyperlink ref="L16" r:id="rId14" xr:uid="{C7A4CEA9-62DD-43A6-8058-371A69AB4B85}"/>
    <hyperlink ref="L17" r:id="rId15" xr:uid="{0990EAB0-0507-4A8A-AE07-8E360BBA4D0D}"/>
    <hyperlink ref="L18" r:id="rId16" xr:uid="{6F5BFC01-5415-4631-B4DB-72750036AD57}"/>
    <hyperlink ref="L19" r:id="rId17" xr:uid="{ECDD10F8-9A9C-4FC0-B16B-2896FB6F6E77}"/>
    <hyperlink ref="L20" r:id="rId18" xr:uid="{0193E233-011A-4E79-81C0-EFC7C60BB46D}"/>
    <hyperlink ref="L21" r:id="rId19" xr:uid="{120A940F-24BD-4187-AA92-FE77C6876755}"/>
    <hyperlink ref="L22" r:id="rId20" xr:uid="{A20003EE-1474-4F99-94FF-23877B1ACB49}"/>
    <hyperlink ref="L23" r:id="rId21" xr:uid="{FCC7970C-2241-49B3-B243-1D0593BCB083}"/>
    <hyperlink ref="L24" r:id="rId22" xr:uid="{22DE6C3B-0ED9-4BDE-9777-624A3BAAF06C}"/>
    <hyperlink ref="L25" r:id="rId23" xr:uid="{CD472563-9D74-42C2-92D4-975634625C7E}"/>
    <hyperlink ref="L26" r:id="rId24" xr:uid="{E5EAB49F-067E-4F16-9EA6-B85BE0C057AA}"/>
    <hyperlink ref="L27" r:id="rId25" xr:uid="{340628B1-3FCF-4710-AE81-66AB71AA30B7}"/>
    <hyperlink ref="L28" r:id="rId26" xr:uid="{FD6B351B-A0B4-42C6-BC62-215203094CA3}"/>
    <hyperlink ref="L29" r:id="rId27" xr:uid="{18BCBBB6-197A-4D86-8CA7-0DFA9F1688C0}"/>
    <hyperlink ref="L30" r:id="rId28" xr:uid="{93EC6184-3804-4327-8EF6-89D553809A44}"/>
    <hyperlink ref="L31" r:id="rId29" xr:uid="{1F6CD3B0-BBBA-4CC0-AB06-0EE8B8617629}"/>
    <hyperlink ref="L32" r:id="rId30" xr:uid="{3A611E71-00D0-46DB-BA14-A9625D1DDB6B}"/>
    <hyperlink ref="L33" r:id="rId31" xr:uid="{2962C8B8-B11D-4F13-8072-9AF54F8E792A}"/>
    <hyperlink ref="L34:L36" r:id="rId32" display="Manufacturer" xr:uid="{FDBF35AD-003B-4EE1-ADB8-DB9188DDDDE8}"/>
    <hyperlink ref="L37" r:id="rId33" xr:uid="{5374DD26-C581-423C-9592-7F218C288BD2}"/>
    <hyperlink ref="L38" r:id="rId34" xr:uid="{A8A40E3E-D1AB-4286-9CC2-78DF56C84966}"/>
    <hyperlink ref="L39" r:id="rId35" xr:uid="{AC809BCE-FC78-4DD8-8310-59684F0D9AB7}"/>
    <hyperlink ref="L40" r:id="rId36" xr:uid="{14E6AA5F-F313-42F2-ADB2-EF10D45CB991}"/>
    <hyperlink ref="L41" r:id="rId37" xr:uid="{B31B79CF-3321-41C8-B543-FDC58B1A2641}"/>
    <hyperlink ref="L42" r:id="rId38" xr:uid="{9CFBA29E-F913-4A15-A9C2-95CFBA124F15}"/>
    <hyperlink ref="L43" r:id="rId39" xr:uid="{1DA47DC0-EA01-4EEE-84B9-F02B51138A20}"/>
    <hyperlink ref="L44" r:id="rId40" xr:uid="{24A379B7-1FBA-4373-9148-BF5739BBBA64}"/>
    <hyperlink ref="L45" r:id="rId41" xr:uid="{D82B73ED-E20B-45F5-88B7-F73BDA2CDA0E}"/>
    <hyperlink ref="L46" r:id="rId42" xr:uid="{1BF95BF0-AFB0-4148-891C-469CC0128D78}"/>
    <hyperlink ref="L47" r:id="rId43" xr:uid="{211592C9-7ADF-4BF9-BFEB-0430A06C4914}"/>
    <hyperlink ref="L48" r:id="rId44" xr:uid="{E34B653D-D179-4395-A58E-7A9F993597C6}"/>
    <hyperlink ref="L50" r:id="rId45" xr:uid="{93D4BBF2-DEBC-4574-AB25-30250B32881F}"/>
    <hyperlink ref="L49" r:id="rId46" xr:uid="{27CE5091-6100-4726-9CFF-A7686B2BE9B6}"/>
    <hyperlink ref="L51" r:id="rId47" xr:uid="{98EB2981-352D-4615-A76C-13E836A53503}"/>
    <hyperlink ref="L52" r:id="rId48" xr:uid="{68CAB1E4-75FC-45CD-A6AC-95A8AC0D85A1}"/>
    <hyperlink ref="L53" r:id="rId49" xr:uid="{00D55308-110E-4450-A3FC-103273D626B9}"/>
    <hyperlink ref="L54" r:id="rId50" xr:uid="{49990FBE-E0D4-4FD3-93B0-563219A334FD}"/>
    <hyperlink ref="L55" r:id="rId51" xr:uid="{8EE20668-2D50-44CF-9FB9-5482028C59E7}"/>
    <hyperlink ref="L5" r:id="rId52" xr:uid="{27827609-72B1-420A-9119-CEA164136C52}"/>
  </hyperlinks>
  <pageMargins left="0.7" right="0.7" top="0.75" bottom="0.75" header="0.3" footer="0.3"/>
  <pageSetup orientation="portrait" r:id="rId5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59E72-9235-4253-97EC-2DDBA1DED21F}">
  <sheetPr codeName="Sheet5">
    <tabColor theme="6" tint="0.39997558519241921"/>
  </sheetPr>
  <dimension ref="A1:R107"/>
  <sheetViews>
    <sheetView workbookViewId="0"/>
  </sheetViews>
  <sheetFormatPr defaultColWidth="9.1796875" defaultRowHeight="14.5"/>
  <cols>
    <col min="1" max="1" width="35.54296875" style="86" bestFit="1" customWidth="1"/>
    <col min="2" max="2" width="7.26953125" style="86" bestFit="1" customWidth="1"/>
    <col min="3" max="3" width="11.1796875" style="86" bestFit="1" customWidth="1"/>
    <col min="4" max="4" width="36.1796875" style="12" customWidth="1"/>
    <col min="5" max="5" width="14" style="86" customWidth="1"/>
    <col min="6" max="6" width="8.54296875" style="86" customWidth="1"/>
    <col min="7" max="7" width="12.1796875" style="86" bestFit="1" customWidth="1"/>
    <col min="8" max="8" width="9" style="86" bestFit="1" customWidth="1"/>
    <col min="9" max="9" width="35.453125" style="86" customWidth="1"/>
    <col min="10" max="10" width="29" style="86" customWidth="1"/>
    <col min="11" max="11" width="34.26953125" style="86" customWidth="1"/>
    <col min="12" max="12" width="35" style="86" bestFit="1" customWidth="1"/>
    <col min="13" max="13" width="10.26953125" style="86" bestFit="1" customWidth="1"/>
    <col min="14" max="14" width="12.453125" style="86" bestFit="1" customWidth="1"/>
    <col min="15" max="16" width="10.26953125" style="86" bestFit="1" customWidth="1"/>
    <col min="17" max="17" width="15.54296875" style="86" customWidth="1"/>
    <col min="18" max="16384" width="9.1796875" style="86"/>
  </cols>
  <sheetData>
    <row r="1" spans="1:18" s="147" customFormat="1" ht="21">
      <c r="A1" s="146" t="s">
        <v>1048</v>
      </c>
      <c r="D1" s="148"/>
      <c r="J1" s="146" t="s">
        <v>1049</v>
      </c>
    </row>
    <row r="2" spans="1:18" ht="29">
      <c r="A2" s="149" t="s">
        <v>1050</v>
      </c>
      <c r="B2" s="149" t="s">
        <v>185</v>
      </c>
      <c r="C2" s="149" t="s">
        <v>1051</v>
      </c>
      <c r="D2" s="150" t="s">
        <v>1052</v>
      </c>
      <c r="E2" s="149" t="s">
        <v>1053</v>
      </c>
      <c r="F2" s="151" t="s">
        <v>319</v>
      </c>
      <c r="G2" s="151" t="s">
        <v>1054</v>
      </c>
      <c r="H2" s="151" t="s">
        <v>1055</v>
      </c>
      <c r="I2" s="152"/>
      <c r="J2" s="151" t="s">
        <v>1056</v>
      </c>
      <c r="K2" s="149" t="s">
        <v>1057</v>
      </c>
      <c r="L2" s="149" t="s">
        <v>1058</v>
      </c>
      <c r="M2" s="153" t="s">
        <v>1059</v>
      </c>
      <c r="N2" s="153" t="s">
        <v>1060</v>
      </c>
      <c r="O2" s="153" t="s">
        <v>1061</v>
      </c>
      <c r="P2" s="153" t="s">
        <v>1062</v>
      </c>
      <c r="Q2" s="153" t="s">
        <v>1063</v>
      </c>
    </row>
    <row r="3" spans="1:18">
      <c r="A3" s="154" t="s">
        <v>1064</v>
      </c>
      <c r="B3" s="154"/>
      <c r="C3" s="154"/>
      <c r="D3" s="154"/>
      <c r="E3" s="154"/>
      <c r="F3" s="154"/>
      <c r="G3" s="154"/>
      <c r="H3" s="154"/>
    </row>
    <row r="4" spans="1:18">
      <c r="A4" s="155" t="s">
        <v>1065</v>
      </c>
      <c r="B4" s="86" t="s">
        <v>1066</v>
      </c>
      <c r="C4" s="86" t="s">
        <v>1067</v>
      </c>
      <c r="D4" s="12" t="s">
        <v>1068</v>
      </c>
      <c r="E4" s="86">
        <v>360</v>
      </c>
      <c r="F4" s="86" t="s">
        <v>442</v>
      </c>
      <c r="G4" s="86">
        <f t="shared" ref="G4:G8" si="0">E4/1000000</f>
        <v>3.6000000000000002E-4</v>
      </c>
      <c r="H4" s="86" t="s">
        <v>1069</v>
      </c>
      <c r="R4" s="156"/>
    </row>
    <row r="5" spans="1:18">
      <c r="A5" s="155" t="s">
        <v>1065</v>
      </c>
      <c r="B5" s="86" t="s">
        <v>1066</v>
      </c>
      <c r="C5" s="86" t="s">
        <v>1067</v>
      </c>
      <c r="D5" s="12" t="s">
        <v>1068</v>
      </c>
      <c r="E5" s="86">
        <v>450</v>
      </c>
      <c r="F5" s="86" t="s">
        <v>442</v>
      </c>
      <c r="G5" s="86">
        <f t="shared" si="0"/>
        <v>4.4999999999999999E-4</v>
      </c>
      <c r="H5" s="86" t="s">
        <v>1069</v>
      </c>
      <c r="J5" s="157" t="s">
        <v>290</v>
      </c>
      <c r="K5" s="158">
        <v>1597738</v>
      </c>
      <c r="L5" s="158" t="s">
        <v>291</v>
      </c>
      <c r="M5" s="158">
        <f>MIN(E14:E17)</f>
        <v>0.4</v>
      </c>
      <c r="N5" s="158">
        <f>AVERAGE(G14:G17)</f>
        <v>1.145E-6</v>
      </c>
      <c r="O5" s="158">
        <f>MAX(E14:E17)</f>
        <v>2.4500000000000002</v>
      </c>
      <c r="P5" s="158">
        <v>4</v>
      </c>
      <c r="Q5" s="158" t="s">
        <v>1070</v>
      </c>
    </row>
    <row r="6" spans="1:18">
      <c r="A6" s="155" t="s">
        <v>1065</v>
      </c>
      <c r="B6" s="86" t="s">
        <v>1066</v>
      </c>
      <c r="C6" s="86" t="s">
        <v>1067</v>
      </c>
      <c r="D6" s="12" t="s">
        <v>1071</v>
      </c>
      <c r="E6" s="86">
        <v>30</v>
      </c>
      <c r="F6" s="86" t="s">
        <v>442</v>
      </c>
      <c r="G6" s="86">
        <f t="shared" si="0"/>
        <v>3.0000000000000001E-5</v>
      </c>
      <c r="H6" s="86" t="s">
        <v>1069</v>
      </c>
      <c r="J6" s="157" t="s">
        <v>1001</v>
      </c>
      <c r="K6" s="158" t="s">
        <v>1072</v>
      </c>
      <c r="L6" s="158" t="s">
        <v>1001</v>
      </c>
      <c r="M6" s="158">
        <f>G19</f>
        <v>4.8500000000000003E-4</v>
      </c>
      <c r="N6" s="158">
        <f>G20</f>
        <v>2.6670000000000001E-3</v>
      </c>
      <c r="O6" s="158">
        <f>G21</f>
        <v>4.8479999999999999E-3</v>
      </c>
      <c r="P6" s="158">
        <v>3</v>
      </c>
      <c r="Q6" s="158" t="s">
        <v>1073</v>
      </c>
    </row>
    <row r="7" spans="1:18">
      <c r="A7" s="155" t="s">
        <v>1074</v>
      </c>
      <c r="B7" s="86" t="s">
        <v>1066</v>
      </c>
      <c r="C7" s="86" t="s">
        <v>1075</v>
      </c>
      <c r="D7" s="12" t="s">
        <v>1076</v>
      </c>
      <c r="E7" s="86">
        <v>0.1</v>
      </c>
      <c r="F7" s="86" t="s">
        <v>442</v>
      </c>
      <c r="G7" s="86">
        <f t="shared" si="0"/>
        <v>1.0000000000000001E-7</v>
      </c>
      <c r="H7" s="86" t="s">
        <v>722</v>
      </c>
      <c r="I7" s="86" t="s">
        <v>1162</v>
      </c>
      <c r="J7" s="159" t="s">
        <v>15</v>
      </c>
      <c r="K7" s="160" t="s">
        <v>253</v>
      </c>
      <c r="L7" s="161" t="s">
        <v>1077</v>
      </c>
      <c r="M7" s="161">
        <f>MIN(G23:G28)</f>
        <v>5.5999999999999999E-5</v>
      </c>
      <c r="N7" s="161">
        <f>AVERAGE(G23:G28)</f>
        <v>2.5669833333333333E-2</v>
      </c>
      <c r="O7" s="161">
        <f>MAX(G23:G28)</f>
        <v>7.3649999999999993E-2</v>
      </c>
      <c r="P7" s="161">
        <v>6</v>
      </c>
      <c r="Q7" s="158" t="s">
        <v>1078</v>
      </c>
      <c r="R7" s="156"/>
    </row>
    <row r="8" spans="1:18">
      <c r="A8" s="155" t="s">
        <v>1074</v>
      </c>
      <c r="B8" s="86" t="s">
        <v>1066</v>
      </c>
      <c r="C8" s="86" t="s">
        <v>1075</v>
      </c>
      <c r="D8" s="12" t="s">
        <v>1076</v>
      </c>
      <c r="E8" s="86">
        <v>21</v>
      </c>
      <c r="F8" s="86" t="s">
        <v>442</v>
      </c>
      <c r="G8" s="86">
        <f t="shared" si="0"/>
        <v>2.0999999999999999E-5</v>
      </c>
      <c r="H8" s="86" t="s">
        <v>724</v>
      </c>
      <c r="I8" s="86" t="s">
        <v>1162</v>
      </c>
      <c r="J8" s="162"/>
      <c r="K8" s="160" t="s">
        <v>255</v>
      </c>
      <c r="L8" s="158" t="s">
        <v>256</v>
      </c>
      <c r="M8" s="158">
        <f>MIN(G29:G31)</f>
        <v>1.56E-4</v>
      </c>
      <c r="N8" s="158">
        <f>AVERAGE(G29:G31)</f>
        <v>1.9866666666666665E-4</v>
      </c>
      <c r="O8" s="158">
        <f>MAX(G29:G31)</f>
        <v>2.3000000000000001E-4</v>
      </c>
      <c r="P8" s="158">
        <v>3</v>
      </c>
      <c r="Q8" s="158" t="s">
        <v>1079</v>
      </c>
    </row>
    <row r="9" spans="1:18">
      <c r="A9" s="154" t="s">
        <v>290</v>
      </c>
      <c r="B9" s="154"/>
      <c r="C9" s="154"/>
      <c r="D9" s="154"/>
      <c r="E9" s="154"/>
      <c r="F9" s="154"/>
      <c r="G9" s="154"/>
      <c r="H9" s="154"/>
      <c r="I9" s="86" t="s">
        <v>1080</v>
      </c>
      <c r="J9" s="159" t="s">
        <v>1081</v>
      </c>
      <c r="K9" s="158">
        <v>1062241</v>
      </c>
      <c r="L9" s="158" t="s">
        <v>1082</v>
      </c>
      <c r="M9" s="158">
        <f>MIN(G50:G62)</f>
        <v>7.9999999999999996E-6</v>
      </c>
      <c r="N9" s="158">
        <f>AVERAGE(G50:G62)</f>
        <v>1.4247692307692308E-3</v>
      </c>
      <c r="O9" s="158">
        <f>MAX(G50:G62)</f>
        <v>1.6250000000000001E-2</v>
      </c>
      <c r="P9" s="158">
        <f>COUNT(G50:G62)</f>
        <v>13</v>
      </c>
      <c r="Q9" s="158" t="s">
        <v>1083</v>
      </c>
      <c r="R9" s="156"/>
    </row>
    <row r="10" spans="1:18" ht="15">
      <c r="A10" s="86">
        <v>1597738</v>
      </c>
      <c r="B10" s="86" t="s">
        <v>1084</v>
      </c>
      <c r="C10" s="86" t="s">
        <v>1070</v>
      </c>
      <c r="D10" s="12" t="s">
        <v>1085</v>
      </c>
      <c r="E10" s="86">
        <v>58.4</v>
      </c>
      <c r="F10" s="86" t="s">
        <v>1086</v>
      </c>
      <c r="G10" s="86">
        <f>E10/1000000</f>
        <v>5.8399999999999997E-5</v>
      </c>
      <c r="H10" s="86" t="s">
        <v>34</v>
      </c>
      <c r="J10" s="163"/>
      <c r="K10" s="158">
        <v>1062241</v>
      </c>
      <c r="L10" s="158" t="s">
        <v>1087</v>
      </c>
      <c r="M10" s="158">
        <f>MIN(G63:G65)</f>
        <v>8.9000000000000012E-6</v>
      </c>
      <c r="N10" s="158">
        <f>AVERAGE(G63:G65)</f>
        <v>2.486666666666667E-5</v>
      </c>
      <c r="O10" s="158">
        <f>MAX(G63:G65)</f>
        <v>5.6200000000000004E-5</v>
      </c>
      <c r="P10" s="158">
        <f>COUNT(G63:G65)</f>
        <v>3</v>
      </c>
      <c r="Q10" s="158" t="s">
        <v>1083</v>
      </c>
      <c r="R10" s="164" t="s">
        <v>1163</v>
      </c>
    </row>
    <row r="11" spans="1:18">
      <c r="A11" s="86">
        <v>1597738</v>
      </c>
      <c r="B11" s="86" t="s">
        <v>1084</v>
      </c>
      <c r="C11" s="86" t="s">
        <v>1070</v>
      </c>
      <c r="D11" s="12" t="s">
        <v>1085</v>
      </c>
      <c r="E11" s="86">
        <v>35.299999999999997</v>
      </c>
      <c r="F11" s="86" t="s">
        <v>1086</v>
      </c>
      <c r="G11" s="86">
        <f t="shared" ref="G11:G17" si="1">E11/1000000</f>
        <v>3.5299999999999997E-5</v>
      </c>
      <c r="H11" s="86" t="s">
        <v>1088</v>
      </c>
      <c r="J11" s="162"/>
      <c r="K11" s="158">
        <v>1325358</v>
      </c>
      <c r="L11" s="158" t="s">
        <v>1089</v>
      </c>
      <c r="M11" s="158">
        <f>G49</f>
        <v>1E-4</v>
      </c>
      <c r="N11" s="158">
        <f>M11</f>
        <v>1E-4</v>
      </c>
      <c r="O11" s="158">
        <f>M11</f>
        <v>1E-4</v>
      </c>
      <c r="P11" s="158">
        <v>1</v>
      </c>
      <c r="Q11" s="158" t="s">
        <v>1090</v>
      </c>
      <c r="R11" s="165" t="s">
        <v>1164</v>
      </c>
    </row>
    <row r="12" spans="1:18">
      <c r="A12" s="86">
        <v>1597738</v>
      </c>
      <c r="B12" s="86" t="s">
        <v>1084</v>
      </c>
      <c r="C12" s="86" t="s">
        <v>1070</v>
      </c>
      <c r="D12" s="12" t="s">
        <v>1085</v>
      </c>
      <c r="E12" s="86">
        <v>7.48</v>
      </c>
      <c r="F12" s="86" t="s">
        <v>1086</v>
      </c>
      <c r="G12" s="86">
        <f t="shared" si="1"/>
        <v>7.4800000000000004E-6</v>
      </c>
      <c r="H12" s="86" t="s">
        <v>194</v>
      </c>
      <c r="J12" s="158" t="s">
        <v>1091</v>
      </c>
      <c r="K12" s="158" t="s">
        <v>1092</v>
      </c>
      <c r="L12" s="158" t="s">
        <v>1093</v>
      </c>
      <c r="M12" s="158">
        <f>G105</f>
        <v>2.0000000000000002E-7</v>
      </c>
      <c r="N12" s="166">
        <f>AVERAGE(G105:G107)</f>
        <v>1.1000000000000001E-6</v>
      </c>
      <c r="O12" s="158">
        <f>G107</f>
        <v>1.6000000000000001E-6</v>
      </c>
      <c r="P12" s="158">
        <v>3</v>
      </c>
      <c r="Q12" s="158" t="s">
        <v>1090</v>
      </c>
    </row>
    <row r="13" spans="1:18">
      <c r="A13" s="86">
        <v>1597738</v>
      </c>
      <c r="B13" s="86" t="s">
        <v>1084</v>
      </c>
      <c r="C13" s="86" t="s">
        <v>1070</v>
      </c>
      <c r="D13" s="12" t="s">
        <v>1085</v>
      </c>
      <c r="E13" s="86">
        <v>221</v>
      </c>
      <c r="F13" s="86" t="s">
        <v>1086</v>
      </c>
      <c r="G13" s="86">
        <f t="shared" si="1"/>
        <v>2.2100000000000001E-4</v>
      </c>
      <c r="H13" s="86" t="s">
        <v>196</v>
      </c>
      <c r="J13" s="159" t="s">
        <v>1094</v>
      </c>
      <c r="K13" s="158">
        <v>11374030</v>
      </c>
      <c r="L13" s="158" t="s">
        <v>1095</v>
      </c>
      <c r="M13" s="158">
        <f>G67</f>
        <v>3.0000000000000001E-5</v>
      </c>
      <c r="N13" s="158">
        <f>M13</f>
        <v>3.0000000000000001E-5</v>
      </c>
      <c r="O13" s="158">
        <f>M13</f>
        <v>3.0000000000000001E-5</v>
      </c>
      <c r="P13" s="158">
        <v>1</v>
      </c>
      <c r="Q13" s="158" t="s">
        <v>1083</v>
      </c>
    </row>
    <row r="14" spans="1:18">
      <c r="A14" s="86">
        <v>1597738</v>
      </c>
      <c r="B14" s="86" t="s">
        <v>1084</v>
      </c>
      <c r="C14" s="86" t="s">
        <v>1070</v>
      </c>
      <c r="D14" s="12" t="s">
        <v>291</v>
      </c>
      <c r="E14" s="86">
        <v>0.97</v>
      </c>
      <c r="F14" s="86" t="s">
        <v>1086</v>
      </c>
      <c r="G14" s="86">
        <f t="shared" si="1"/>
        <v>9.7000000000000003E-7</v>
      </c>
      <c r="H14" s="86" t="s">
        <v>34</v>
      </c>
      <c r="J14" s="163"/>
      <c r="K14" s="158">
        <v>11374030</v>
      </c>
      <c r="L14" s="158" t="s">
        <v>1096</v>
      </c>
      <c r="M14" s="158">
        <f>MIN(G68:G69)</f>
        <v>5.0000000000000004E-6</v>
      </c>
      <c r="N14" s="161">
        <f>AVERAGE(M14,O14)</f>
        <v>2.7500000000000001E-5</v>
      </c>
      <c r="O14" s="158">
        <f>MAX(G68:G69)</f>
        <v>5.0000000000000002E-5</v>
      </c>
      <c r="P14" s="158">
        <v>2</v>
      </c>
      <c r="Q14" s="158" t="s">
        <v>1083</v>
      </c>
    </row>
    <row r="15" spans="1:18">
      <c r="A15" s="86">
        <v>1597738</v>
      </c>
      <c r="B15" s="86" t="s">
        <v>1084</v>
      </c>
      <c r="C15" s="86" t="s">
        <v>1070</v>
      </c>
      <c r="D15" s="12" t="s">
        <v>291</v>
      </c>
      <c r="E15" s="86">
        <v>0.76</v>
      </c>
      <c r="F15" s="86" t="s">
        <v>1086</v>
      </c>
      <c r="G15" s="86">
        <f t="shared" si="1"/>
        <v>7.6000000000000003E-7</v>
      </c>
      <c r="H15" s="86" t="s">
        <v>1088</v>
      </c>
      <c r="J15" s="163"/>
      <c r="K15" s="158">
        <v>11374030</v>
      </c>
      <c r="L15" s="158" t="s">
        <v>1097</v>
      </c>
      <c r="M15" s="158">
        <f>MIN(G70:G71)</f>
        <v>9.0000000000000006E-5</v>
      </c>
      <c r="N15" s="161">
        <f>AVERAGE(M15,O15)</f>
        <v>2.1500000000000002E-4</v>
      </c>
      <c r="O15" s="158">
        <f>MAX(G70:G71)</f>
        <v>3.4000000000000002E-4</v>
      </c>
      <c r="P15" s="158">
        <v>2</v>
      </c>
      <c r="Q15" s="158" t="s">
        <v>1083</v>
      </c>
    </row>
    <row r="16" spans="1:18">
      <c r="A16" s="86">
        <v>1597738</v>
      </c>
      <c r="B16" s="86" t="s">
        <v>1084</v>
      </c>
      <c r="C16" s="86" t="s">
        <v>1070</v>
      </c>
      <c r="D16" s="12" t="s">
        <v>291</v>
      </c>
      <c r="E16" s="86">
        <v>0.4</v>
      </c>
      <c r="F16" s="86" t="s">
        <v>1086</v>
      </c>
      <c r="G16" s="86">
        <f t="shared" si="1"/>
        <v>4.0000000000000003E-7</v>
      </c>
      <c r="H16" s="86" t="s">
        <v>194</v>
      </c>
      <c r="J16" s="162"/>
      <c r="K16" s="158">
        <v>1062241</v>
      </c>
      <c r="L16" s="158" t="s">
        <v>1098</v>
      </c>
      <c r="M16" s="158">
        <f>MIN(G72:G79)</f>
        <v>9.0999999999999993E-6</v>
      </c>
      <c r="N16" s="161">
        <f>AVERAGE(G72:G79)</f>
        <v>0.16613938749999999</v>
      </c>
      <c r="O16" s="158">
        <f>MAX(G72:G79)</f>
        <v>0.44500000000000001</v>
      </c>
      <c r="P16" s="158">
        <f>COUNT(G72:G79)</f>
        <v>8</v>
      </c>
      <c r="Q16" s="158" t="s">
        <v>1083</v>
      </c>
    </row>
    <row r="17" spans="1:17">
      <c r="A17" s="86">
        <v>1597738</v>
      </c>
      <c r="B17" s="86" t="s">
        <v>1084</v>
      </c>
      <c r="C17" s="86" t="s">
        <v>1070</v>
      </c>
      <c r="D17" s="12" t="s">
        <v>291</v>
      </c>
      <c r="E17" s="86">
        <v>2.4500000000000002</v>
      </c>
      <c r="F17" s="86" t="s">
        <v>1086</v>
      </c>
      <c r="G17" s="86">
        <f t="shared" si="1"/>
        <v>2.4500000000000003E-6</v>
      </c>
      <c r="H17" s="86" t="s">
        <v>196</v>
      </c>
      <c r="J17" s="167" t="s">
        <v>260</v>
      </c>
      <c r="K17" s="168" t="s">
        <v>259</v>
      </c>
      <c r="L17" s="158" t="s">
        <v>1099</v>
      </c>
      <c r="M17" s="158">
        <f>MIN(G84:G87)</f>
        <v>1.0000000000000001E-5</v>
      </c>
      <c r="N17" s="158">
        <f>AVERAGE(G84:G87)</f>
        <v>4.5644999999999998E-2</v>
      </c>
      <c r="O17" s="158">
        <f>MAX(G84:G87)</f>
        <v>0.17799999999999999</v>
      </c>
      <c r="P17" s="158">
        <v>4</v>
      </c>
      <c r="Q17" s="158" t="s">
        <v>1083</v>
      </c>
    </row>
    <row r="18" spans="1:17">
      <c r="A18" s="154" t="s">
        <v>1001</v>
      </c>
      <c r="B18" s="154"/>
      <c r="C18" s="154"/>
      <c r="D18" s="154"/>
      <c r="E18" s="154"/>
      <c r="F18" s="154"/>
      <c r="G18" s="154"/>
      <c r="H18" s="154"/>
      <c r="J18" s="167"/>
      <c r="K18" s="86" t="s">
        <v>244</v>
      </c>
      <c r="L18" s="158" t="s">
        <v>1099</v>
      </c>
      <c r="M18" s="86">
        <v>1E-4</v>
      </c>
      <c r="N18" s="86">
        <v>1E-4</v>
      </c>
      <c r="O18" s="86">
        <v>1E-4</v>
      </c>
      <c r="P18" s="86">
        <v>4</v>
      </c>
      <c r="Q18" s="86" t="s">
        <v>1090</v>
      </c>
    </row>
    <row r="19" spans="1:17">
      <c r="A19" s="86" t="s">
        <v>1072</v>
      </c>
      <c r="B19" s="86" t="s">
        <v>1066</v>
      </c>
      <c r="C19" s="86" t="s">
        <v>1073</v>
      </c>
      <c r="D19" s="12" t="s">
        <v>1100</v>
      </c>
      <c r="E19" s="86">
        <v>485</v>
      </c>
      <c r="F19" s="86" t="s">
        <v>442</v>
      </c>
      <c r="G19" s="86">
        <f>E19/1000000</f>
        <v>4.8500000000000003E-4</v>
      </c>
      <c r="H19" s="86" t="s">
        <v>1101</v>
      </c>
      <c r="J19" s="169" t="s">
        <v>1102</v>
      </c>
      <c r="K19" s="168" t="s">
        <v>259</v>
      </c>
      <c r="L19" s="158" t="s">
        <v>1103</v>
      </c>
      <c r="M19" s="158">
        <f>MIN(G88:G89)</f>
        <v>1.8E-5</v>
      </c>
      <c r="N19" s="158">
        <f>AVERAGE(G88:G89)</f>
        <v>2.4000000000000001E-5</v>
      </c>
      <c r="O19" s="158">
        <f>MAX(G88:G89)</f>
        <v>3.0000000000000001E-5</v>
      </c>
      <c r="P19" s="158">
        <v>2</v>
      </c>
      <c r="Q19" s="158" t="s">
        <v>1083</v>
      </c>
    </row>
    <row r="20" spans="1:17">
      <c r="A20" s="86" t="s">
        <v>1072</v>
      </c>
      <c r="B20" s="86" t="s">
        <v>1066</v>
      </c>
      <c r="C20" s="86" t="s">
        <v>1073</v>
      </c>
      <c r="D20" s="12" t="s">
        <v>1100</v>
      </c>
      <c r="E20" s="86">
        <v>2667</v>
      </c>
      <c r="F20" s="86" t="s">
        <v>442</v>
      </c>
      <c r="G20" s="86">
        <f t="shared" ref="G20:G21" si="2">E20/1000000</f>
        <v>2.6670000000000001E-3</v>
      </c>
      <c r="H20" s="86" t="s">
        <v>34</v>
      </c>
      <c r="J20" s="169"/>
      <c r="K20" s="86" t="s">
        <v>244</v>
      </c>
      <c r="L20" s="86" t="s">
        <v>1104</v>
      </c>
      <c r="P20" s="86">
        <v>12</v>
      </c>
      <c r="Q20" s="86" t="s">
        <v>1090</v>
      </c>
    </row>
    <row r="21" spans="1:17">
      <c r="A21" s="86" t="s">
        <v>1072</v>
      </c>
      <c r="B21" s="86" t="s">
        <v>1066</v>
      </c>
      <c r="C21" s="86" t="s">
        <v>1073</v>
      </c>
      <c r="D21" s="12" t="s">
        <v>1100</v>
      </c>
      <c r="E21" s="86">
        <v>4848</v>
      </c>
      <c r="F21" s="86" t="s">
        <v>442</v>
      </c>
      <c r="G21" s="86">
        <f t="shared" si="2"/>
        <v>4.8479999999999999E-3</v>
      </c>
      <c r="H21" s="86" t="s">
        <v>196</v>
      </c>
      <c r="J21" s="159" t="s">
        <v>1105</v>
      </c>
      <c r="K21" s="160" t="s">
        <v>1106</v>
      </c>
      <c r="L21" s="158" t="s">
        <v>281</v>
      </c>
      <c r="M21" s="158">
        <f t="shared" ref="M21:M26" si="3">G91</f>
        <v>0.188968</v>
      </c>
      <c r="N21" s="158">
        <f>M21</f>
        <v>0.188968</v>
      </c>
      <c r="O21" s="158">
        <f>M21</f>
        <v>0.188968</v>
      </c>
      <c r="P21" s="158">
        <v>1</v>
      </c>
      <c r="Q21" s="158" t="s">
        <v>1090</v>
      </c>
    </row>
    <row r="22" spans="1:17">
      <c r="A22" s="154" t="s">
        <v>15</v>
      </c>
      <c r="B22" s="154"/>
      <c r="C22" s="154"/>
      <c r="D22" s="154"/>
      <c r="E22" s="154"/>
      <c r="F22" s="154"/>
      <c r="G22" s="154"/>
      <c r="H22" s="154"/>
      <c r="J22" s="163"/>
      <c r="K22" s="160" t="s">
        <v>1106</v>
      </c>
      <c r="L22" s="158" t="s">
        <v>1107</v>
      </c>
      <c r="M22" s="158">
        <f t="shared" si="3"/>
        <v>0.12261900000000001</v>
      </c>
      <c r="N22" s="158">
        <f t="shared" ref="N22:O28" si="4">M22</f>
        <v>0.12261900000000001</v>
      </c>
      <c r="O22" s="158">
        <f t="shared" ref="O22:O26" si="5">M22</f>
        <v>0.12261900000000001</v>
      </c>
      <c r="P22" s="158">
        <v>1</v>
      </c>
      <c r="Q22" s="158" t="s">
        <v>1090</v>
      </c>
    </row>
    <row r="23" spans="1:17">
      <c r="A23" s="155" t="s">
        <v>1108</v>
      </c>
      <c r="B23" s="86" t="s">
        <v>1066</v>
      </c>
      <c r="C23" s="86" t="s">
        <v>1109</v>
      </c>
      <c r="D23" s="12" t="s">
        <v>1110</v>
      </c>
      <c r="E23" s="86">
        <v>5.71</v>
      </c>
      <c r="F23" s="86" t="s">
        <v>1111</v>
      </c>
      <c r="G23" s="86">
        <f>E23/100</f>
        <v>5.7099999999999998E-2</v>
      </c>
      <c r="H23" s="86" t="s">
        <v>1069</v>
      </c>
      <c r="J23" s="163"/>
      <c r="K23" s="160" t="s">
        <v>1106</v>
      </c>
      <c r="L23" s="158" t="s">
        <v>1112</v>
      </c>
      <c r="M23" s="158">
        <f t="shared" si="3"/>
        <v>2.0240000000000002E-3</v>
      </c>
      <c r="N23" s="158">
        <f t="shared" si="4"/>
        <v>2.0240000000000002E-3</v>
      </c>
      <c r="O23" s="158">
        <f t="shared" si="5"/>
        <v>2.0240000000000002E-3</v>
      </c>
      <c r="P23" s="158">
        <v>1</v>
      </c>
      <c r="Q23" s="158" t="s">
        <v>1090</v>
      </c>
    </row>
    <row r="24" spans="1:17">
      <c r="A24" s="155" t="s">
        <v>1108</v>
      </c>
      <c r="B24" s="86" t="s">
        <v>1066</v>
      </c>
      <c r="C24" s="86" t="s">
        <v>1109</v>
      </c>
      <c r="D24" s="12" t="s">
        <v>1113</v>
      </c>
      <c r="E24" s="86">
        <v>1.59</v>
      </c>
      <c r="F24" s="86" t="s">
        <v>1111</v>
      </c>
      <c r="G24" s="86">
        <f t="shared" ref="G24:G25" si="6">E24/100</f>
        <v>1.5900000000000001E-2</v>
      </c>
      <c r="H24" s="86" t="s">
        <v>1069</v>
      </c>
      <c r="J24" s="163"/>
      <c r="K24" s="158">
        <v>11374030</v>
      </c>
      <c r="L24" s="158" t="s">
        <v>1114</v>
      </c>
      <c r="M24" s="158">
        <f t="shared" si="3"/>
        <v>8.0000000000000007E-5</v>
      </c>
      <c r="N24" s="158">
        <f t="shared" si="4"/>
        <v>8.0000000000000007E-5</v>
      </c>
      <c r="O24" s="158">
        <f t="shared" si="5"/>
        <v>8.0000000000000007E-5</v>
      </c>
      <c r="P24" s="158">
        <v>1</v>
      </c>
      <c r="Q24" s="158" t="s">
        <v>1083</v>
      </c>
    </row>
    <row r="25" spans="1:17">
      <c r="A25" s="155" t="s">
        <v>1108</v>
      </c>
      <c r="B25" s="86" t="s">
        <v>1066</v>
      </c>
      <c r="C25" s="86" t="s">
        <v>1109</v>
      </c>
      <c r="D25" s="12" t="s">
        <v>1115</v>
      </c>
      <c r="E25" s="86">
        <v>0.65</v>
      </c>
      <c r="F25" s="86" t="s">
        <v>1111</v>
      </c>
      <c r="G25" s="86">
        <f t="shared" si="6"/>
        <v>6.5000000000000006E-3</v>
      </c>
      <c r="H25" s="86" t="s">
        <v>1069</v>
      </c>
      <c r="J25" s="163"/>
      <c r="K25" s="158">
        <v>11374030</v>
      </c>
      <c r="L25" s="158" t="s">
        <v>1116</v>
      </c>
      <c r="M25" s="158">
        <f t="shared" si="3"/>
        <v>2.3000000000000001E-4</v>
      </c>
      <c r="N25" s="158">
        <f t="shared" si="4"/>
        <v>2.3000000000000001E-4</v>
      </c>
      <c r="O25" s="158">
        <f t="shared" si="5"/>
        <v>2.3000000000000001E-4</v>
      </c>
      <c r="P25" s="158">
        <v>1</v>
      </c>
      <c r="Q25" s="158" t="s">
        <v>1083</v>
      </c>
    </row>
    <row r="26" spans="1:17">
      <c r="A26" s="86">
        <v>1062241</v>
      </c>
      <c r="B26" s="86" t="s">
        <v>1066</v>
      </c>
      <c r="C26" s="86" t="s">
        <v>1083</v>
      </c>
      <c r="D26" s="12" t="s">
        <v>1117</v>
      </c>
      <c r="E26" s="86">
        <v>813</v>
      </c>
      <c r="F26" s="86" t="s">
        <v>442</v>
      </c>
      <c r="G26" s="86">
        <f t="shared" ref="G26:G29" si="7">E26/1000000</f>
        <v>8.1300000000000003E-4</v>
      </c>
      <c r="H26" s="86" t="s">
        <v>1118</v>
      </c>
      <c r="J26" s="163"/>
      <c r="K26" s="158">
        <v>11374030</v>
      </c>
      <c r="L26" s="158" t="s">
        <v>1119</v>
      </c>
      <c r="M26" s="158">
        <f t="shared" si="3"/>
        <v>2.8E-3</v>
      </c>
      <c r="N26" s="158">
        <f t="shared" si="4"/>
        <v>2.8E-3</v>
      </c>
      <c r="O26" s="158">
        <f t="shared" si="5"/>
        <v>2.8E-3</v>
      </c>
      <c r="P26" s="158">
        <v>1</v>
      </c>
      <c r="Q26" s="158" t="s">
        <v>1083</v>
      </c>
    </row>
    <row r="27" spans="1:17">
      <c r="A27" s="86">
        <v>1062241</v>
      </c>
      <c r="B27" s="86" t="s">
        <v>1066</v>
      </c>
      <c r="C27" s="86" t="s">
        <v>1083</v>
      </c>
      <c r="D27" s="12" t="s">
        <v>1117</v>
      </c>
      <c r="E27" s="86">
        <v>56</v>
      </c>
      <c r="F27" s="86" t="s">
        <v>442</v>
      </c>
      <c r="G27" s="86">
        <f t="shared" si="7"/>
        <v>5.5999999999999999E-5</v>
      </c>
      <c r="H27" s="86" t="s">
        <v>1118</v>
      </c>
      <c r="J27" s="163"/>
      <c r="K27" s="158">
        <v>11374030</v>
      </c>
      <c r="L27" s="158" t="s">
        <v>1120</v>
      </c>
      <c r="M27" s="158">
        <f>MIN(G97:G98)</f>
        <v>1.0000000000000001E-5</v>
      </c>
      <c r="N27" s="158">
        <f>AVERAGE(M27,O27)</f>
        <v>2.5000000000000001E-5</v>
      </c>
      <c r="O27" s="158">
        <f>MAX(G97:G98)</f>
        <v>4.0000000000000003E-5</v>
      </c>
      <c r="P27" s="158">
        <v>2</v>
      </c>
      <c r="Q27" s="158" t="s">
        <v>1083</v>
      </c>
    </row>
    <row r="28" spans="1:17">
      <c r="A28" s="86">
        <v>1062241</v>
      </c>
      <c r="B28" s="86" t="s">
        <v>1066</v>
      </c>
      <c r="C28" s="86" t="s">
        <v>1083</v>
      </c>
      <c r="D28" s="12" t="s">
        <v>1117</v>
      </c>
      <c r="E28" s="86">
        <v>73650</v>
      </c>
      <c r="F28" s="86" t="s">
        <v>442</v>
      </c>
      <c r="G28" s="86">
        <f t="shared" si="7"/>
        <v>7.3649999999999993E-2</v>
      </c>
      <c r="H28" s="86" t="s">
        <v>1118</v>
      </c>
      <c r="J28" s="163"/>
      <c r="K28" s="158">
        <v>11374030</v>
      </c>
      <c r="L28" s="158" t="s">
        <v>1121</v>
      </c>
      <c r="M28" s="158">
        <f>G99</f>
        <v>4.0000000000000003E-5</v>
      </c>
      <c r="N28" s="158">
        <f t="shared" si="4"/>
        <v>4.0000000000000003E-5</v>
      </c>
      <c r="O28" s="158">
        <f t="shared" si="4"/>
        <v>4.0000000000000003E-5</v>
      </c>
      <c r="P28" s="158">
        <v>1</v>
      </c>
      <c r="Q28" s="158" t="s">
        <v>1083</v>
      </c>
    </row>
    <row r="29" spans="1:17">
      <c r="A29" s="86">
        <v>1062241</v>
      </c>
      <c r="B29" s="86" t="s">
        <v>1066</v>
      </c>
      <c r="C29" s="86" t="s">
        <v>1083</v>
      </c>
      <c r="D29" s="12" t="s">
        <v>1122</v>
      </c>
      <c r="E29" s="86">
        <v>156</v>
      </c>
      <c r="F29" s="86" t="s">
        <v>442</v>
      </c>
      <c r="G29" s="86">
        <f t="shared" si="7"/>
        <v>1.56E-4</v>
      </c>
      <c r="H29" s="86" t="s">
        <v>1118</v>
      </c>
      <c r="J29" s="163"/>
      <c r="K29" s="158">
        <v>11374030</v>
      </c>
      <c r="L29" s="158" t="s">
        <v>1123</v>
      </c>
      <c r="M29" s="158">
        <f>MIN(G100:G101)</f>
        <v>5.0000000000000002E-5</v>
      </c>
      <c r="N29" s="158">
        <f>AVERAGE(M29,O29)</f>
        <v>1.075E-3</v>
      </c>
      <c r="O29" s="158">
        <f>MAX(G100:G101)</f>
        <v>2.0999999999999999E-3</v>
      </c>
      <c r="P29" s="158">
        <v>2</v>
      </c>
      <c r="Q29" s="158" t="s">
        <v>1083</v>
      </c>
    </row>
    <row r="30" spans="1:17">
      <c r="A30" s="155" t="s">
        <v>1124</v>
      </c>
      <c r="B30" s="86" t="s">
        <v>1066</v>
      </c>
      <c r="C30" s="86" t="s">
        <v>1090</v>
      </c>
      <c r="D30" s="12" t="s">
        <v>1125</v>
      </c>
      <c r="E30" s="86">
        <v>230</v>
      </c>
      <c r="F30" s="86" t="s">
        <v>1126</v>
      </c>
      <c r="G30" s="86">
        <f>E30/1000000</f>
        <v>2.3000000000000001E-4</v>
      </c>
      <c r="H30" s="86" t="s">
        <v>1118</v>
      </c>
      <c r="J30" s="163"/>
      <c r="K30" s="158">
        <v>11374030</v>
      </c>
      <c r="L30" s="158" t="s">
        <v>1127</v>
      </c>
      <c r="M30" s="158">
        <f>MIN(G102:G103)</f>
        <v>1.2E-4</v>
      </c>
      <c r="N30" s="158">
        <f>AVERAGE(M30,O30)</f>
        <v>7.0600000000000003E-3</v>
      </c>
      <c r="O30" s="158">
        <f>MAX(G102:G103)</f>
        <v>1.4E-2</v>
      </c>
      <c r="P30" s="158">
        <v>2</v>
      </c>
      <c r="Q30" s="158" t="s">
        <v>1083</v>
      </c>
    </row>
    <row r="31" spans="1:17">
      <c r="A31" s="155" t="s">
        <v>1124</v>
      </c>
      <c r="B31" s="86" t="s">
        <v>1066</v>
      </c>
      <c r="C31" s="86" t="s">
        <v>1090</v>
      </c>
      <c r="D31" s="12" t="s">
        <v>1125</v>
      </c>
      <c r="E31" s="86">
        <v>210</v>
      </c>
      <c r="F31" s="86" t="s">
        <v>1126</v>
      </c>
      <c r="G31" s="86">
        <f>E31/1000000</f>
        <v>2.1000000000000001E-4</v>
      </c>
      <c r="H31" s="86" t="s">
        <v>1118</v>
      </c>
      <c r="J31" s="163"/>
      <c r="K31" s="160" t="s">
        <v>1065</v>
      </c>
      <c r="L31" s="158" t="s">
        <v>1128</v>
      </c>
      <c r="M31" s="158">
        <f>MIN(G4:G6)</f>
        <v>3.0000000000000001E-5</v>
      </c>
      <c r="N31" s="158">
        <f>AVERAGE(G4:G6)</f>
        <v>2.7999999999999998E-4</v>
      </c>
      <c r="O31" s="158">
        <f>MAX(G4:G6)</f>
        <v>4.4999999999999999E-4</v>
      </c>
      <c r="P31" s="158">
        <v>3</v>
      </c>
      <c r="Q31" s="158" t="s">
        <v>1067</v>
      </c>
    </row>
    <row r="32" spans="1:17">
      <c r="A32" s="154" t="s">
        <v>18</v>
      </c>
      <c r="B32" s="154"/>
      <c r="C32" s="154"/>
      <c r="D32" s="154"/>
      <c r="E32" s="154"/>
      <c r="F32" s="154"/>
      <c r="G32" s="154"/>
      <c r="H32" s="154" t="s">
        <v>1118</v>
      </c>
      <c r="J32" s="162"/>
      <c r="K32" s="160" t="s">
        <v>1074</v>
      </c>
      <c r="L32" s="158" t="s">
        <v>1076</v>
      </c>
      <c r="M32" s="158">
        <f>G7</f>
        <v>1.0000000000000001E-7</v>
      </c>
      <c r="N32" s="158">
        <f>AVERAGE(M32,O32)</f>
        <v>1.0549999999999999E-5</v>
      </c>
      <c r="O32" s="158">
        <f>G8</f>
        <v>2.0999999999999999E-5</v>
      </c>
      <c r="P32" s="158">
        <v>2</v>
      </c>
      <c r="Q32" s="158" t="s">
        <v>1075</v>
      </c>
    </row>
    <row r="33" spans="1:17">
      <c r="A33" s="86">
        <v>1062241</v>
      </c>
      <c r="B33" s="86" t="s">
        <v>1066</v>
      </c>
      <c r="C33" s="86" t="s">
        <v>1083</v>
      </c>
      <c r="D33" s="12" t="s">
        <v>18</v>
      </c>
      <c r="E33" s="86">
        <v>12</v>
      </c>
      <c r="F33" s="86" t="s">
        <v>442</v>
      </c>
      <c r="G33" s="86">
        <f t="shared" ref="G33:G41" si="8">E33/1000000</f>
        <v>1.2E-5</v>
      </c>
      <c r="H33" s="86" t="s">
        <v>1118</v>
      </c>
      <c r="J33" s="157" t="s">
        <v>18</v>
      </c>
      <c r="K33" s="158">
        <v>1062241</v>
      </c>
      <c r="L33" s="158" t="s">
        <v>257</v>
      </c>
      <c r="M33" s="158">
        <f>MIN(G33:G41)</f>
        <v>5.0000000000000004E-6</v>
      </c>
      <c r="N33" s="158">
        <f>AVERAGE(G33:G41)</f>
        <v>8.7666666666666679E-5</v>
      </c>
      <c r="O33" s="158">
        <f>MAX(G33:G41)</f>
        <v>6.2600000000000004E-4</v>
      </c>
      <c r="P33" s="158">
        <f>COUNT(G33:G41)</f>
        <v>9</v>
      </c>
      <c r="Q33" s="158" t="s">
        <v>1083</v>
      </c>
    </row>
    <row r="34" spans="1:17">
      <c r="A34" s="86">
        <v>1062241</v>
      </c>
      <c r="B34" s="86" t="s">
        <v>1066</v>
      </c>
      <c r="C34" s="86" t="s">
        <v>1083</v>
      </c>
      <c r="D34" s="12" t="s">
        <v>18</v>
      </c>
      <c r="E34" s="86">
        <v>626</v>
      </c>
      <c r="F34" s="86" t="s">
        <v>442</v>
      </c>
      <c r="G34" s="86">
        <f t="shared" si="8"/>
        <v>6.2600000000000004E-4</v>
      </c>
      <c r="H34" s="86" t="s">
        <v>1118</v>
      </c>
      <c r="J34" s="157" t="s">
        <v>300</v>
      </c>
      <c r="K34" s="158">
        <v>1062241</v>
      </c>
      <c r="L34" s="158" t="s">
        <v>300</v>
      </c>
      <c r="M34" s="158">
        <f>MIN(G43:G45)</f>
        <v>6.4200000000000002E-5</v>
      </c>
      <c r="N34" s="158">
        <f>AVERAGE(G43:G45)</f>
        <v>1.0970000000000001E-4</v>
      </c>
      <c r="O34" s="158">
        <f>MAX(G43:G45)</f>
        <v>1.73E-4</v>
      </c>
      <c r="P34" s="158">
        <v>3</v>
      </c>
      <c r="Q34" s="158" t="s">
        <v>1083</v>
      </c>
    </row>
    <row r="35" spans="1:17">
      <c r="A35" s="86">
        <v>1062241</v>
      </c>
      <c r="B35" s="86" t="s">
        <v>1066</v>
      </c>
      <c r="C35" s="86" t="s">
        <v>1083</v>
      </c>
      <c r="D35" s="12" t="s">
        <v>18</v>
      </c>
      <c r="E35" s="86">
        <v>38</v>
      </c>
      <c r="F35" s="86" t="s">
        <v>442</v>
      </c>
      <c r="G35" s="86">
        <f t="shared" si="8"/>
        <v>3.8000000000000002E-5</v>
      </c>
      <c r="H35" s="86" t="s">
        <v>1118</v>
      </c>
      <c r="J35" s="157" t="s">
        <v>1129</v>
      </c>
      <c r="K35" s="158">
        <v>1062241</v>
      </c>
      <c r="L35" s="158" t="s">
        <v>1129</v>
      </c>
      <c r="M35" s="158">
        <f>G47</f>
        <v>1.1E-5</v>
      </c>
      <c r="N35" s="158">
        <f>M35</f>
        <v>1.1E-5</v>
      </c>
      <c r="O35" s="158">
        <f>M35</f>
        <v>1.1E-5</v>
      </c>
      <c r="P35" s="158">
        <v>1</v>
      </c>
      <c r="Q35" s="158" t="s">
        <v>1083</v>
      </c>
    </row>
    <row r="36" spans="1:17">
      <c r="A36" s="86">
        <v>1062241</v>
      </c>
      <c r="B36" s="86" t="s">
        <v>1066</v>
      </c>
      <c r="C36" s="86" t="s">
        <v>1083</v>
      </c>
      <c r="D36" s="12" t="s">
        <v>18</v>
      </c>
      <c r="E36" s="86">
        <v>5</v>
      </c>
      <c r="F36" s="86" t="s">
        <v>442</v>
      </c>
      <c r="G36" s="86">
        <f t="shared" si="8"/>
        <v>5.0000000000000004E-6</v>
      </c>
      <c r="H36" s="86" t="s">
        <v>1118</v>
      </c>
      <c r="J36" s="157" t="s">
        <v>1130</v>
      </c>
      <c r="K36" s="158">
        <v>11374030</v>
      </c>
      <c r="L36" s="158" t="s">
        <v>1131</v>
      </c>
      <c r="M36" s="158">
        <f>G82</f>
        <v>1.0000000000000001E-5</v>
      </c>
      <c r="N36" s="161">
        <f>AVERAGE(M36,O36)</f>
        <v>2.0000000000000002E-5</v>
      </c>
      <c r="O36" s="158">
        <f>MAX(G81)</f>
        <v>3.0000000000000001E-5</v>
      </c>
      <c r="P36" s="158">
        <v>2</v>
      </c>
      <c r="Q36" s="158" t="s">
        <v>1083</v>
      </c>
    </row>
    <row r="37" spans="1:17">
      <c r="A37" s="86">
        <v>1062241</v>
      </c>
      <c r="B37" s="86" t="s">
        <v>1066</v>
      </c>
      <c r="C37" s="86" t="s">
        <v>1083</v>
      </c>
      <c r="D37" s="12" t="s">
        <v>18</v>
      </c>
      <c r="E37" s="86">
        <v>46</v>
      </c>
      <c r="F37" s="86" t="s">
        <v>442</v>
      </c>
      <c r="G37" s="86">
        <f t="shared" si="8"/>
        <v>4.6E-5</v>
      </c>
      <c r="H37" s="86" t="s">
        <v>1118</v>
      </c>
    </row>
    <row r="38" spans="1:17">
      <c r="A38" s="86">
        <v>1062241</v>
      </c>
      <c r="B38" s="86" t="s">
        <v>1066</v>
      </c>
      <c r="C38" s="86" t="s">
        <v>1083</v>
      </c>
      <c r="D38" s="12" t="s">
        <v>18</v>
      </c>
      <c r="E38" s="86">
        <v>20</v>
      </c>
      <c r="F38" s="86" t="s">
        <v>442</v>
      </c>
      <c r="G38" s="86">
        <f t="shared" si="8"/>
        <v>2.0000000000000002E-5</v>
      </c>
      <c r="H38" s="86" t="s">
        <v>1118</v>
      </c>
    </row>
    <row r="39" spans="1:17">
      <c r="A39" s="86">
        <v>1062241</v>
      </c>
      <c r="B39" s="86" t="s">
        <v>1066</v>
      </c>
      <c r="C39" s="86" t="s">
        <v>1083</v>
      </c>
      <c r="D39" s="12" t="s">
        <v>18</v>
      </c>
      <c r="E39" s="86">
        <v>15</v>
      </c>
      <c r="F39" s="86" t="s">
        <v>442</v>
      </c>
      <c r="G39" s="86">
        <f t="shared" si="8"/>
        <v>1.5E-5</v>
      </c>
      <c r="H39" s="86" t="s">
        <v>1118</v>
      </c>
    </row>
    <row r="40" spans="1:17">
      <c r="A40" s="86">
        <v>1062241</v>
      </c>
      <c r="B40" s="86" t="s">
        <v>1066</v>
      </c>
      <c r="C40" s="86" t="s">
        <v>1083</v>
      </c>
      <c r="D40" s="12" t="s">
        <v>18</v>
      </c>
      <c r="E40" s="86">
        <v>19</v>
      </c>
      <c r="F40" s="86" t="s">
        <v>442</v>
      </c>
      <c r="G40" s="86">
        <f t="shared" si="8"/>
        <v>1.9000000000000001E-5</v>
      </c>
      <c r="H40" s="86" t="s">
        <v>1118</v>
      </c>
    </row>
    <row r="41" spans="1:17">
      <c r="A41" s="86">
        <v>1062241</v>
      </c>
      <c r="B41" s="86" t="s">
        <v>1066</v>
      </c>
      <c r="C41" s="86" t="s">
        <v>1083</v>
      </c>
      <c r="D41" s="12" t="s">
        <v>18</v>
      </c>
      <c r="E41" s="86">
        <v>8</v>
      </c>
      <c r="F41" s="86" t="s">
        <v>442</v>
      </c>
      <c r="G41" s="86">
        <f t="shared" si="8"/>
        <v>7.9999999999999996E-6</v>
      </c>
      <c r="H41" s="86" t="s">
        <v>1118</v>
      </c>
    </row>
    <row r="42" spans="1:17">
      <c r="A42" s="154" t="s">
        <v>300</v>
      </c>
      <c r="B42" s="154"/>
      <c r="C42" s="154"/>
      <c r="D42" s="154"/>
      <c r="E42" s="154"/>
      <c r="F42" s="154"/>
      <c r="G42" s="154"/>
      <c r="H42" s="154"/>
    </row>
    <row r="43" spans="1:17">
      <c r="A43" s="86">
        <v>1062241</v>
      </c>
      <c r="B43" s="86" t="s">
        <v>1066</v>
      </c>
      <c r="C43" s="86" t="s">
        <v>1083</v>
      </c>
      <c r="D43" s="12" t="s">
        <v>1132</v>
      </c>
      <c r="E43" s="86">
        <v>64.2</v>
      </c>
      <c r="F43" s="86" t="s">
        <v>442</v>
      </c>
      <c r="G43" s="86">
        <f t="shared" ref="G43:G45" si="9">E43/1000000</f>
        <v>6.4200000000000002E-5</v>
      </c>
      <c r="H43" s="86" t="s">
        <v>1069</v>
      </c>
    </row>
    <row r="44" spans="1:17">
      <c r="A44" s="86">
        <v>1062241</v>
      </c>
      <c r="B44" s="86" t="s">
        <v>1066</v>
      </c>
      <c r="C44" s="86" t="s">
        <v>1083</v>
      </c>
      <c r="D44" s="12" t="s">
        <v>1132</v>
      </c>
      <c r="E44" s="86">
        <v>91.9</v>
      </c>
      <c r="F44" s="86" t="s">
        <v>442</v>
      </c>
      <c r="G44" s="86">
        <f t="shared" si="9"/>
        <v>9.1900000000000011E-5</v>
      </c>
      <c r="H44" s="86" t="s">
        <v>1069</v>
      </c>
    </row>
    <row r="45" spans="1:17">
      <c r="A45" s="86">
        <v>1062241</v>
      </c>
      <c r="B45" s="86" t="s">
        <v>1066</v>
      </c>
      <c r="C45" s="86" t="s">
        <v>1083</v>
      </c>
      <c r="D45" s="12" t="s">
        <v>1132</v>
      </c>
      <c r="E45" s="86">
        <v>173</v>
      </c>
      <c r="F45" s="86" t="s">
        <v>442</v>
      </c>
      <c r="G45" s="86">
        <f t="shared" si="9"/>
        <v>1.73E-4</v>
      </c>
      <c r="H45" s="86" t="s">
        <v>1069</v>
      </c>
    </row>
    <row r="46" spans="1:17">
      <c r="A46" s="154" t="s">
        <v>1129</v>
      </c>
      <c r="B46" s="154"/>
      <c r="C46" s="154"/>
      <c r="D46" s="154"/>
      <c r="E46" s="154"/>
      <c r="F46" s="154"/>
      <c r="G46" s="154"/>
      <c r="H46" s="154"/>
    </row>
    <row r="47" spans="1:17">
      <c r="A47" s="86">
        <v>1062241</v>
      </c>
      <c r="B47" s="86" t="s">
        <v>1066</v>
      </c>
      <c r="C47" s="86" t="s">
        <v>1083</v>
      </c>
      <c r="D47" s="12" t="s">
        <v>1133</v>
      </c>
      <c r="E47" s="86">
        <v>11</v>
      </c>
      <c r="F47" s="86" t="s">
        <v>442</v>
      </c>
      <c r="G47" s="86">
        <f>E47/1000000</f>
        <v>1.1E-5</v>
      </c>
      <c r="H47" s="86" t="s">
        <v>1069</v>
      </c>
    </row>
    <row r="48" spans="1:17">
      <c r="A48" s="154" t="s">
        <v>1134</v>
      </c>
      <c r="B48" s="154"/>
      <c r="C48" s="154"/>
      <c r="D48" s="154"/>
      <c r="E48" s="154"/>
      <c r="F48" s="154"/>
      <c r="G48" s="154"/>
      <c r="H48" s="154"/>
    </row>
    <row r="49" spans="1:8" ht="43.5">
      <c r="A49" s="86">
        <v>1325358</v>
      </c>
      <c r="B49" s="86" t="s">
        <v>1084</v>
      </c>
      <c r="C49" s="86" t="s">
        <v>1090</v>
      </c>
      <c r="D49" s="170" t="s">
        <v>1135</v>
      </c>
      <c r="E49" s="86">
        <v>100</v>
      </c>
      <c r="F49" s="86" t="s">
        <v>1126</v>
      </c>
      <c r="G49" s="86">
        <f>E49/1000000</f>
        <v>1E-4</v>
      </c>
      <c r="H49" s="86" t="s">
        <v>1069</v>
      </c>
    </row>
    <row r="50" spans="1:8">
      <c r="A50" s="86">
        <v>1062241</v>
      </c>
      <c r="B50" s="86" t="s">
        <v>1066</v>
      </c>
      <c r="C50" s="86" t="s">
        <v>1083</v>
      </c>
      <c r="D50" s="12" t="s">
        <v>1136</v>
      </c>
      <c r="E50" s="86">
        <v>8</v>
      </c>
      <c r="F50" s="86" t="s">
        <v>442</v>
      </c>
      <c r="G50" s="86">
        <f t="shared" ref="G50:G62" si="10">E50/1000000</f>
        <v>7.9999999999999996E-6</v>
      </c>
      <c r="H50" s="86" t="s">
        <v>1069</v>
      </c>
    </row>
    <row r="51" spans="1:8">
      <c r="A51" s="86">
        <v>1062241</v>
      </c>
      <c r="B51" s="86" t="s">
        <v>1066</v>
      </c>
      <c r="C51" s="86" t="s">
        <v>1083</v>
      </c>
      <c r="D51" s="12" t="s">
        <v>1137</v>
      </c>
      <c r="E51" s="86">
        <v>216</v>
      </c>
      <c r="F51" s="86" t="s">
        <v>442</v>
      </c>
      <c r="G51" s="86">
        <f t="shared" si="10"/>
        <v>2.1599999999999999E-4</v>
      </c>
      <c r="H51" s="86" t="s">
        <v>1069</v>
      </c>
    </row>
    <row r="52" spans="1:8">
      <c r="A52" s="86">
        <v>1062241</v>
      </c>
      <c r="B52" s="86" t="s">
        <v>1066</v>
      </c>
      <c r="C52" s="86" t="s">
        <v>1083</v>
      </c>
      <c r="D52" s="12" t="s">
        <v>1138</v>
      </c>
      <c r="E52" s="86">
        <v>388</v>
      </c>
      <c r="F52" s="86" t="s">
        <v>442</v>
      </c>
      <c r="G52" s="86">
        <f t="shared" si="10"/>
        <v>3.88E-4</v>
      </c>
      <c r="H52" s="86" t="s">
        <v>1069</v>
      </c>
    </row>
    <row r="53" spans="1:8">
      <c r="A53" s="86">
        <v>1062241</v>
      </c>
      <c r="B53" s="86" t="s">
        <v>1066</v>
      </c>
      <c r="C53" s="86" t="s">
        <v>1083</v>
      </c>
      <c r="D53" s="12" t="s">
        <v>1137</v>
      </c>
      <c r="E53" s="86">
        <v>41</v>
      </c>
      <c r="F53" s="86" t="s">
        <v>442</v>
      </c>
      <c r="G53" s="86">
        <f t="shared" si="10"/>
        <v>4.1E-5</v>
      </c>
      <c r="H53" s="86" t="s">
        <v>1069</v>
      </c>
    </row>
    <row r="54" spans="1:8">
      <c r="A54" s="86">
        <v>1062241</v>
      </c>
      <c r="B54" s="86" t="s">
        <v>1066</v>
      </c>
      <c r="C54" s="86" t="s">
        <v>1083</v>
      </c>
      <c r="D54" s="12" t="s">
        <v>1137</v>
      </c>
      <c r="E54" s="86">
        <v>39</v>
      </c>
      <c r="F54" s="86" t="s">
        <v>442</v>
      </c>
      <c r="G54" s="86">
        <f t="shared" si="10"/>
        <v>3.8999999999999999E-5</v>
      </c>
      <c r="H54" s="86" t="s">
        <v>1069</v>
      </c>
    </row>
    <row r="55" spans="1:8">
      <c r="A55" s="86">
        <v>1062241</v>
      </c>
      <c r="B55" s="86" t="s">
        <v>1066</v>
      </c>
      <c r="C55" s="86" t="s">
        <v>1083</v>
      </c>
      <c r="D55" s="12" t="s">
        <v>1137</v>
      </c>
      <c r="E55" s="86">
        <v>1140</v>
      </c>
      <c r="F55" s="86" t="s">
        <v>442</v>
      </c>
      <c r="G55" s="86">
        <f t="shared" si="10"/>
        <v>1.14E-3</v>
      </c>
      <c r="H55" s="86" t="s">
        <v>1069</v>
      </c>
    </row>
    <row r="56" spans="1:8">
      <c r="A56" s="86">
        <v>1062241</v>
      </c>
      <c r="B56" s="86" t="s">
        <v>1066</v>
      </c>
      <c r="C56" s="86" t="s">
        <v>1083</v>
      </c>
      <c r="D56" s="12" t="s">
        <v>1137</v>
      </c>
      <c r="E56" s="86">
        <v>18</v>
      </c>
      <c r="F56" s="86" t="s">
        <v>442</v>
      </c>
      <c r="G56" s="86">
        <f t="shared" si="10"/>
        <v>1.8E-5</v>
      </c>
      <c r="H56" s="86" t="s">
        <v>1069</v>
      </c>
    </row>
    <row r="57" spans="1:8">
      <c r="A57" s="86">
        <v>1062241</v>
      </c>
      <c r="B57" s="86" t="s">
        <v>1066</v>
      </c>
      <c r="C57" s="86" t="s">
        <v>1083</v>
      </c>
      <c r="D57" s="12" t="s">
        <v>1139</v>
      </c>
      <c r="E57" s="86">
        <v>16250</v>
      </c>
      <c r="F57" s="86" t="s">
        <v>442</v>
      </c>
      <c r="G57" s="86">
        <f t="shared" si="10"/>
        <v>1.6250000000000001E-2</v>
      </c>
      <c r="H57" s="86" t="s">
        <v>1069</v>
      </c>
    </row>
    <row r="58" spans="1:8">
      <c r="A58" s="86">
        <v>1062241</v>
      </c>
      <c r="B58" s="86" t="s">
        <v>1066</v>
      </c>
      <c r="C58" s="86" t="s">
        <v>1083</v>
      </c>
      <c r="D58" s="12" t="s">
        <v>1137</v>
      </c>
      <c r="E58" s="86">
        <v>14</v>
      </c>
      <c r="F58" s="86" t="s">
        <v>442</v>
      </c>
      <c r="G58" s="86">
        <f t="shared" si="10"/>
        <v>1.4E-5</v>
      </c>
      <c r="H58" s="86" t="s">
        <v>1069</v>
      </c>
    </row>
    <row r="59" spans="1:8">
      <c r="A59" s="86">
        <v>1062241</v>
      </c>
      <c r="B59" s="86" t="s">
        <v>1066</v>
      </c>
      <c r="C59" s="86" t="s">
        <v>1083</v>
      </c>
      <c r="D59" s="12" t="s">
        <v>1136</v>
      </c>
      <c r="E59" s="86">
        <v>38</v>
      </c>
      <c r="F59" s="86" t="s">
        <v>442</v>
      </c>
      <c r="G59" s="86">
        <f t="shared" si="10"/>
        <v>3.8000000000000002E-5</v>
      </c>
      <c r="H59" s="86" t="s">
        <v>1069</v>
      </c>
    </row>
    <row r="60" spans="1:8">
      <c r="A60" s="86">
        <v>1062241</v>
      </c>
      <c r="B60" s="86" t="s">
        <v>1066</v>
      </c>
      <c r="C60" s="86" t="s">
        <v>1083</v>
      </c>
      <c r="D60" s="12" t="s">
        <v>1140</v>
      </c>
      <c r="E60" s="86">
        <v>9</v>
      </c>
      <c r="F60" s="86" t="s">
        <v>442</v>
      </c>
      <c r="G60" s="86">
        <f t="shared" si="10"/>
        <v>9.0000000000000002E-6</v>
      </c>
      <c r="H60" s="86" t="s">
        <v>1069</v>
      </c>
    </row>
    <row r="61" spans="1:8">
      <c r="A61" s="86">
        <v>1062241</v>
      </c>
      <c r="B61" s="86" t="s">
        <v>1066</v>
      </c>
      <c r="C61" s="86" t="s">
        <v>1083</v>
      </c>
      <c r="D61" s="12" t="s">
        <v>1141</v>
      </c>
      <c r="E61" s="86">
        <v>337</v>
      </c>
      <c r="F61" s="86" t="s">
        <v>442</v>
      </c>
      <c r="G61" s="86">
        <f t="shared" si="10"/>
        <v>3.3700000000000001E-4</v>
      </c>
      <c r="H61" s="86" t="s">
        <v>1069</v>
      </c>
    </row>
    <row r="62" spans="1:8">
      <c r="A62" s="86">
        <v>1062241</v>
      </c>
      <c r="B62" s="86" t="s">
        <v>1066</v>
      </c>
      <c r="C62" s="86" t="s">
        <v>1083</v>
      </c>
      <c r="D62" s="12" t="s">
        <v>1141</v>
      </c>
      <c r="E62" s="86">
        <v>24</v>
      </c>
      <c r="F62" s="86" t="s">
        <v>442</v>
      </c>
      <c r="G62" s="86">
        <f t="shared" si="10"/>
        <v>2.4000000000000001E-5</v>
      </c>
      <c r="H62" s="86" t="s">
        <v>1069</v>
      </c>
    </row>
    <row r="63" spans="1:8">
      <c r="A63" s="86">
        <v>1062241</v>
      </c>
      <c r="B63" s="86" t="s">
        <v>1066</v>
      </c>
      <c r="C63" s="86" t="s">
        <v>1083</v>
      </c>
      <c r="D63" s="12" t="s">
        <v>1142</v>
      </c>
      <c r="E63" s="86">
        <v>56.2</v>
      </c>
      <c r="F63" s="86" t="s">
        <v>442</v>
      </c>
      <c r="G63" s="86">
        <f>E63/1000000</f>
        <v>5.6200000000000004E-5</v>
      </c>
      <c r="H63" s="86" t="s">
        <v>1069</v>
      </c>
    </row>
    <row r="64" spans="1:8">
      <c r="A64" s="86">
        <v>1062241</v>
      </c>
      <c r="B64" s="86" t="s">
        <v>1066</v>
      </c>
      <c r="C64" s="86" t="s">
        <v>1083</v>
      </c>
      <c r="D64" s="12" t="s">
        <v>1142</v>
      </c>
      <c r="E64" s="86">
        <v>8.9</v>
      </c>
      <c r="F64" s="86" t="s">
        <v>442</v>
      </c>
      <c r="G64" s="86">
        <f>E64/1000000</f>
        <v>8.9000000000000012E-6</v>
      </c>
      <c r="H64" s="86" t="s">
        <v>1069</v>
      </c>
    </row>
    <row r="65" spans="1:8">
      <c r="A65" s="86">
        <v>1062241</v>
      </c>
      <c r="B65" s="86" t="s">
        <v>1066</v>
      </c>
      <c r="C65" s="86" t="s">
        <v>1083</v>
      </c>
      <c r="D65" s="12" t="s">
        <v>1142</v>
      </c>
      <c r="E65" s="86">
        <v>9.5</v>
      </c>
      <c r="F65" s="86" t="s">
        <v>442</v>
      </c>
      <c r="G65" s="86">
        <f>E65/1000000</f>
        <v>9.5000000000000005E-6</v>
      </c>
      <c r="H65" s="86" t="s">
        <v>1069</v>
      </c>
    </row>
    <row r="66" spans="1:8">
      <c r="A66" s="154" t="s">
        <v>1094</v>
      </c>
      <c r="B66" s="154"/>
      <c r="C66" s="154"/>
      <c r="D66" s="154"/>
      <c r="E66" s="154"/>
      <c r="F66" s="154"/>
      <c r="G66" s="154"/>
      <c r="H66" s="154"/>
    </row>
    <row r="67" spans="1:8">
      <c r="A67" s="86">
        <v>11374030</v>
      </c>
      <c r="B67" s="86" t="s">
        <v>1084</v>
      </c>
      <c r="C67" s="86" t="s">
        <v>1083</v>
      </c>
      <c r="D67" s="12" t="s">
        <v>1143</v>
      </c>
      <c r="E67" s="86">
        <v>30</v>
      </c>
      <c r="F67" s="86" t="s">
        <v>442</v>
      </c>
      <c r="G67" s="86">
        <f t="shared" ref="G67:G79" si="11">E67/1000000</f>
        <v>3.0000000000000001E-5</v>
      </c>
      <c r="H67" s="86" t="s">
        <v>1118</v>
      </c>
    </row>
    <row r="68" spans="1:8">
      <c r="A68" s="86">
        <v>11374030</v>
      </c>
      <c r="B68" s="86" t="s">
        <v>1084</v>
      </c>
      <c r="C68" s="86" t="s">
        <v>1083</v>
      </c>
      <c r="D68" s="12" t="s">
        <v>1144</v>
      </c>
      <c r="E68" s="86">
        <v>5</v>
      </c>
      <c r="F68" s="86" t="s">
        <v>442</v>
      </c>
      <c r="G68" s="86">
        <f t="shared" si="11"/>
        <v>5.0000000000000004E-6</v>
      </c>
      <c r="H68" s="86" t="s">
        <v>1118</v>
      </c>
    </row>
    <row r="69" spans="1:8">
      <c r="A69" s="86">
        <v>11374030</v>
      </c>
      <c r="B69" s="86" t="s">
        <v>1084</v>
      </c>
      <c r="C69" s="86" t="s">
        <v>1083</v>
      </c>
      <c r="D69" s="12" t="s">
        <v>1144</v>
      </c>
      <c r="E69" s="86">
        <v>50</v>
      </c>
      <c r="F69" s="86" t="s">
        <v>442</v>
      </c>
      <c r="G69" s="86">
        <f t="shared" si="11"/>
        <v>5.0000000000000002E-5</v>
      </c>
      <c r="H69" s="86" t="s">
        <v>1118</v>
      </c>
    </row>
    <row r="70" spans="1:8">
      <c r="A70" s="86">
        <v>11374030</v>
      </c>
      <c r="B70" s="86" t="s">
        <v>1084</v>
      </c>
      <c r="C70" s="86" t="s">
        <v>1083</v>
      </c>
      <c r="D70" s="12" t="s">
        <v>289</v>
      </c>
      <c r="E70" s="86">
        <v>90</v>
      </c>
      <c r="F70" s="86" t="s">
        <v>442</v>
      </c>
      <c r="G70" s="86">
        <f t="shared" si="11"/>
        <v>9.0000000000000006E-5</v>
      </c>
      <c r="H70" s="86" t="s">
        <v>1118</v>
      </c>
    </row>
    <row r="71" spans="1:8">
      <c r="A71" s="86">
        <v>11374030</v>
      </c>
      <c r="B71" s="86" t="s">
        <v>1084</v>
      </c>
      <c r="C71" s="86" t="s">
        <v>1083</v>
      </c>
      <c r="D71" s="12" t="s">
        <v>289</v>
      </c>
      <c r="E71" s="86">
        <v>340</v>
      </c>
      <c r="F71" s="86" t="s">
        <v>442</v>
      </c>
      <c r="G71" s="86">
        <f t="shared" si="11"/>
        <v>3.4000000000000002E-4</v>
      </c>
      <c r="H71" s="86" t="s">
        <v>1118</v>
      </c>
    </row>
    <row r="72" spans="1:8">
      <c r="A72" s="86">
        <v>11374030</v>
      </c>
      <c r="B72" s="86" t="s">
        <v>1084</v>
      </c>
      <c r="C72" s="86" t="s">
        <v>1083</v>
      </c>
      <c r="D72" s="12" t="s">
        <v>1145</v>
      </c>
      <c r="E72" s="171">
        <v>418000</v>
      </c>
      <c r="F72" s="86" t="s">
        <v>442</v>
      </c>
      <c r="G72" s="86">
        <f>E72/1000000</f>
        <v>0.41799999999999998</v>
      </c>
      <c r="H72" s="86" t="s">
        <v>1118</v>
      </c>
    </row>
    <row r="73" spans="1:8">
      <c r="A73" s="86">
        <v>11374030</v>
      </c>
      <c r="B73" s="86" t="s">
        <v>1084</v>
      </c>
      <c r="C73" s="86" t="s">
        <v>1083</v>
      </c>
      <c r="D73" s="12" t="s">
        <v>1145</v>
      </c>
      <c r="E73" s="171">
        <v>445000</v>
      </c>
      <c r="F73" s="86" t="s">
        <v>442</v>
      </c>
      <c r="G73" s="86">
        <f>E73/1000000</f>
        <v>0.44500000000000001</v>
      </c>
      <c r="H73" s="86" t="s">
        <v>1118</v>
      </c>
    </row>
    <row r="74" spans="1:8">
      <c r="A74" s="86">
        <v>1062241</v>
      </c>
      <c r="B74" s="86" t="s">
        <v>1066</v>
      </c>
      <c r="C74" s="86" t="s">
        <v>1083</v>
      </c>
      <c r="D74" s="12" t="s">
        <v>1146</v>
      </c>
      <c r="E74" s="86">
        <v>115</v>
      </c>
      <c r="F74" s="86" t="s">
        <v>442</v>
      </c>
      <c r="G74" s="86">
        <f t="shared" si="11"/>
        <v>1.15E-4</v>
      </c>
      <c r="H74" s="86" t="s">
        <v>1069</v>
      </c>
    </row>
    <row r="75" spans="1:8">
      <c r="A75" s="86">
        <v>1062241</v>
      </c>
      <c r="B75" s="86" t="s">
        <v>1066</v>
      </c>
      <c r="C75" s="86" t="s">
        <v>1083</v>
      </c>
      <c r="D75" s="12" t="s">
        <v>1146</v>
      </c>
      <c r="E75" s="86">
        <v>693</v>
      </c>
      <c r="F75" s="86" t="s">
        <v>442</v>
      </c>
      <c r="G75" s="86">
        <f t="shared" si="11"/>
        <v>6.9300000000000004E-4</v>
      </c>
      <c r="H75" s="86" t="s">
        <v>1069</v>
      </c>
    </row>
    <row r="76" spans="1:8">
      <c r="A76" s="86">
        <v>1062241</v>
      </c>
      <c r="B76" s="86" t="s">
        <v>1066</v>
      </c>
      <c r="C76" s="86" t="s">
        <v>1083</v>
      </c>
      <c r="D76" s="12" t="s">
        <v>1147</v>
      </c>
      <c r="E76" s="86">
        <v>109999</v>
      </c>
      <c r="F76" s="86" t="s">
        <v>442</v>
      </c>
      <c r="G76" s="86">
        <f t="shared" si="11"/>
        <v>0.109999</v>
      </c>
      <c r="H76" s="86" t="s">
        <v>1069</v>
      </c>
    </row>
    <row r="77" spans="1:8">
      <c r="A77" s="86">
        <v>1062241</v>
      </c>
      <c r="B77" s="86" t="s">
        <v>1066</v>
      </c>
      <c r="C77" s="86" t="s">
        <v>1083</v>
      </c>
      <c r="D77" s="12" t="s">
        <v>1148</v>
      </c>
      <c r="E77" s="86">
        <v>355000</v>
      </c>
      <c r="F77" s="86" t="s">
        <v>442</v>
      </c>
      <c r="G77" s="86">
        <f t="shared" si="11"/>
        <v>0.35499999999999998</v>
      </c>
      <c r="H77" s="86" t="s">
        <v>1069</v>
      </c>
    </row>
    <row r="78" spans="1:8">
      <c r="A78" s="86">
        <v>1062241</v>
      </c>
      <c r="B78" s="86" t="s">
        <v>1066</v>
      </c>
      <c r="C78" s="86" t="s">
        <v>1083</v>
      </c>
      <c r="D78" s="12" t="s">
        <v>1149</v>
      </c>
      <c r="E78" s="86">
        <v>9.1</v>
      </c>
      <c r="F78" s="86" t="s">
        <v>442</v>
      </c>
      <c r="G78" s="86">
        <f t="shared" si="11"/>
        <v>9.0999999999999993E-6</v>
      </c>
      <c r="H78" s="86" t="s">
        <v>1069</v>
      </c>
    </row>
    <row r="79" spans="1:8">
      <c r="A79" s="86">
        <v>1062241</v>
      </c>
      <c r="B79" s="86" t="s">
        <v>1066</v>
      </c>
      <c r="C79" s="86" t="s">
        <v>1083</v>
      </c>
      <c r="D79" s="12" t="s">
        <v>1146</v>
      </c>
      <c r="E79" s="86">
        <v>299</v>
      </c>
      <c r="F79" s="86" t="s">
        <v>442</v>
      </c>
      <c r="G79" s="86">
        <f t="shared" si="11"/>
        <v>2.99E-4</v>
      </c>
      <c r="H79" s="86" t="s">
        <v>1069</v>
      </c>
    </row>
    <row r="80" spans="1:8">
      <c r="A80" s="154" t="s">
        <v>265</v>
      </c>
      <c r="B80" s="154"/>
      <c r="C80" s="154"/>
      <c r="D80" s="154"/>
      <c r="E80" s="154"/>
      <c r="F80" s="154"/>
      <c r="G80" s="154"/>
      <c r="H80" s="154"/>
    </row>
    <row r="81" spans="1:10">
      <c r="A81" s="86">
        <v>11374030</v>
      </c>
      <c r="B81" s="86" t="s">
        <v>1084</v>
      </c>
      <c r="C81" s="86" t="s">
        <v>1083</v>
      </c>
      <c r="D81" s="12" t="s">
        <v>1130</v>
      </c>
      <c r="E81" s="86">
        <v>30</v>
      </c>
      <c r="F81" s="86" t="s">
        <v>442</v>
      </c>
      <c r="G81" s="86">
        <f t="shared" ref="G81:G82" si="12">E81/1000000</f>
        <v>3.0000000000000001E-5</v>
      </c>
      <c r="H81" s="86" t="s">
        <v>1118</v>
      </c>
    </row>
    <row r="82" spans="1:10">
      <c r="A82" s="86">
        <v>11374030</v>
      </c>
      <c r="B82" s="86" t="s">
        <v>1084</v>
      </c>
      <c r="C82" s="86" t="s">
        <v>1083</v>
      </c>
      <c r="D82" s="12" t="s">
        <v>1130</v>
      </c>
      <c r="E82" s="86">
        <v>10</v>
      </c>
      <c r="F82" s="86" t="s">
        <v>442</v>
      </c>
      <c r="G82" s="86">
        <f t="shared" si="12"/>
        <v>1.0000000000000001E-5</v>
      </c>
      <c r="H82" s="86" t="s">
        <v>1118</v>
      </c>
    </row>
    <row r="83" spans="1:10">
      <c r="A83" s="154" t="s">
        <v>1150</v>
      </c>
      <c r="B83" s="154"/>
      <c r="C83" s="154"/>
      <c r="D83" s="154"/>
      <c r="E83" s="154"/>
      <c r="F83" s="154"/>
      <c r="G83" s="154"/>
      <c r="H83" s="154"/>
      <c r="I83" s="86" t="s">
        <v>1151</v>
      </c>
    </row>
    <row r="84" spans="1:10">
      <c r="A84" s="86">
        <v>11374030</v>
      </c>
      <c r="B84" s="86" t="s">
        <v>1084</v>
      </c>
      <c r="C84" s="86" t="s">
        <v>1083</v>
      </c>
      <c r="D84" s="12" t="s">
        <v>1152</v>
      </c>
      <c r="E84" s="171">
        <v>178000</v>
      </c>
      <c r="F84" s="86" t="s">
        <v>442</v>
      </c>
      <c r="G84" s="86">
        <f t="shared" ref="G84:G89" si="13">E84/1000000</f>
        <v>0.17799999999999999</v>
      </c>
      <c r="H84" s="86" t="s">
        <v>1118</v>
      </c>
      <c r="I84" s="86">
        <v>1E-4</v>
      </c>
      <c r="J84" s="86">
        <f>AVERAGE(G84:G87,I84:I87)</f>
        <v>2.2872499999999994E-2</v>
      </c>
    </row>
    <row r="85" spans="1:10">
      <c r="A85" s="86">
        <v>11374030</v>
      </c>
      <c r="B85" s="86" t="s">
        <v>1084</v>
      </c>
      <c r="C85" s="86" t="s">
        <v>1083</v>
      </c>
      <c r="D85" s="12" t="s">
        <v>1153</v>
      </c>
      <c r="E85" s="86">
        <v>10</v>
      </c>
      <c r="F85" s="86" t="s">
        <v>442</v>
      </c>
      <c r="G85" s="86">
        <f t="shared" si="13"/>
        <v>1.0000000000000001E-5</v>
      </c>
      <c r="H85" s="86" t="s">
        <v>1118</v>
      </c>
      <c r="I85" s="86">
        <v>1E-4</v>
      </c>
    </row>
    <row r="86" spans="1:10">
      <c r="A86" s="86">
        <v>11374030</v>
      </c>
      <c r="B86" s="86" t="s">
        <v>1084</v>
      </c>
      <c r="C86" s="86" t="s">
        <v>1083</v>
      </c>
      <c r="D86" s="12" t="s">
        <v>1153</v>
      </c>
      <c r="E86" s="171">
        <v>3900</v>
      </c>
      <c r="F86" s="86" t="s">
        <v>442</v>
      </c>
      <c r="G86" s="86">
        <f t="shared" si="13"/>
        <v>3.8999999999999998E-3</v>
      </c>
      <c r="H86" s="86" t="s">
        <v>1118</v>
      </c>
      <c r="I86" s="86">
        <v>1E-4</v>
      </c>
    </row>
    <row r="87" spans="1:10">
      <c r="A87" s="86">
        <v>6302975</v>
      </c>
      <c r="B87" s="86" t="s">
        <v>1084</v>
      </c>
      <c r="C87" s="86" t="s">
        <v>1083</v>
      </c>
      <c r="D87" s="12" t="s">
        <v>1154</v>
      </c>
      <c r="E87" s="86">
        <v>670</v>
      </c>
      <c r="F87" s="86" t="s">
        <v>1086</v>
      </c>
      <c r="G87" s="86">
        <f>E87/1000000</f>
        <v>6.7000000000000002E-4</v>
      </c>
      <c r="H87" s="86" t="s">
        <v>1118</v>
      </c>
      <c r="I87" s="86">
        <v>1E-4</v>
      </c>
    </row>
    <row r="88" spans="1:10">
      <c r="A88" s="86">
        <v>11374030</v>
      </c>
      <c r="B88" s="86" t="s">
        <v>1084</v>
      </c>
      <c r="C88" s="86" t="s">
        <v>1083</v>
      </c>
      <c r="D88" s="12" t="s">
        <v>1155</v>
      </c>
      <c r="E88" s="86">
        <v>30</v>
      </c>
      <c r="F88" s="86" t="s">
        <v>442</v>
      </c>
      <c r="G88" s="86">
        <f t="shared" si="13"/>
        <v>3.0000000000000001E-5</v>
      </c>
      <c r="H88" s="86" t="s">
        <v>1118</v>
      </c>
    </row>
    <row r="89" spans="1:10">
      <c r="A89" s="86">
        <v>6302975</v>
      </c>
      <c r="B89" s="86" t="s">
        <v>1084</v>
      </c>
      <c r="C89" s="86" t="s">
        <v>1083</v>
      </c>
      <c r="D89" s="12" t="s">
        <v>1156</v>
      </c>
      <c r="E89" s="86">
        <v>18</v>
      </c>
      <c r="F89" s="86" t="s">
        <v>1086</v>
      </c>
      <c r="G89" s="86">
        <f t="shared" si="13"/>
        <v>1.8E-5</v>
      </c>
      <c r="H89" s="86" t="s">
        <v>1118</v>
      </c>
    </row>
    <row r="90" spans="1:10">
      <c r="A90" s="154" t="s">
        <v>1157</v>
      </c>
      <c r="B90" s="154"/>
      <c r="C90" s="154"/>
      <c r="D90" s="154"/>
      <c r="E90" s="154"/>
      <c r="F90" s="154"/>
      <c r="G90" s="154"/>
      <c r="H90" s="154"/>
    </row>
    <row r="91" spans="1:10">
      <c r="A91" s="155" t="s">
        <v>1106</v>
      </c>
      <c r="B91" s="86" t="s">
        <v>1066</v>
      </c>
      <c r="C91" s="86" t="s">
        <v>1090</v>
      </c>
      <c r="D91" s="12" t="s">
        <v>281</v>
      </c>
      <c r="E91" s="171">
        <v>188968</v>
      </c>
      <c r="F91" s="86" t="s">
        <v>1126</v>
      </c>
      <c r="G91" s="86">
        <f t="shared" ref="G91:G103" si="14">E91/1000000</f>
        <v>0.188968</v>
      </c>
      <c r="H91" s="86" t="s">
        <v>1069</v>
      </c>
    </row>
    <row r="92" spans="1:10">
      <c r="A92" s="155" t="s">
        <v>1106</v>
      </c>
      <c r="B92" s="86" t="s">
        <v>1066</v>
      </c>
      <c r="C92" s="86" t="s">
        <v>1090</v>
      </c>
      <c r="D92" s="12" t="s">
        <v>1107</v>
      </c>
      <c r="E92" s="86">
        <v>122619</v>
      </c>
      <c r="F92" s="86" t="s">
        <v>1126</v>
      </c>
      <c r="G92" s="86">
        <f t="shared" si="14"/>
        <v>0.12261900000000001</v>
      </c>
      <c r="H92" s="86" t="s">
        <v>1069</v>
      </c>
    </row>
    <row r="93" spans="1:10">
      <c r="A93" s="155" t="s">
        <v>1106</v>
      </c>
      <c r="B93" s="86" t="s">
        <v>1066</v>
      </c>
      <c r="C93" s="86" t="s">
        <v>1090</v>
      </c>
      <c r="D93" s="172" t="s">
        <v>1112</v>
      </c>
      <c r="E93" s="86">
        <v>2024</v>
      </c>
      <c r="F93" s="86" t="s">
        <v>1126</v>
      </c>
      <c r="G93" s="86">
        <f t="shared" si="14"/>
        <v>2.0240000000000002E-3</v>
      </c>
      <c r="H93" s="86" t="s">
        <v>1069</v>
      </c>
    </row>
    <row r="94" spans="1:10">
      <c r="A94" s="86">
        <v>11374030</v>
      </c>
      <c r="B94" s="86" t="s">
        <v>1084</v>
      </c>
      <c r="C94" s="86" t="s">
        <v>1083</v>
      </c>
      <c r="D94" s="173" t="s">
        <v>1114</v>
      </c>
      <c r="E94" s="86">
        <v>80</v>
      </c>
      <c r="F94" s="86" t="s">
        <v>442</v>
      </c>
      <c r="G94" s="86">
        <f t="shared" si="14"/>
        <v>8.0000000000000007E-5</v>
      </c>
      <c r="H94" s="86" t="s">
        <v>1118</v>
      </c>
    </row>
    <row r="95" spans="1:10">
      <c r="A95" s="86">
        <v>11374030</v>
      </c>
      <c r="B95" s="86" t="s">
        <v>1084</v>
      </c>
      <c r="C95" s="86" t="s">
        <v>1083</v>
      </c>
      <c r="D95" s="173" t="s">
        <v>1116</v>
      </c>
      <c r="E95" s="86">
        <v>230</v>
      </c>
      <c r="F95" s="86" t="s">
        <v>442</v>
      </c>
      <c r="G95" s="86">
        <f t="shared" si="14"/>
        <v>2.3000000000000001E-4</v>
      </c>
      <c r="H95" s="86" t="s">
        <v>1118</v>
      </c>
    </row>
    <row r="96" spans="1:10">
      <c r="A96" s="86">
        <v>11374030</v>
      </c>
      <c r="B96" s="86" t="s">
        <v>1084</v>
      </c>
      <c r="C96" s="86" t="s">
        <v>1083</v>
      </c>
      <c r="D96" s="173" t="s">
        <v>1119</v>
      </c>
      <c r="E96" s="171">
        <v>2800</v>
      </c>
      <c r="F96" s="86" t="s">
        <v>442</v>
      </c>
      <c r="G96" s="86">
        <f t="shared" si="14"/>
        <v>2.8E-3</v>
      </c>
      <c r="H96" s="86" t="s">
        <v>1118</v>
      </c>
    </row>
    <row r="97" spans="1:8">
      <c r="A97" s="86">
        <v>11374030</v>
      </c>
      <c r="B97" s="86" t="s">
        <v>1084</v>
      </c>
      <c r="C97" s="86" t="s">
        <v>1083</v>
      </c>
      <c r="D97" s="173" t="s">
        <v>1120</v>
      </c>
      <c r="E97" s="86">
        <v>10</v>
      </c>
      <c r="F97" s="86" t="s">
        <v>442</v>
      </c>
      <c r="G97" s="86">
        <f t="shared" si="14"/>
        <v>1.0000000000000001E-5</v>
      </c>
      <c r="H97" s="86" t="s">
        <v>1118</v>
      </c>
    </row>
    <row r="98" spans="1:8">
      <c r="A98" s="86">
        <v>11374030</v>
      </c>
      <c r="B98" s="86" t="s">
        <v>1084</v>
      </c>
      <c r="C98" s="86" t="s">
        <v>1083</v>
      </c>
      <c r="D98" s="173" t="s">
        <v>1120</v>
      </c>
      <c r="E98" s="86">
        <v>40</v>
      </c>
      <c r="F98" s="86" t="s">
        <v>442</v>
      </c>
      <c r="G98" s="86">
        <f t="shared" si="14"/>
        <v>4.0000000000000003E-5</v>
      </c>
      <c r="H98" s="86" t="s">
        <v>1118</v>
      </c>
    </row>
    <row r="99" spans="1:8">
      <c r="A99" s="86">
        <v>11374030</v>
      </c>
      <c r="B99" s="86" t="s">
        <v>1084</v>
      </c>
      <c r="C99" s="86" t="s">
        <v>1083</v>
      </c>
      <c r="D99" s="173" t="s">
        <v>1121</v>
      </c>
      <c r="E99" s="86">
        <v>40</v>
      </c>
      <c r="F99" s="86" t="s">
        <v>442</v>
      </c>
      <c r="G99" s="86">
        <f t="shared" si="14"/>
        <v>4.0000000000000003E-5</v>
      </c>
      <c r="H99" s="86" t="s">
        <v>1118</v>
      </c>
    </row>
    <row r="100" spans="1:8">
      <c r="A100" s="86">
        <v>11374030</v>
      </c>
      <c r="B100" s="86" t="s">
        <v>1084</v>
      </c>
      <c r="C100" s="86" t="s">
        <v>1083</v>
      </c>
      <c r="D100" s="173" t="s">
        <v>1123</v>
      </c>
      <c r="E100" s="171">
        <v>2100</v>
      </c>
      <c r="F100" s="86" t="s">
        <v>442</v>
      </c>
      <c r="G100" s="86">
        <f t="shared" si="14"/>
        <v>2.0999999999999999E-3</v>
      </c>
      <c r="H100" s="86" t="s">
        <v>1118</v>
      </c>
    </row>
    <row r="101" spans="1:8">
      <c r="A101" s="86">
        <v>11374030</v>
      </c>
      <c r="B101" s="86" t="s">
        <v>1084</v>
      </c>
      <c r="C101" s="86" t="s">
        <v>1083</v>
      </c>
      <c r="D101" s="173" t="s">
        <v>1123</v>
      </c>
      <c r="E101" s="86">
        <v>50</v>
      </c>
      <c r="F101" s="86" t="s">
        <v>442</v>
      </c>
      <c r="G101" s="86">
        <f t="shared" si="14"/>
        <v>5.0000000000000002E-5</v>
      </c>
      <c r="H101" s="86" t="s">
        <v>1118</v>
      </c>
    </row>
    <row r="102" spans="1:8">
      <c r="A102" s="86">
        <v>11374030</v>
      </c>
      <c r="B102" s="86" t="s">
        <v>1084</v>
      </c>
      <c r="C102" s="86" t="s">
        <v>1083</v>
      </c>
      <c r="D102" s="173" t="s">
        <v>1127</v>
      </c>
      <c r="E102" s="171">
        <v>14000</v>
      </c>
      <c r="F102" s="86" t="s">
        <v>442</v>
      </c>
      <c r="G102" s="86">
        <f t="shared" si="14"/>
        <v>1.4E-2</v>
      </c>
      <c r="H102" s="86" t="s">
        <v>1118</v>
      </c>
    </row>
    <row r="103" spans="1:8">
      <c r="A103" s="86">
        <v>11374030</v>
      </c>
      <c r="B103" s="86" t="s">
        <v>1084</v>
      </c>
      <c r="C103" s="86" t="s">
        <v>1083</v>
      </c>
      <c r="D103" s="173" t="s">
        <v>1127</v>
      </c>
      <c r="E103" s="86">
        <v>120</v>
      </c>
      <c r="F103" s="86" t="s">
        <v>442</v>
      </c>
      <c r="G103" s="86">
        <f t="shared" si="14"/>
        <v>1.2E-4</v>
      </c>
      <c r="H103" s="86" t="s">
        <v>1118</v>
      </c>
    </row>
    <row r="104" spans="1:8">
      <c r="A104" s="154" t="s">
        <v>1158</v>
      </c>
      <c r="B104" s="154"/>
      <c r="C104" s="154"/>
      <c r="D104" s="154"/>
      <c r="E104" s="154"/>
      <c r="F104" s="154"/>
      <c r="G104" s="154"/>
      <c r="H104" s="154"/>
    </row>
    <row r="105" spans="1:8">
      <c r="A105" s="86" t="s">
        <v>1092</v>
      </c>
      <c r="B105" s="86" t="s">
        <v>1066</v>
      </c>
      <c r="C105" s="86" t="s">
        <v>1090</v>
      </c>
      <c r="D105" s="12" t="s">
        <v>1159</v>
      </c>
      <c r="E105" s="86">
        <v>0.2</v>
      </c>
      <c r="F105" s="86" t="s">
        <v>1126</v>
      </c>
      <c r="G105" s="86">
        <f>E105/1000000</f>
        <v>2.0000000000000002E-7</v>
      </c>
      <c r="H105" s="86" t="s">
        <v>1118</v>
      </c>
    </row>
    <row r="106" spans="1:8">
      <c r="A106" s="86" t="s">
        <v>1092</v>
      </c>
      <c r="B106" s="86" t="s">
        <v>1066</v>
      </c>
      <c r="C106" s="86" t="s">
        <v>1090</v>
      </c>
      <c r="D106" s="12" t="s">
        <v>1160</v>
      </c>
      <c r="E106" s="86">
        <v>1.5</v>
      </c>
      <c r="F106" s="86" t="s">
        <v>1126</v>
      </c>
      <c r="G106" s="86">
        <f t="shared" ref="G106:G107" si="15">E106/1000000</f>
        <v>1.5E-6</v>
      </c>
      <c r="H106" s="86" t="s">
        <v>1118</v>
      </c>
    </row>
    <row r="107" spans="1:8">
      <c r="A107" s="86" t="s">
        <v>1092</v>
      </c>
      <c r="B107" s="86" t="s">
        <v>1066</v>
      </c>
      <c r="C107" s="86" t="s">
        <v>1090</v>
      </c>
      <c r="D107" s="12" t="s">
        <v>1161</v>
      </c>
      <c r="E107" s="86">
        <v>1.6</v>
      </c>
      <c r="F107" s="86" t="s">
        <v>1126</v>
      </c>
      <c r="G107" s="86">
        <f t="shared" si="15"/>
        <v>1.6000000000000001E-6</v>
      </c>
      <c r="H107" s="86" t="s">
        <v>1118</v>
      </c>
    </row>
  </sheetData>
  <sheetProtection sheet="1" objects="1" scenarios="1" formatCells="0" formatColumns="0" formatRows="0" sort="0" autoFilter="0"/>
  <mergeCells count="19">
    <mergeCell ref="A104:H104"/>
    <mergeCell ref="J19:J20"/>
    <mergeCell ref="J21:J32"/>
    <mergeCell ref="A22:H22"/>
    <mergeCell ref="A32:H32"/>
    <mergeCell ref="A42:H42"/>
    <mergeCell ref="A46:H46"/>
    <mergeCell ref="A48:H48"/>
    <mergeCell ref="A66:H66"/>
    <mergeCell ref="A80:H80"/>
    <mergeCell ref="A83:H83"/>
    <mergeCell ref="A90:H90"/>
    <mergeCell ref="J17:J18"/>
    <mergeCell ref="A18:H18"/>
    <mergeCell ref="A3:H3"/>
    <mergeCell ref="J7:J8"/>
    <mergeCell ref="A9:H9"/>
    <mergeCell ref="J9:J11"/>
    <mergeCell ref="J13:J16"/>
  </mergeCells>
  <hyperlinks>
    <hyperlink ref="D93" r:id="rId1" xr:uid="{3807A1CB-5234-4E61-A48A-C42670155DFA}"/>
  </hyperlinks>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7E1C75-307D-4C00-A2BE-8D4E7750AD86}">
  <sheetPr codeName="Sheet6" filterMode="1">
    <tabColor theme="6" tint="0.39997558519241921"/>
  </sheetPr>
  <dimension ref="A1:AB105"/>
  <sheetViews>
    <sheetView topLeftCell="B1" workbookViewId="0"/>
  </sheetViews>
  <sheetFormatPr defaultRowHeight="14.5" outlineLevelCol="1"/>
  <cols>
    <col min="1" max="1" width="18.453125" style="2" hidden="1" customWidth="1" outlineLevel="1"/>
    <col min="2" max="2" width="32.26953125" style="30" customWidth="1" collapsed="1"/>
    <col min="3" max="4" width="21.453125" style="30" customWidth="1"/>
    <col min="5" max="5" width="40.26953125" style="30" customWidth="1"/>
    <col min="6" max="6" width="28.453125" style="30" customWidth="1"/>
    <col min="7" max="7" width="50.1796875" style="30" customWidth="1"/>
    <col min="8" max="8" width="21.453125" style="30" customWidth="1"/>
    <col min="9" max="9" width="35.54296875" style="30" customWidth="1"/>
    <col min="10" max="10" width="14.1796875" style="30" customWidth="1"/>
    <col min="11" max="11" width="47.81640625" style="30" bestFit="1" customWidth="1"/>
    <col min="12" max="13" width="14.453125" style="86" customWidth="1"/>
    <col min="14" max="14" width="38.81640625" style="30" customWidth="1"/>
    <col min="15" max="18" width="11.453125" style="30" customWidth="1"/>
    <col min="19" max="19" width="21.453125" style="30" customWidth="1"/>
    <col min="20" max="21" width="21.453125" style="2" hidden="1" customWidth="1" outlineLevel="1"/>
    <col min="22" max="22" width="28.453125" style="2" hidden="1" customWidth="1" outlineLevel="1"/>
    <col min="23" max="23" width="21.453125" style="2" hidden="1" customWidth="1" outlineLevel="1"/>
    <col min="24" max="24" width="17.1796875" style="2" hidden="1" customWidth="1" outlineLevel="1"/>
    <col min="25" max="25" width="12.81640625" style="2" hidden="1" customWidth="1" outlineLevel="1"/>
    <col min="26" max="26" width="8.7265625" style="30" collapsed="1"/>
    <col min="27" max="27" width="40.54296875" style="30" customWidth="1"/>
    <col min="28" max="16384" width="8.7265625" style="30"/>
  </cols>
  <sheetData>
    <row r="1" spans="1:28" ht="15" customHeight="1">
      <c r="A1" s="3" t="s">
        <v>1165</v>
      </c>
      <c r="B1" s="174" t="s">
        <v>1166</v>
      </c>
      <c r="C1" s="175" t="s">
        <v>1167</v>
      </c>
      <c r="D1" s="174" t="s">
        <v>1168</v>
      </c>
      <c r="E1" s="174" t="s">
        <v>1169</v>
      </c>
      <c r="F1" s="174" t="s">
        <v>1170</v>
      </c>
      <c r="G1" s="175" t="s">
        <v>1171</v>
      </c>
      <c r="H1" s="174" t="s">
        <v>1172</v>
      </c>
      <c r="I1" s="174" t="s">
        <v>1173</v>
      </c>
      <c r="J1" s="174" t="s">
        <v>1174</v>
      </c>
      <c r="K1" s="175" t="s">
        <v>1175</v>
      </c>
      <c r="L1" s="176" t="s">
        <v>1176</v>
      </c>
      <c r="M1" s="176" t="s">
        <v>1054</v>
      </c>
      <c r="N1" s="174" t="s">
        <v>1177</v>
      </c>
      <c r="O1" s="174" t="s">
        <v>1178</v>
      </c>
      <c r="P1" s="174" t="s">
        <v>1179</v>
      </c>
      <c r="Q1" s="174" t="s">
        <v>1180</v>
      </c>
      <c r="R1" s="174" t="s">
        <v>1181</v>
      </c>
      <c r="S1" s="174" t="s">
        <v>1182</v>
      </c>
      <c r="T1" s="3" t="s">
        <v>1183</v>
      </c>
      <c r="U1" s="3" t="s">
        <v>1184</v>
      </c>
      <c r="V1" s="3" t="s">
        <v>1185</v>
      </c>
      <c r="W1" s="3" t="s">
        <v>1186</v>
      </c>
      <c r="X1" s="3" t="s">
        <v>1187</v>
      </c>
      <c r="Y1" s="3" t="s">
        <v>1188</v>
      </c>
      <c r="AB1" s="174" t="s">
        <v>1189</v>
      </c>
    </row>
    <row r="2" spans="1:28" s="2" customFormat="1" ht="15" hidden="1" customHeight="1">
      <c r="B2" s="2" t="s">
        <v>1190</v>
      </c>
      <c r="C2" s="2" t="s">
        <v>1191</v>
      </c>
      <c r="D2" s="2" t="s">
        <v>1192</v>
      </c>
      <c r="E2" s="2" t="s">
        <v>1193</v>
      </c>
      <c r="F2" s="2" t="s">
        <v>1194</v>
      </c>
      <c r="G2" s="2" t="s">
        <v>1195</v>
      </c>
      <c r="H2" s="2" t="s">
        <v>1196</v>
      </c>
      <c r="I2" s="2" t="s">
        <v>1197</v>
      </c>
      <c r="J2" s="2" t="s">
        <v>1198</v>
      </c>
      <c r="K2" s="2" t="s">
        <v>1199</v>
      </c>
      <c r="L2" s="1">
        <v>100</v>
      </c>
      <c r="M2" s="1">
        <f t="shared" ref="M2:M65" si="0">L2/1000000</f>
        <v>1E-4</v>
      </c>
      <c r="N2" s="2" t="s">
        <v>1200</v>
      </c>
      <c r="O2" s="2" t="s">
        <v>1201</v>
      </c>
      <c r="P2" s="2" t="s">
        <v>1202</v>
      </c>
      <c r="Q2" s="2">
        <v>1334</v>
      </c>
      <c r="S2" s="4">
        <v>45322.634336724535</v>
      </c>
      <c r="T2" s="2" t="s">
        <v>1203</v>
      </c>
      <c r="U2" s="2" t="s">
        <v>1204</v>
      </c>
      <c r="V2" s="2" t="s">
        <v>1205</v>
      </c>
      <c r="W2" s="2" t="s">
        <v>1206</v>
      </c>
      <c r="X2" s="2" t="s">
        <v>1207</v>
      </c>
      <c r="Y2" s="2" t="s">
        <v>1208</v>
      </c>
      <c r="AA2" s="2" t="s">
        <v>1191</v>
      </c>
      <c r="AB2" s="2">
        <f ca="1">AVERAGEIF($C1:C$105,"arts/crafts/needlework", M$2:M$105)</f>
        <v>1.3066666666666669E-3</v>
      </c>
    </row>
    <row r="3" spans="1:28" s="2" customFormat="1" ht="15" hidden="1" customHeight="1">
      <c r="B3" s="2" t="s">
        <v>1190</v>
      </c>
      <c r="C3" s="2" t="s">
        <v>1191</v>
      </c>
      <c r="D3" s="2" t="s">
        <v>1192</v>
      </c>
      <c r="E3" s="2" t="s">
        <v>1193</v>
      </c>
      <c r="F3" s="2" t="s">
        <v>1194</v>
      </c>
      <c r="G3" s="2" t="s">
        <v>1195</v>
      </c>
      <c r="H3" s="2" t="s">
        <v>1196</v>
      </c>
      <c r="I3" s="2" t="s">
        <v>1197</v>
      </c>
      <c r="J3" s="2" t="s">
        <v>1198</v>
      </c>
      <c r="K3" s="2" t="s">
        <v>1199</v>
      </c>
      <c r="L3" s="1">
        <v>100</v>
      </c>
      <c r="M3" s="1">
        <f t="shared" si="0"/>
        <v>1E-4</v>
      </c>
      <c r="N3" s="2" t="s">
        <v>1200</v>
      </c>
      <c r="O3" s="2" t="s">
        <v>1209</v>
      </c>
      <c r="P3" s="2" t="s">
        <v>1210</v>
      </c>
      <c r="S3" s="4">
        <v>44592.538796180554</v>
      </c>
      <c r="T3" s="2" t="s">
        <v>1203</v>
      </c>
      <c r="U3" s="2" t="s">
        <v>1204</v>
      </c>
      <c r="V3" s="2" t="s">
        <v>1205</v>
      </c>
      <c r="W3" s="2" t="s">
        <v>1206</v>
      </c>
      <c r="X3" s="2" t="s">
        <v>1207</v>
      </c>
      <c r="Y3" s="2" t="s">
        <v>1208</v>
      </c>
      <c r="AA3" s="2" t="s">
        <v>1102</v>
      </c>
      <c r="AB3" s="2">
        <f>AVERAGEIF($C1:C$105,"Clothing", M$1:M$105)</f>
        <v>6.1666666666666673E-4</v>
      </c>
    </row>
    <row r="4" spans="1:28" s="2" customFormat="1" ht="15" hidden="1" customHeight="1">
      <c r="B4" s="2" t="s">
        <v>1211</v>
      </c>
      <c r="C4" s="2" t="s">
        <v>1191</v>
      </c>
      <c r="D4" s="2" t="s">
        <v>1192</v>
      </c>
      <c r="E4" s="2" t="s">
        <v>1212</v>
      </c>
      <c r="F4" s="2" t="s">
        <v>1213</v>
      </c>
      <c r="G4" s="2" t="s">
        <v>1214</v>
      </c>
      <c r="H4" s="2" t="s">
        <v>1196</v>
      </c>
      <c r="I4" s="2" t="s">
        <v>1197</v>
      </c>
      <c r="J4" s="2" t="s">
        <v>1198</v>
      </c>
      <c r="K4" s="2" t="s">
        <v>1199</v>
      </c>
      <c r="L4" s="1">
        <v>100</v>
      </c>
      <c r="M4" s="1">
        <f t="shared" si="0"/>
        <v>1E-4</v>
      </c>
      <c r="N4" s="2" t="s">
        <v>1215</v>
      </c>
      <c r="O4" s="2" t="s">
        <v>1209</v>
      </c>
      <c r="P4" s="2" t="s">
        <v>1216</v>
      </c>
      <c r="S4" s="4">
        <v>44201.187900925928</v>
      </c>
      <c r="T4" s="2" t="s">
        <v>1217</v>
      </c>
      <c r="U4" s="2" t="s">
        <v>1218</v>
      </c>
      <c r="V4" s="2" t="s">
        <v>1219</v>
      </c>
      <c r="W4" s="2" t="s">
        <v>1220</v>
      </c>
      <c r="X4" s="2" t="s">
        <v>1221</v>
      </c>
      <c r="Y4" s="2" t="s">
        <v>1208</v>
      </c>
      <c r="AA4" s="2" t="s">
        <v>260</v>
      </c>
      <c r="AB4" s="2">
        <f>AVERAGEIF($C1:C$105,"Footwear", M$1:M$105)</f>
        <v>1E-4</v>
      </c>
    </row>
    <row r="5" spans="1:28" s="2" customFormat="1" ht="15" hidden="1" customHeight="1">
      <c r="B5" s="2" t="s">
        <v>1190</v>
      </c>
      <c r="C5" s="2" t="s">
        <v>1191</v>
      </c>
      <c r="D5" s="2" t="s">
        <v>1192</v>
      </c>
      <c r="E5" s="2" t="s">
        <v>1193</v>
      </c>
      <c r="F5" s="2" t="s">
        <v>1194</v>
      </c>
      <c r="G5" s="2" t="s">
        <v>1195</v>
      </c>
      <c r="H5" s="2" t="s">
        <v>1196</v>
      </c>
      <c r="I5" s="2" t="s">
        <v>1197</v>
      </c>
      <c r="J5" s="2" t="s">
        <v>1198</v>
      </c>
      <c r="K5" s="2" t="s">
        <v>1199</v>
      </c>
      <c r="L5" s="1">
        <v>100</v>
      </c>
      <c r="M5" s="1">
        <f t="shared" si="0"/>
        <v>1E-4</v>
      </c>
      <c r="N5" s="2" t="s">
        <v>1200</v>
      </c>
      <c r="O5" s="2" t="s">
        <v>1209</v>
      </c>
      <c r="P5" s="2" t="s">
        <v>1222</v>
      </c>
      <c r="S5" s="4">
        <v>45322.539872337962</v>
      </c>
      <c r="T5" s="2" t="s">
        <v>1203</v>
      </c>
      <c r="U5" s="2" t="s">
        <v>1204</v>
      </c>
      <c r="V5" s="2" t="s">
        <v>1205</v>
      </c>
      <c r="W5" s="2" t="s">
        <v>1206</v>
      </c>
      <c r="X5" s="2" t="s">
        <v>1207</v>
      </c>
      <c r="Y5" s="2" t="s">
        <v>1208</v>
      </c>
      <c r="AA5" s="2" t="s">
        <v>1223</v>
      </c>
      <c r="AB5" s="2">
        <f>AVERAGEIF($C1:C$105,"Personal Accessories", M$1:M$105)</f>
        <v>2.0000000000000001E-4</v>
      </c>
    </row>
    <row r="6" spans="1:28" s="2" customFormat="1" ht="15" hidden="1" customHeight="1">
      <c r="B6" s="2" t="s">
        <v>1190</v>
      </c>
      <c r="C6" s="2" t="s">
        <v>1191</v>
      </c>
      <c r="D6" s="2" t="s">
        <v>1192</v>
      </c>
      <c r="E6" s="2" t="s">
        <v>1193</v>
      </c>
      <c r="F6" s="2" t="s">
        <v>1194</v>
      </c>
      <c r="G6" s="2" t="s">
        <v>1195</v>
      </c>
      <c r="H6" s="2" t="s">
        <v>1196</v>
      </c>
      <c r="I6" s="2" t="s">
        <v>1197</v>
      </c>
      <c r="J6" s="2" t="s">
        <v>1198</v>
      </c>
      <c r="K6" s="2" t="s">
        <v>1199</v>
      </c>
      <c r="L6" s="1">
        <v>100</v>
      </c>
      <c r="M6" s="1">
        <f t="shared" si="0"/>
        <v>1E-4</v>
      </c>
      <c r="N6" s="2" t="s">
        <v>1200</v>
      </c>
      <c r="O6" s="2" t="s">
        <v>1209</v>
      </c>
      <c r="P6" s="2" t="s">
        <v>1224</v>
      </c>
      <c r="S6" s="4">
        <v>44957.010267094905</v>
      </c>
      <c r="T6" s="2" t="s">
        <v>1203</v>
      </c>
      <c r="U6" s="2" t="s">
        <v>1204</v>
      </c>
      <c r="V6" s="2" t="s">
        <v>1205</v>
      </c>
      <c r="W6" s="2" t="s">
        <v>1206</v>
      </c>
      <c r="X6" s="2" t="s">
        <v>1207</v>
      </c>
      <c r="Y6" s="2" t="s">
        <v>1208</v>
      </c>
      <c r="AA6" s="2" t="s">
        <v>1225</v>
      </c>
      <c r="AB6" s="2">
        <f>AVERAGEIF($C1:C$105,"Stationery/Office Machinery/Occasion Supplies", M$1:M$105)</f>
        <v>5.0000000000000001E-4</v>
      </c>
    </row>
    <row r="7" spans="1:28" s="2" customFormat="1" ht="15" hidden="1" customHeight="1">
      <c r="B7" s="2" t="s">
        <v>1211</v>
      </c>
      <c r="C7" s="2" t="s">
        <v>1191</v>
      </c>
      <c r="D7" s="2" t="s">
        <v>1192</v>
      </c>
      <c r="E7" s="2" t="s">
        <v>1212</v>
      </c>
      <c r="F7" s="2" t="s">
        <v>1213</v>
      </c>
      <c r="G7" s="2" t="s">
        <v>1214</v>
      </c>
      <c r="H7" s="2" t="s">
        <v>1196</v>
      </c>
      <c r="I7" s="2" t="s">
        <v>1197</v>
      </c>
      <c r="J7" s="2" t="s">
        <v>1198</v>
      </c>
      <c r="K7" s="2" t="s">
        <v>1199</v>
      </c>
      <c r="L7" s="1">
        <v>100</v>
      </c>
      <c r="M7" s="1">
        <f t="shared" si="0"/>
        <v>1E-4</v>
      </c>
      <c r="N7" s="2" t="s">
        <v>1215</v>
      </c>
      <c r="O7" s="2" t="s">
        <v>1209</v>
      </c>
      <c r="P7" s="2" t="s">
        <v>1210</v>
      </c>
      <c r="S7" s="4">
        <v>44553.204362349534</v>
      </c>
      <c r="T7" s="2" t="s">
        <v>1217</v>
      </c>
      <c r="U7" s="2" t="s">
        <v>1218</v>
      </c>
      <c r="V7" s="2" t="s">
        <v>1219</v>
      </c>
      <c r="W7" s="2" t="s">
        <v>1220</v>
      </c>
      <c r="X7" s="2" t="s">
        <v>1221</v>
      </c>
      <c r="Y7" s="2" t="s">
        <v>1208</v>
      </c>
      <c r="AA7" s="2" t="s">
        <v>1226</v>
      </c>
      <c r="AB7" s="2">
        <f>AVERAGEIF(C1:C$105,"Toys/Games", M$1:M$105)</f>
        <v>7.2031250000000025E-4</v>
      </c>
    </row>
    <row r="8" spans="1:28" s="2" customFormat="1" ht="15" hidden="1" customHeight="1">
      <c r="B8" s="2" t="s">
        <v>1227</v>
      </c>
      <c r="C8" s="2" t="s">
        <v>1191</v>
      </c>
      <c r="D8" s="2" t="s">
        <v>1192</v>
      </c>
      <c r="E8" s="2" t="s">
        <v>1228</v>
      </c>
      <c r="F8" s="2" t="s">
        <v>1229</v>
      </c>
      <c r="G8" s="2" t="s">
        <v>1214</v>
      </c>
      <c r="H8" s="2" t="s">
        <v>1196</v>
      </c>
      <c r="I8" s="2" t="s">
        <v>1197</v>
      </c>
      <c r="J8" s="2" t="s">
        <v>1198</v>
      </c>
      <c r="K8" s="2" t="s">
        <v>1230</v>
      </c>
      <c r="L8" s="1">
        <v>500</v>
      </c>
      <c r="M8" s="1">
        <f t="shared" si="0"/>
        <v>5.0000000000000001E-4</v>
      </c>
      <c r="N8" s="2" t="s">
        <v>1231</v>
      </c>
      <c r="O8" s="2" t="s">
        <v>1209</v>
      </c>
      <c r="P8" s="2" t="s">
        <v>1216</v>
      </c>
      <c r="S8" s="4">
        <v>44207.670630127315</v>
      </c>
      <c r="T8" s="2" t="s">
        <v>1232</v>
      </c>
      <c r="V8" s="2" t="s">
        <v>1233</v>
      </c>
      <c r="W8" s="2" t="s">
        <v>1234</v>
      </c>
      <c r="X8" s="2" t="s">
        <v>1235</v>
      </c>
      <c r="Y8" s="2" t="s">
        <v>1208</v>
      </c>
    </row>
    <row r="9" spans="1:28" s="2" customFormat="1" ht="15" hidden="1" customHeight="1">
      <c r="B9" s="2" t="s">
        <v>1227</v>
      </c>
      <c r="C9" s="2" t="s">
        <v>1191</v>
      </c>
      <c r="D9" s="2" t="s">
        <v>1192</v>
      </c>
      <c r="E9" s="2" t="s">
        <v>1212</v>
      </c>
      <c r="F9" s="2" t="s">
        <v>1213</v>
      </c>
      <c r="G9" s="2" t="s">
        <v>1214</v>
      </c>
      <c r="H9" s="2" t="s">
        <v>1196</v>
      </c>
      <c r="I9" s="2" t="s">
        <v>1197</v>
      </c>
      <c r="J9" s="2" t="s">
        <v>1198</v>
      </c>
      <c r="K9" s="2" t="s">
        <v>1230</v>
      </c>
      <c r="L9" s="1">
        <v>500</v>
      </c>
      <c r="M9" s="1">
        <f t="shared" si="0"/>
        <v>5.0000000000000001E-4</v>
      </c>
      <c r="N9" s="2" t="s">
        <v>1231</v>
      </c>
      <c r="O9" s="2" t="s">
        <v>1209</v>
      </c>
      <c r="P9" s="2" t="s">
        <v>1216</v>
      </c>
      <c r="S9" s="4">
        <v>44207.670630127315</v>
      </c>
      <c r="T9" s="2" t="s">
        <v>1232</v>
      </c>
      <c r="V9" s="2" t="s">
        <v>1233</v>
      </c>
      <c r="W9" s="2" t="s">
        <v>1234</v>
      </c>
      <c r="X9" s="2" t="s">
        <v>1235</v>
      </c>
      <c r="Y9" s="2" t="s">
        <v>1208</v>
      </c>
    </row>
    <row r="10" spans="1:28" s="2" customFormat="1" ht="15" hidden="1" customHeight="1">
      <c r="B10" s="2" t="s">
        <v>1227</v>
      </c>
      <c r="C10" s="2" t="s">
        <v>1191</v>
      </c>
      <c r="D10" s="2" t="s">
        <v>1192</v>
      </c>
      <c r="E10" s="2" t="s">
        <v>1212</v>
      </c>
      <c r="F10" s="2" t="s">
        <v>1213</v>
      </c>
      <c r="G10" s="2" t="s">
        <v>1236</v>
      </c>
      <c r="H10" s="2" t="s">
        <v>1196</v>
      </c>
      <c r="I10" s="2" t="s">
        <v>1197</v>
      </c>
      <c r="J10" s="2" t="s">
        <v>1198</v>
      </c>
      <c r="K10" s="2" t="s">
        <v>1230</v>
      </c>
      <c r="L10" s="1">
        <v>500</v>
      </c>
      <c r="M10" s="1">
        <f t="shared" si="0"/>
        <v>5.0000000000000001E-4</v>
      </c>
      <c r="N10" s="2" t="s">
        <v>1231</v>
      </c>
      <c r="O10" s="2" t="s">
        <v>1209</v>
      </c>
      <c r="P10" s="2" t="s">
        <v>1216</v>
      </c>
      <c r="S10" s="4">
        <v>44207.670630127315</v>
      </c>
      <c r="T10" s="2" t="s">
        <v>1232</v>
      </c>
      <c r="V10" s="2" t="s">
        <v>1233</v>
      </c>
      <c r="W10" s="2" t="s">
        <v>1234</v>
      </c>
      <c r="X10" s="2" t="s">
        <v>1235</v>
      </c>
      <c r="Y10" s="2" t="s">
        <v>1208</v>
      </c>
    </row>
    <row r="11" spans="1:28" s="2" customFormat="1" ht="15" hidden="1" customHeight="1">
      <c r="B11" s="2" t="s">
        <v>1237</v>
      </c>
      <c r="C11" s="2" t="s">
        <v>1191</v>
      </c>
      <c r="D11" s="2" t="s">
        <v>1192</v>
      </c>
      <c r="E11" s="2" t="s">
        <v>1238</v>
      </c>
      <c r="F11" s="2" t="s">
        <v>1239</v>
      </c>
      <c r="G11" s="2" t="s">
        <v>1195</v>
      </c>
      <c r="I11" s="2" t="s">
        <v>1197</v>
      </c>
      <c r="J11" s="2" t="s">
        <v>1198</v>
      </c>
      <c r="K11" s="2" t="s">
        <v>1230</v>
      </c>
      <c r="L11" s="1">
        <v>500</v>
      </c>
      <c r="M11" s="1">
        <f t="shared" si="0"/>
        <v>5.0000000000000001E-4</v>
      </c>
      <c r="N11" s="2" t="s">
        <v>1231</v>
      </c>
      <c r="O11" s="2" t="s">
        <v>1209</v>
      </c>
      <c r="P11" s="2" t="s">
        <v>1216</v>
      </c>
      <c r="S11" s="4">
        <v>44335.457640428242</v>
      </c>
      <c r="T11" s="2" t="s">
        <v>1240</v>
      </c>
      <c r="U11" s="2" t="s">
        <v>1241</v>
      </c>
      <c r="V11" s="2" t="s">
        <v>1242</v>
      </c>
      <c r="W11" s="2" t="s">
        <v>1243</v>
      </c>
      <c r="X11" s="2" t="s">
        <v>1244</v>
      </c>
      <c r="Y11" s="2" t="s">
        <v>1208</v>
      </c>
    </row>
    <row r="12" spans="1:28" s="2" customFormat="1" ht="15" hidden="1" customHeight="1">
      <c r="B12" s="2" t="s">
        <v>1245</v>
      </c>
      <c r="C12" s="2" t="s">
        <v>1191</v>
      </c>
      <c r="D12" s="2" t="s">
        <v>1192</v>
      </c>
      <c r="E12" s="2" t="s">
        <v>1212</v>
      </c>
      <c r="F12" s="2" t="s">
        <v>1213</v>
      </c>
      <c r="G12" s="2" t="s">
        <v>1195</v>
      </c>
      <c r="H12" s="2" t="s">
        <v>1246</v>
      </c>
      <c r="I12" s="2" t="s">
        <v>1247</v>
      </c>
      <c r="J12" s="2" t="s">
        <v>1198</v>
      </c>
      <c r="K12" s="2" t="s">
        <v>1248</v>
      </c>
      <c r="L12" s="1">
        <v>1000</v>
      </c>
      <c r="M12" s="1">
        <f t="shared" si="0"/>
        <v>1E-3</v>
      </c>
      <c r="N12" s="2" t="s">
        <v>1231</v>
      </c>
      <c r="O12" s="2" t="s">
        <v>1209</v>
      </c>
      <c r="P12" s="2" t="s">
        <v>1249</v>
      </c>
      <c r="S12" s="4">
        <v>43511.073609224535</v>
      </c>
      <c r="T12" s="2" t="s">
        <v>1250</v>
      </c>
      <c r="V12" s="2" t="s">
        <v>1242</v>
      </c>
      <c r="W12" s="2" t="s">
        <v>1251</v>
      </c>
      <c r="X12" s="2" t="s">
        <v>1252</v>
      </c>
      <c r="Y12" s="2" t="s">
        <v>1208</v>
      </c>
    </row>
    <row r="13" spans="1:28" s="2" customFormat="1" ht="15" hidden="1" customHeight="1">
      <c r="B13" s="2" t="s">
        <v>1227</v>
      </c>
      <c r="C13" s="2" t="s">
        <v>1191</v>
      </c>
      <c r="D13" s="2" t="s">
        <v>1192</v>
      </c>
      <c r="E13" s="2" t="s">
        <v>1212</v>
      </c>
      <c r="F13" s="2" t="s">
        <v>1213</v>
      </c>
      <c r="G13" s="2" t="s">
        <v>1195</v>
      </c>
      <c r="H13" s="2" t="s">
        <v>1196</v>
      </c>
      <c r="I13" s="2" t="s">
        <v>1197</v>
      </c>
      <c r="J13" s="2" t="s">
        <v>1198</v>
      </c>
      <c r="K13" s="2" t="s">
        <v>1248</v>
      </c>
      <c r="L13" s="1">
        <v>1000</v>
      </c>
      <c r="M13" s="1">
        <f t="shared" si="0"/>
        <v>1E-3</v>
      </c>
      <c r="N13" s="2" t="s">
        <v>1231</v>
      </c>
      <c r="O13" s="2" t="s">
        <v>1209</v>
      </c>
      <c r="P13" s="2" t="s">
        <v>1216</v>
      </c>
      <c r="S13" s="4">
        <v>44207.670630127315</v>
      </c>
      <c r="T13" s="2" t="s">
        <v>1232</v>
      </c>
      <c r="V13" s="2" t="s">
        <v>1233</v>
      </c>
      <c r="W13" s="2" t="s">
        <v>1234</v>
      </c>
      <c r="X13" s="2" t="s">
        <v>1235</v>
      </c>
      <c r="Y13" s="2" t="s">
        <v>1208</v>
      </c>
    </row>
    <row r="14" spans="1:28" s="2" customFormat="1" ht="15" hidden="1" customHeight="1">
      <c r="B14" s="2" t="s">
        <v>1253</v>
      </c>
      <c r="C14" s="2" t="s">
        <v>1191</v>
      </c>
      <c r="D14" s="2" t="s">
        <v>1192</v>
      </c>
      <c r="E14" s="2" t="s">
        <v>1238</v>
      </c>
      <c r="F14" s="2" t="s">
        <v>1239</v>
      </c>
      <c r="G14" s="2" t="s">
        <v>1195</v>
      </c>
      <c r="H14" s="2" t="s">
        <v>1246</v>
      </c>
      <c r="I14" s="2" t="s">
        <v>1247</v>
      </c>
      <c r="J14" s="2" t="s">
        <v>1198</v>
      </c>
      <c r="K14" s="2" t="s">
        <v>1254</v>
      </c>
      <c r="L14" s="1">
        <v>5000</v>
      </c>
      <c r="M14" s="1">
        <f t="shared" si="0"/>
        <v>5.0000000000000001E-3</v>
      </c>
      <c r="N14" s="2" t="s">
        <v>1200</v>
      </c>
      <c r="O14" s="2" t="s">
        <v>1209</v>
      </c>
      <c r="P14" s="2" t="s">
        <v>1255</v>
      </c>
      <c r="S14" s="4">
        <v>43440.525699537036</v>
      </c>
      <c r="T14" s="2" t="s">
        <v>1256</v>
      </c>
      <c r="V14" s="2" t="s">
        <v>1257</v>
      </c>
      <c r="W14" s="2" t="s">
        <v>1258</v>
      </c>
      <c r="X14" s="2" t="s">
        <v>1259</v>
      </c>
      <c r="Y14" s="2" t="s">
        <v>1208</v>
      </c>
    </row>
    <row r="15" spans="1:28" s="2" customFormat="1" ht="15" hidden="1" customHeight="1">
      <c r="B15" s="2" t="s">
        <v>1245</v>
      </c>
      <c r="C15" s="2" t="s">
        <v>1191</v>
      </c>
      <c r="D15" s="2" t="s">
        <v>1192</v>
      </c>
      <c r="E15" s="2" t="s">
        <v>1238</v>
      </c>
      <c r="F15" s="2" t="s">
        <v>1239</v>
      </c>
      <c r="G15" s="2" t="s">
        <v>1195</v>
      </c>
      <c r="H15" s="2" t="s">
        <v>1246</v>
      </c>
      <c r="I15" s="2" t="s">
        <v>1247</v>
      </c>
      <c r="J15" s="2" t="s">
        <v>1198</v>
      </c>
      <c r="K15" s="2" t="s">
        <v>1254</v>
      </c>
      <c r="L15" s="1">
        <v>5000</v>
      </c>
      <c r="M15" s="1">
        <f t="shared" si="0"/>
        <v>5.0000000000000001E-3</v>
      </c>
      <c r="N15" s="2" t="s">
        <v>1231</v>
      </c>
      <c r="O15" s="2" t="s">
        <v>1209</v>
      </c>
      <c r="P15" s="2" t="s">
        <v>1249</v>
      </c>
      <c r="S15" s="4">
        <v>43511.068081793979</v>
      </c>
      <c r="T15" s="2" t="s">
        <v>1250</v>
      </c>
      <c r="V15" s="2" t="s">
        <v>1242</v>
      </c>
      <c r="W15" s="2" t="s">
        <v>1251</v>
      </c>
      <c r="X15" s="2" t="s">
        <v>1252</v>
      </c>
      <c r="Y15" s="2" t="s">
        <v>1208</v>
      </c>
    </row>
    <row r="16" spans="1:28" s="2" customFormat="1" ht="15" hidden="1" customHeight="1">
      <c r="B16" s="2" t="s">
        <v>1245</v>
      </c>
      <c r="C16" s="2" t="s">
        <v>1191</v>
      </c>
      <c r="D16" s="2" t="s">
        <v>1192</v>
      </c>
      <c r="E16" s="2" t="s">
        <v>1238</v>
      </c>
      <c r="F16" s="2" t="s">
        <v>1239</v>
      </c>
      <c r="G16" s="2" t="s">
        <v>1195</v>
      </c>
      <c r="H16" s="2" t="s">
        <v>1260</v>
      </c>
      <c r="I16" s="2" t="s">
        <v>1247</v>
      </c>
      <c r="J16" s="2" t="s">
        <v>1198</v>
      </c>
      <c r="K16" s="2" t="s">
        <v>1254</v>
      </c>
      <c r="L16" s="1">
        <v>5000</v>
      </c>
      <c r="M16" s="1">
        <f t="shared" si="0"/>
        <v>5.0000000000000001E-3</v>
      </c>
      <c r="N16" s="2" t="s">
        <v>1231</v>
      </c>
      <c r="O16" s="2" t="s">
        <v>1209</v>
      </c>
      <c r="P16" s="2" t="s">
        <v>1249</v>
      </c>
      <c r="S16" s="4">
        <v>43511.115487118055</v>
      </c>
      <c r="T16" s="2" t="s">
        <v>1250</v>
      </c>
      <c r="V16" s="2" t="s">
        <v>1242</v>
      </c>
      <c r="W16" s="2" t="s">
        <v>1251</v>
      </c>
      <c r="X16" s="2" t="s">
        <v>1252</v>
      </c>
      <c r="Y16" s="2" t="s">
        <v>1208</v>
      </c>
    </row>
    <row r="17" spans="1:25" ht="15" customHeight="1">
      <c r="B17" s="30" t="s">
        <v>1261</v>
      </c>
      <c r="C17" s="30" t="s">
        <v>1102</v>
      </c>
      <c r="D17" s="30" t="s">
        <v>1102</v>
      </c>
      <c r="E17" s="30" t="s">
        <v>1262</v>
      </c>
      <c r="F17" s="30" t="s">
        <v>1263</v>
      </c>
      <c r="G17" s="30" t="s">
        <v>1264</v>
      </c>
      <c r="H17" s="30" t="s">
        <v>1246</v>
      </c>
      <c r="I17" s="30" t="s">
        <v>1247</v>
      </c>
      <c r="J17" s="30" t="s">
        <v>1198</v>
      </c>
      <c r="K17" s="30" t="s">
        <v>1199</v>
      </c>
      <c r="L17" s="86">
        <v>100</v>
      </c>
      <c r="M17" s="86">
        <f t="shared" si="0"/>
        <v>1E-4</v>
      </c>
      <c r="N17" s="30" t="s">
        <v>1265</v>
      </c>
      <c r="O17" s="30" t="s">
        <v>1209</v>
      </c>
      <c r="P17" s="30" t="s">
        <v>1255</v>
      </c>
      <c r="S17" s="177">
        <v>43462.016878553244</v>
      </c>
      <c r="T17" s="2" t="s">
        <v>1266</v>
      </c>
      <c r="V17" s="2" t="s">
        <v>1267</v>
      </c>
      <c r="W17" s="2" t="s">
        <v>1268</v>
      </c>
      <c r="X17" s="2" t="s">
        <v>1269</v>
      </c>
      <c r="Y17" s="2" t="s">
        <v>1208</v>
      </c>
    </row>
    <row r="18" spans="1:25" ht="15" customHeight="1">
      <c r="B18" s="30" t="s">
        <v>1261</v>
      </c>
      <c r="C18" s="30" t="s">
        <v>1102</v>
      </c>
      <c r="D18" s="30" t="s">
        <v>1102</v>
      </c>
      <c r="E18" s="30" t="s">
        <v>1262</v>
      </c>
      <c r="F18" s="30" t="s">
        <v>1263</v>
      </c>
      <c r="G18" s="30" t="s">
        <v>1195</v>
      </c>
      <c r="H18" s="30" t="s">
        <v>1246</v>
      </c>
      <c r="I18" s="30" t="s">
        <v>1247</v>
      </c>
      <c r="J18" s="30" t="s">
        <v>1198</v>
      </c>
      <c r="K18" s="30" t="s">
        <v>1199</v>
      </c>
      <c r="L18" s="86">
        <v>100</v>
      </c>
      <c r="M18" s="86">
        <f t="shared" si="0"/>
        <v>1E-4</v>
      </c>
      <c r="N18" s="30" t="s">
        <v>1265</v>
      </c>
      <c r="O18" s="30" t="s">
        <v>1209</v>
      </c>
      <c r="P18" s="30" t="s">
        <v>1255</v>
      </c>
      <c r="S18" s="177">
        <v>43462.016878553244</v>
      </c>
      <c r="T18" s="2" t="s">
        <v>1266</v>
      </c>
      <c r="V18" s="2" t="s">
        <v>1267</v>
      </c>
      <c r="W18" s="2" t="s">
        <v>1268</v>
      </c>
      <c r="X18" s="2" t="s">
        <v>1269</v>
      </c>
      <c r="Y18" s="2" t="s">
        <v>1208</v>
      </c>
    </row>
    <row r="19" spans="1:25" ht="15" customHeight="1">
      <c r="B19" s="30" t="s">
        <v>1261</v>
      </c>
      <c r="C19" s="30" t="s">
        <v>1102</v>
      </c>
      <c r="D19" s="30" t="s">
        <v>1102</v>
      </c>
      <c r="E19" s="30" t="s">
        <v>1270</v>
      </c>
      <c r="F19" s="30" t="s">
        <v>1271</v>
      </c>
      <c r="G19" s="30" t="s">
        <v>1264</v>
      </c>
      <c r="H19" s="30" t="s">
        <v>1246</v>
      </c>
      <c r="I19" s="30" t="s">
        <v>1247</v>
      </c>
      <c r="J19" s="30" t="s">
        <v>1198</v>
      </c>
      <c r="K19" s="30" t="s">
        <v>1199</v>
      </c>
      <c r="L19" s="86">
        <v>100</v>
      </c>
      <c r="M19" s="86">
        <f t="shared" si="0"/>
        <v>1E-4</v>
      </c>
      <c r="N19" s="30" t="s">
        <v>1265</v>
      </c>
      <c r="O19" s="30" t="s">
        <v>1209</v>
      </c>
      <c r="P19" s="30" t="s">
        <v>1255</v>
      </c>
      <c r="S19" s="177">
        <v>43462.019905474539</v>
      </c>
      <c r="T19" s="2" t="s">
        <v>1266</v>
      </c>
      <c r="V19" s="2" t="s">
        <v>1267</v>
      </c>
      <c r="W19" s="2" t="s">
        <v>1268</v>
      </c>
      <c r="X19" s="2" t="s">
        <v>1269</v>
      </c>
      <c r="Y19" s="2" t="s">
        <v>1208</v>
      </c>
    </row>
    <row r="20" spans="1:25" ht="15" customHeight="1">
      <c r="B20" s="30" t="s">
        <v>1261</v>
      </c>
      <c r="C20" s="30" t="s">
        <v>1102</v>
      </c>
      <c r="D20" s="30" t="s">
        <v>1102</v>
      </c>
      <c r="E20" s="30" t="s">
        <v>1270</v>
      </c>
      <c r="F20" s="30" t="s">
        <v>1271</v>
      </c>
      <c r="G20" s="30" t="s">
        <v>1272</v>
      </c>
      <c r="H20" s="30" t="s">
        <v>1246</v>
      </c>
      <c r="I20" s="30" t="s">
        <v>1247</v>
      </c>
      <c r="J20" s="30" t="s">
        <v>1198</v>
      </c>
      <c r="K20" s="30" t="s">
        <v>1199</v>
      </c>
      <c r="L20" s="86">
        <v>100</v>
      </c>
      <c r="M20" s="86">
        <f t="shared" si="0"/>
        <v>1E-4</v>
      </c>
      <c r="N20" s="30" t="s">
        <v>1265</v>
      </c>
      <c r="O20" s="30" t="s">
        <v>1209</v>
      </c>
      <c r="P20" s="30" t="s">
        <v>1255</v>
      </c>
      <c r="S20" s="177">
        <v>43462.019905474539</v>
      </c>
      <c r="T20" s="2" t="s">
        <v>1266</v>
      </c>
      <c r="V20" s="2" t="s">
        <v>1267</v>
      </c>
      <c r="W20" s="2" t="s">
        <v>1268</v>
      </c>
      <c r="X20" s="2" t="s">
        <v>1269</v>
      </c>
      <c r="Y20" s="2" t="s">
        <v>1208</v>
      </c>
    </row>
    <row r="21" spans="1:25" ht="15" customHeight="1">
      <c r="B21" s="30" t="s">
        <v>1261</v>
      </c>
      <c r="C21" s="30" t="s">
        <v>1102</v>
      </c>
      <c r="D21" s="30" t="s">
        <v>1102</v>
      </c>
      <c r="E21" s="30" t="s">
        <v>1273</v>
      </c>
      <c r="F21" s="30" t="s">
        <v>1274</v>
      </c>
      <c r="G21" s="30" t="s">
        <v>1264</v>
      </c>
      <c r="H21" s="30" t="s">
        <v>1246</v>
      </c>
      <c r="I21" s="30" t="s">
        <v>1247</v>
      </c>
      <c r="J21" s="30" t="s">
        <v>1198</v>
      </c>
      <c r="K21" s="30" t="s">
        <v>1199</v>
      </c>
      <c r="L21" s="86">
        <v>100</v>
      </c>
      <c r="M21" s="86">
        <f t="shared" si="0"/>
        <v>1E-4</v>
      </c>
      <c r="N21" s="30" t="s">
        <v>1265</v>
      </c>
      <c r="O21" s="30" t="s">
        <v>1209</v>
      </c>
      <c r="P21" s="30" t="s">
        <v>1255</v>
      </c>
      <c r="S21" s="177">
        <v>43462.025149039349</v>
      </c>
      <c r="T21" s="2" t="s">
        <v>1266</v>
      </c>
      <c r="V21" s="2" t="s">
        <v>1267</v>
      </c>
      <c r="W21" s="2" t="s">
        <v>1268</v>
      </c>
      <c r="X21" s="2" t="s">
        <v>1269</v>
      </c>
      <c r="Y21" s="2" t="s">
        <v>1208</v>
      </c>
    </row>
    <row r="22" spans="1:25" ht="15" customHeight="1">
      <c r="B22" s="30" t="s">
        <v>1261</v>
      </c>
      <c r="C22" s="30" t="s">
        <v>1102</v>
      </c>
      <c r="D22" s="30" t="s">
        <v>1102</v>
      </c>
      <c r="E22" s="30" t="s">
        <v>1273</v>
      </c>
      <c r="F22" s="30" t="s">
        <v>1274</v>
      </c>
      <c r="G22" s="30" t="s">
        <v>1272</v>
      </c>
      <c r="H22" s="30" t="s">
        <v>1246</v>
      </c>
      <c r="I22" s="30" t="s">
        <v>1247</v>
      </c>
      <c r="J22" s="30" t="s">
        <v>1198</v>
      </c>
      <c r="K22" s="30" t="s">
        <v>1199</v>
      </c>
      <c r="L22" s="86">
        <v>100</v>
      </c>
      <c r="M22" s="86">
        <f t="shared" si="0"/>
        <v>1E-4</v>
      </c>
      <c r="N22" s="30" t="s">
        <v>1265</v>
      </c>
      <c r="O22" s="30" t="s">
        <v>1209</v>
      </c>
      <c r="P22" s="30" t="s">
        <v>1255</v>
      </c>
      <c r="S22" s="177">
        <v>43462.025149039349</v>
      </c>
      <c r="T22" s="2" t="s">
        <v>1266</v>
      </c>
      <c r="V22" s="2" t="s">
        <v>1267</v>
      </c>
      <c r="W22" s="2" t="s">
        <v>1268</v>
      </c>
      <c r="X22" s="2" t="s">
        <v>1269</v>
      </c>
      <c r="Y22" s="2" t="s">
        <v>1208</v>
      </c>
    </row>
    <row r="23" spans="1:25" ht="15" customHeight="1">
      <c r="B23" s="30" t="s">
        <v>1261</v>
      </c>
      <c r="C23" s="30" t="s">
        <v>1102</v>
      </c>
      <c r="D23" s="30" t="s">
        <v>1102</v>
      </c>
      <c r="E23" s="30" t="s">
        <v>1275</v>
      </c>
      <c r="F23" s="30" t="s">
        <v>1276</v>
      </c>
      <c r="G23" s="30" t="s">
        <v>1272</v>
      </c>
      <c r="H23" s="30" t="s">
        <v>1246</v>
      </c>
      <c r="I23" s="30" t="s">
        <v>1247</v>
      </c>
      <c r="J23" s="30" t="s">
        <v>1198</v>
      </c>
      <c r="K23" s="30" t="s">
        <v>1199</v>
      </c>
      <c r="L23" s="86">
        <v>100</v>
      </c>
      <c r="M23" s="86">
        <f t="shared" si="0"/>
        <v>1E-4</v>
      </c>
      <c r="N23" s="30" t="s">
        <v>1265</v>
      </c>
      <c r="O23" s="30" t="s">
        <v>1209</v>
      </c>
      <c r="P23" s="30" t="s">
        <v>1255</v>
      </c>
      <c r="S23" s="177">
        <v>43462.030102280092</v>
      </c>
      <c r="T23" s="2" t="s">
        <v>1266</v>
      </c>
      <c r="V23" s="2" t="s">
        <v>1267</v>
      </c>
      <c r="W23" s="2" t="s">
        <v>1268</v>
      </c>
      <c r="X23" s="2" t="s">
        <v>1269</v>
      </c>
      <c r="Y23" s="2" t="s">
        <v>1208</v>
      </c>
    </row>
    <row r="24" spans="1:25" ht="15" customHeight="1">
      <c r="B24" s="30" t="s">
        <v>1277</v>
      </c>
      <c r="C24" s="30" t="s">
        <v>1102</v>
      </c>
      <c r="D24" s="30" t="s">
        <v>1102</v>
      </c>
      <c r="E24" s="30" t="s">
        <v>1278</v>
      </c>
      <c r="F24" s="30" t="s">
        <v>1279</v>
      </c>
      <c r="G24" s="30" t="s">
        <v>1280</v>
      </c>
      <c r="H24" s="30" t="s">
        <v>1196</v>
      </c>
      <c r="I24" s="30" t="s">
        <v>1197</v>
      </c>
      <c r="J24" s="30" t="s">
        <v>1198</v>
      </c>
      <c r="K24" s="30" t="s">
        <v>1199</v>
      </c>
      <c r="L24" s="86">
        <v>100</v>
      </c>
      <c r="M24" s="86">
        <f t="shared" si="0"/>
        <v>1E-4</v>
      </c>
      <c r="N24" s="30" t="s">
        <v>1265</v>
      </c>
      <c r="O24" s="30" t="s">
        <v>1209</v>
      </c>
      <c r="P24" s="30" t="s">
        <v>1249</v>
      </c>
      <c r="S24" s="177">
        <v>43839.771014155092</v>
      </c>
      <c r="T24" s="2" t="s">
        <v>1281</v>
      </c>
      <c r="U24" s="2" t="s">
        <v>1282</v>
      </c>
      <c r="V24" s="2" t="s">
        <v>1283</v>
      </c>
      <c r="W24" s="2" t="s">
        <v>1284</v>
      </c>
      <c r="X24" s="2" t="s">
        <v>1285</v>
      </c>
      <c r="Y24" s="2" t="s">
        <v>1286</v>
      </c>
    </row>
    <row r="25" spans="1:25" s="2" customFormat="1" ht="15" hidden="1" customHeight="1">
      <c r="A25" s="2" t="s">
        <v>1287</v>
      </c>
      <c r="B25" s="2" t="s">
        <v>1261</v>
      </c>
      <c r="C25" s="2" t="s">
        <v>1102</v>
      </c>
      <c r="D25" s="2" t="s">
        <v>1288</v>
      </c>
      <c r="E25" s="2" t="s">
        <v>1288</v>
      </c>
      <c r="F25" s="2" t="s">
        <v>1289</v>
      </c>
      <c r="G25" s="2" t="s">
        <v>1264</v>
      </c>
      <c r="H25" s="2" t="s">
        <v>1196</v>
      </c>
      <c r="I25" s="2" t="s">
        <v>1197</v>
      </c>
      <c r="J25" s="2" t="s">
        <v>1198</v>
      </c>
      <c r="K25" s="2" t="s">
        <v>1199</v>
      </c>
      <c r="L25" s="1">
        <v>100</v>
      </c>
      <c r="M25" s="1">
        <f t="shared" si="0"/>
        <v>1E-4</v>
      </c>
      <c r="N25" s="2" t="s">
        <v>1265</v>
      </c>
      <c r="O25" s="2" t="s">
        <v>1209</v>
      </c>
      <c r="P25" s="2" t="s">
        <v>1216</v>
      </c>
      <c r="S25" s="4">
        <v>44216.12134351852</v>
      </c>
      <c r="T25" s="2" t="s">
        <v>1290</v>
      </c>
      <c r="U25" s="2" t="s">
        <v>1291</v>
      </c>
      <c r="V25" s="2" t="s">
        <v>1292</v>
      </c>
      <c r="W25" s="2" t="s">
        <v>1293</v>
      </c>
      <c r="X25" s="2" t="s">
        <v>1294</v>
      </c>
      <c r="Y25" s="2" t="s">
        <v>1208</v>
      </c>
    </row>
    <row r="26" spans="1:25" ht="15" customHeight="1">
      <c r="B26" s="30" t="s">
        <v>1245</v>
      </c>
      <c r="C26" s="30" t="s">
        <v>1102</v>
      </c>
      <c r="D26" s="30" t="s">
        <v>1102</v>
      </c>
      <c r="E26" s="30" t="s">
        <v>1295</v>
      </c>
      <c r="F26" s="30" t="s">
        <v>1296</v>
      </c>
      <c r="G26" s="30" t="s">
        <v>1195</v>
      </c>
      <c r="H26" s="30" t="s">
        <v>1260</v>
      </c>
      <c r="I26" s="30" t="s">
        <v>1247</v>
      </c>
      <c r="J26" s="30" t="s">
        <v>1198</v>
      </c>
      <c r="K26" s="30" t="s">
        <v>1230</v>
      </c>
      <c r="L26" s="86">
        <v>500</v>
      </c>
      <c r="M26" s="86">
        <f t="shared" si="0"/>
        <v>5.0000000000000001E-4</v>
      </c>
      <c r="N26" s="30" t="s">
        <v>1231</v>
      </c>
      <c r="O26" s="30" t="s">
        <v>1209</v>
      </c>
      <c r="P26" s="30" t="s">
        <v>1249</v>
      </c>
      <c r="S26" s="177">
        <v>43511.070235069441</v>
      </c>
      <c r="T26" s="2" t="s">
        <v>1250</v>
      </c>
      <c r="V26" s="2" t="s">
        <v>1242</v>
      </c>
      <c r="W26" s="2" t="s">
        <v>1251</v>
      </c>
      <c r="X26" s="2" t="s">
        <v>1252</v>
      </c>
      <c r="Y26" s="2" t="s">
        <v>1208</v>
      </c>
    </row>
    <row r="27" spans="1:25" ht="15" customHeight="1">
      <c r="B27" s="30" t="s">
        <v>1237</v>
      </c>
      <c r="C27" s="30" t="s">
        <v>1102</v>
      </c>
      <c r="D27" s="30" t="s">
        <v>1102</v>
      </c>
      <c r="E27" s="30" t="s">
        <v>1278</v>
      </c>
      <c r="F27" s="30" t="s">
        <v>1297</v>
      </c>
      <c r="G27" s="30" t="s">
        <v>1195</v>
      </c>
      <c r="H27" s="30" t="s">
        <v>1298</v>
      </c>
      <c r="I27" s="30" t="s">
        <v>1197</v>
      </c>
      <c r="J27" s="30" t="s">
        <v>1198</v>
      </c>
      <c r="K27" s="30" t="s">
        <v>1248</v>
      </c>
      <c r="L27" s="86">
        <v>1000</v>
      </c>
      <c r="M27" s="86">
        <f t="shared" si="0"/>
        <v>1E-3</v>
      </c>
      <c r="N27" s="30" t="s">
        <v>1231</v>
      </c>
      <c r="O27" s="30" t="s">
        <v>1209</v>
      </c>
      <c r="P27" s="30" t="s">
        <v>1249</v>
      </c>
      <c r="S27" s="177">
        <v>43907.454764814815</v>
      </c>
      <c r="T27" s="2" t="s">
        <v>1240</v>
      </c>
      <c r="U27" s="2" t="s">
        <v>1241</v>
      </c>
      <c r="V27" s="2" t="s">
        <v>1242</v>
      </c>
      <c r="W27" s="2" t="s">
        <v>1243</v>
      </c>
      <c r="X27" s="2" t="s">
        <v>1244</v>
      </c>
      <c r="Y27" s="2" t="s">
        <v>1208</v>
      </c>
    </row>
    <row r="28" spans="1:25" ht="15" customHeight="1">
      <c r="B28" s="30" t="s">
        <v>1245</v>
      </c>
      <c r="C28" s="30" t="s">
        <v>1102</v>
      </c>
      <c r="D28" s="30" t="s">
        <v>1102</v>
      </c>
      <c r="E28" s="30" t="s">
        <v>1295</v>
      </c>
      <c r="F28" s="30" t="s">
        <v>1296</v>
      </c>
      <c r="G28" s="30" t="s">
        <v>1272</v>
      </c>
      <c r="H28" s="30" t="s">
        <v>1260</v>
      </c>
      <c r="I28" s="30" t="s">
        <v>1247</v>
      </c>
      <c r="J28" s="30" t="s">
        <v>1198</v>
      </c>
      <c r="K28" s="30" t="s">
        <v>1254</v>
      </c>
      <c r="L28" s="86">
        <v>5000</v>
      </c>
      <c r="M28" s="86">
        <f t="shared" si="0"/>
        <v>5.0000000000000001E-3</v>
      </c>
      <c r="N28" s="30" t="s">
        <v>1231</v>
      </c>
      <c r="O28" s="30" t="s">
        <v>1209</v>
      </c>
      <c r="P28" s="30" t="s">
        <v>1249</v>
      </c>
      <c r="S28" s="177">
        <v>43511.070235069441</v>
      </c>
      <c r="T28" s="2" t="s">
        <v>1250</v>
      </c>
      <c r="V28" s="2" t="s">
        <v>1242</v>
      </c>
      <c r="W28" s="2" t="s">
        <v>1251</v>
      </c>
      <c r="X28" s="2" t="s">
        <v>1252</v>
      </c>
      <c r="Y28" s="2" t="s">
        <v>1208</v>
      </c>
    </row>
    <row r="29" spans="1:25" s="2" customFormat="1" ht="15" hidden="1" customHeight="1">
      <c r="B29" s="2" t="s">
        <v>1299</v>
      </c>
      <c r="C29" s="2" t="s">
        <v>260</v>
      </c>
      <c r="D29" s="2" t="s">
        <v>260</v>
      </c>
      <c r="E29" s="2" t="s">
        <v>1300</v>
      </c>
      <c r="F29" s="2" t="s">
        <v>1301</v>
      </c>
      <c r="G29" s="2" t="s">
        <v>1195</v>
      </c>
      <c r="I29" s="2" t="s">
        <v>1197</v>
      </c>
      <c r="J29" s="2" t="s">
        <v>1198</v>
      </c>
      <c r="K29" s="2" t="s">
        <v>1199</v>
      </c>
      <c r="L29" s="1">
        <v>100</v>
      </c>
      <c r="M29" s="1">
        <f t="shared" si="0"/>
        <v>1E-4</v>
      </c>
      <c r="N29" s="2" t="s">
        <v>1302</v>
      </c>
      <c r="O29" s="2" t="s">
        <v>1209</v>
      </c>
      <c r="P29" s="2" t="s">
        <v>1216</v>
      </c>
      <c r="S29" s="4">
        <v>44312.462809988428</v>
      </c>
      <c r="T29" s="2" t="s">
        <v>1303</v>
      </c>
      <c r="U29" s="2" t="s">
        <v>1304</v>
      </c>
      <c r="V29" s="2" t="s">
        <v>1305</v>
      </c>
      <c r="W29" s="2" t="s">
        <v>1306</v>
      </c>
      <c r="X29" s="2" t="s">
        <v>1307</v>
      </c>
      <c r="Y29" s="2" t="s">
        <v>1208</v>
      </c>
    </row>
    <row r="30" spans="1:25" s="2" customFormat="1" ht="15" hidden="1" customHeight="1">
      <c r="B30" s="2" t="s">
        <v>1299</v>
      </c>
      <c r="C30" s="2" t="s">
        <v>260</v>
      </c>
      <c r="D30" s="2" t="s">
        <v>260</v>
      </c>
      <c r="E30" s="2" t="s">
        <v>1300</v>
      </c>
      <c r="F30" s="2" t="s">
        <v>1301</v>
      </c>
      <c r="G30" s="2" t="s">
        <v>1195</v>
      </c>
      <c r="H30" s="2" t="s">
        <v>1298</v>
      </c>
      <c r="I30" s="2" t="s">
        <v>1197</v>
      </c>
      <c r="J30" s="2" t="s">
        <v>1198</v>
      </c>
      <c r="K30" s="2" t="s">
        <v>1199</v>
      </c>
      <c r="L30" s="1">
        <v>100</v>
      </c>
      <c r="M30" s="1">
        <f t="shared" si="0"/>
        <v>1E-4</v>
      </c>
      <c r="N30" s="2" t="s">
        <v>1302</v>
      </c>
      <c r="O30" s="2" t="s">
        <v>1209</v>
      </c>
      <c r="P30" s="2" t="s">
        <v>1216</v>
      </c>
      <c r="S30" s="4">
        <v>44218.760745567131</v>
      </c>
      <c r="T30" s="2" t="s">
        <v>1303</v>
      </c>
      <c r="U30" s="2" t="s">
        <v>1304</v>
      </c>
      <c r="V30" s="2" t="s">
        <v>1305</v>
      </c>
      <c r="W30" s="2" t="s">
        <v>1306</v>
      </c>
      <c r="X30" s="2" t="s">
        <v>1307</v>
      </c>
      <c r="Y30" s="2" t="s">
        <v>1208</v>
      </c>
    </row>
    <row r="31" spans="1:25" s="2" customFormat="1" ht="15" hidden="1" customHeight="1">
      <c r="B31" s="2" t="s">
        <v>1211</v>
      </c>
      <c r="C31" s="2" t="s">
        <v>260</v>
      </c>
      <c r="D31" s="2" t="s">
        <v>260</v>
      </c>
      <c r="E31" s="2" t="s">
        <v>1300</v>
      </c>
      <c r="F31" s="2" t="s">
        <v>1301</v>
      </c>
      <c r="G31" s="2" t="s">
        <v>1214</v>
      </c>
      <c r="I31" s="2" t="s">
        <v>1197</v>
      </c>
      <c r="J31" s="2" t="s">
        <v>1198</v>
      </c>
      <c r="K31" s="2" t="s">
        <v>1199</v>
      </c>
      <c r="L31" s="1">
        <v>100</v>
      </c>
      <c r="M31" s="1">
        <f t="shared" si="0"/>
        <v>1E-4</v>
      </c>
      <c r="N31" s="2" t="s">
        <v>1231</v>
      </c>
      <c r="O31" s="2" t="s">
        <v>1209</v>
      </c>
      <c r="P31" s="2" t="s">
        <v>1249</v>
      </c>
      <c r="S31" s="4">
        <v>43812.050646180556</v>
      </c>
      <c r="T31" s="2" t="s">
        <v>1217</v>
      </c>
      <c r="U31" s="2" t="s">
        <v>1218</v>
      </c>
      <c r="V31" s="2" t="s">
        <v>1219</v>
      </c>
      <c r="W31" s="2" t="s">
        <v>1220</v>
      </c>
      <c r="X31" s="2" t="s">
        <v>1221</v>
      </c>
      <c r="Y31" s="2" t="s">
        <v>1208</v>
      </c>
    </row>
    <row r="32" spans="1:25" s="2" customFormat="1" hidden="1">
      <c r="B32" s="2" t="s">
        <v>1308</v>
      </c>
      <c r="C32" s="2" t="s">
        <v>260</v>
      </c>
      <c r="D32" s="2" t="s">
        <v>260</v>
      </c>
      <c r="E32" s="2" t="s">
        <v>1300</v>
      </c>
      <c r="F32" s="2" t="s">
        <v>1301</v>
      </c>
      <c r="G32" s="2" t="s">
        <v>25</v>
      </c>
      <c r="H32" s="2" t="s">
        <v>1196</v>
      </c>
      <c r="I32" s="2" t="s">
        <v>1197</v>
      </c>
      <c r="J32" s="2" t="s">
        <v>1198</v>
      </c>
      <c r="K32" s="2" t="s">
        <v>1199</v>
      </c>
      <c r="L32" s="1">
        <v>100</v>
      </c>
      <c r="M32" s="1">
        <f t="shared" si="0"/>
        <v>1E-4</v>
      </c>
      <c r="N32" s="2" t="s">
        <v>1231</v>
      </c>
      <c r="O32" s="2" t="s">
        <v>1209</v>
      </c>
      <c r="P32" s="2" t="s">
        <v>1216</v>
      </c>
      <c r="S32" s="4">
        <v>44250.467223807871</v>
      </c>
      <c r="T32" s="2" t="s">
        <v>1309</v>
      </c>
      <c r="U32" s="2" t="s">
        <v>1310</v>
      </c>
      <c r="V32" s="2" t="s">
        <v>1311</v>
      </c>
      <c r="W32" s="2" t="s">
        <v>1312</v>
      </c>
      <c r="X32" s="2" t="s">
        <v>1313</v>
      </c>
      <c r="Y32" s="2" t="s">
        <v>1208</v>
      </c>
    </row>
    <row r="33" spans="2:25" s="2" customFormat="1" hidden="1">
      <c r="B33" s="2" t="s">
        <v>1314</v>
      </c>
      <c r="C33" s="2" t="s">
        <v>1223</v>
      </c>
      <c r="D33" s="2" t="s">
        <v>1223</v>
      </c>
      <c r="E33" s="2" t="s">
        <v>1315</v>
      </c>
      <c r="F33" s="2" t="s">
        <v>1316</v>
      </c>
      <c r="G33" s="2" t="s">
        <v>1195</v>
      </c>
      <c r="H33" s="2" t="s">
        <v>1196</v>
      </c>
      <c r="I33" s="2" t="s">
        <v>1197</v>
      </c>
      <c r="J33" s="2" t="s">
        <v>1198</v>
      </c>
      <c r="K33" s="2" t="s">
        <v>1199</v>
      </c>
      <c r="L33" s="1">
        <v>100</v>
      </c>
      <c r="M33" s="1">
        <f t="shared" si="0"/>
        <v>1E-4</v>
      </c>
      <c r="N33" s="2" t="s">
        <v>1231</v>
      </c>
      <c r="O33" s="2" t="s">
        <v>1209</v>
      </c>
      <c r="P33" s="2" t="s">
        <v>1216</v>
      </c>
      <c r="S33" s="4">
        <v>44320.612677002318</v>
      </c>
      <c r="T33" s="2" t="s">
        <v>1317</v>
      </c>
      <c r="U33" s="2" t="s">
        <v>1318</v>
      </c>
      <c r="V33" s="2" t="s">
        <v>1319</v>
      </c>
      <c r="W33" s="2" t="s">
        <v>1320</v>
      </c>
      <c r="X33" s="2" t="s">
        <v>1321</v>
      </c>
      <c r="Y33" s="2" t="s">
        <v>1208</v>
      </c>
    </row>
    <row r="34" spans="2:25" s="2" customFormat="1" hidden="1">
      <c r="B34" s="2" t="s">
        <v>1314</v>
      </c>
      <c r="C34" s="2" t="s">
        <v>1223</v>
      </c>
      <c r="D34" s="2" t="s">
        <v>1223</v>
      </c>
      <c r="E34" s="2" t="s">
        <v>1315</v>
      </c>
      <c r="F34" s="2" t="s">
        <v>1316</v>
      </c>
      <c r="G34" s="2" t="s">
        <v>1195</v>
      </c>
      <c r="I34" s="2" t="s">
        <v>1197</v>
      </c>
      <c r="J34" s="2" t="s">
        <v>1198</v>
      </c>
      <c r="K34" s="2" t="s">
        <v>1199</v>
      </c>
      <c r="L34" s="1">
        <v>100</v>
      </c>
      <c r="M34" s="1">
        <f t="shared" si="0"/>
        <v>1E-4</v>
      </c>
      <c r="N34" s="2" t="s">
        <v>1231</v>
      </c>
      <c r="O34" s="2" t="s">
        <v>1209</v>
      </c>
      <c r="P34" s="2" t="s">
        <v>1222</v>
      </c>
      <c r="S34" s="4">
        <v>45364.593218553244</v>
      </c>
      <c r="T34" s="2" t="s">
        <v>1317</v>
      </c>
      <c r="U34" s="2" t="s">
        <v>1318</v>
      </c>
      <c r="V34" s="2" t="s">
        <v>1319</v>
      </c>
      <c r="W34" s="2" t="s">
        <v>1320</v>
      </c>
      <c r="X34" s="2" t="s">
        <v>1321</v>
      </c>
      <c r="Y34" s="2" t="s">
        <v>1208</v>
      </c>
    </row>
    <row r="35" spans="2:25" s="2" customFormat="1" hidden="1">
      <c r="B35" s="2" t="s">
        <v>1314</v>
      </c>
      <c r="C35" s="2" t="s">
        <v>1223</v>
      </c>
      <c r="D35" s="2" t="s">
        <v>1223</v>
      </c>
      <c r="E35" s="2" t="s">
        <v>1315</v>
      </c>
      <c r="F35" s="2" t="s">
        <v>1316</v>
      </c>
      <c r="G35" s="2" t="s">
        <v>1195</v>
      </c>
      <c r="H35" s="2" t="s">
        <v>1196</v>
      </c>
      <c r="I35" s="2" t="s">
        <v>1197</v>
      </c>
      <c r="J35" s="2" t="s">
        <v>1198</v>
      </c>
      <c r="K35" s="2" t="s">
        <v>1199</v>
      </c>
      <c r="L35" s="1">
        <v>100</v>
      </c>
      <c r="M35" s="1">
        <f t="shared" si="0"/>
        <v>1E-4</v>
      </c>
      <c r="N35" s="2" t="s">
        <v>1231</v>
      </c>
      <c r="O35" s="2" t="s">
        <v>1209</v>
      </c>
      <c r="P35" s="2" t="s">
        <v>1210</v>
      </c>
      <c r="S35" s="4">
        <v>44585.119269988427</v>
      </c>
      <c r="T35" s="2" t="s">
        <v>1317</v>
      </c>
      <c r="U35" s="2" t="s">
        <v>1318</v>
      </c>
      <c r="V35" s="2" t="s">
        <v>1319</v>
      </c>
      <c r="W35" s="2" t="s">
        <v>1320</v>
      </c>
      <c r="X35" s="2" t="s">
        <v>1321</v>
      </c>
      <c r="Y35" s="2" t="s">
        <v>1208</v>
      </c>
    </row>
    <row r="36" spans="2:25" s="2" customFormat="1" hidden="1">
      <c r="B36" s="2" t="s">
        <v>1237</v>
      </c>
      <c r="C36" s="2" t="s">
        <v>1223</v>
      </c>
      <c r="D36" s="2" t="s">
        <v>1223</v>
      </c>
      <c r="E36" s="2" t="s">
        <v>1322</v>
      </c>
      <c r="F36" s="2" t="s">
        <v>1323</v>
      </c>
      <c r="G36" s="2" t="s">
        <v>1195</v>
      </c>
      <c r="H36" s="2" t="s">
        <v>1298</v>
      </c>
      <c r="I36" s="2" t="s">
        <v>1197</v>
      </c>
      <c r="J36" s="2" t="s">
        <v>1198</v>
      </c>
      <c r="K36" s="2" t="s">
        <v>1230</v>
      </c>
      <c r="L36" s="1">
        <v>500</v>
      </c>
      <c r="M36" s="1">
        <f t="shared" si="0"/>
        <v>5.0000000000000001E-4</v>
      </c>
      <c r="N36" s="2" t="s">
        <v>1231</v>
      </c>
      <c r="O36" s="2" t="s">
        <v>1209</v>
      </c>
      <c r="P36" s="2" t="s">
        <v>1249</v>
      </c>
      <c r="S36" s="4">
        <v>43907.454764814815</v>
      </c>
      <c r="T36" s="2" t="s">
        <v>1240</v>
      </c>
      <c r="U36" s="2" t="s">
        <v>1241</v>
      </c>
      <c r="V36" s="2" t="s">
        <v>1242</v>
      </c>
      <c r="W36" s="2" t="s">
        <v>1243</v>
      </c>
      <c r="X36" s="2" t="s">
        <v>1244</v>
      </c>
      <c r="Y36" s="2" t="s">
        <v>1208</v>
      </c>
    </row>
    <row r="37" spans="2:25" s="2" customFormat="1" hidden="1">
      <c r="B37" s="2" t="s">
        <v>1237</v>
      </c>
      <c r="C37" s="2" t="s">
        <v>1225</v>
      </c>
      <c r="D37" s="2" t="s">
        <v>1324</v>
      </c>
      <c r="E37" s="2" t="s">
        <v>1325</v>
      </c>
      <c r="F37" s="2" t="s">
        <v>1326</v>
      </c>
      <c r="G37" s="2" t="s">
        <v>1236</v>
      </c>
      <c r="H37" s="2" t="s">
        <v>1298</v>
      </c>
      <c r="I37" s="2" t="s">
        <v>1197</v>
      </c>
      <c r="J37" s="2" t="s">
        <v>1198</v>
      </c>
      <c r="K37" s="2" t="s">
        <v>1230</v>
      </c>
      <c r="L37" s="1">
        <v>500</v>
      </c>
      <c r="M37" s="1">
        <f t="shared" si="0"/>
        <v>5.0000000000000001E-4</v>
      </c>
      <c r="N37" s="2" t="s">
        <v>1231</v>
      </c>
      <c r="O37" s="2" t="s">
        <v>1209</v>
      </c>
      <c r="P37" s="2" t="s">
        <v>1249</v>
      </c>
      <c r="S37" s="4">
        <v>43907.454764814815</v>
      </c>
      <c r="T37" s="2" t="s">
        <v>1240</v>
      </c>
      <c r="U37" s="2" t="s">
        <v>1241</v>
      </c>
      <c r="V37" s="2" t="s">
        <v>1242</v>
      </c>
      <c r="W37" s="2" t="s">
        <v>1243</v>
      </c>
      <c r="X37" s="2" t="s">
        <v>1244</v>
      </c>
      <c r="Y37" s="2" t="s">
        <v>1208</v>
      </c>
    </row>
    <row r="38" spans="2:25" s="2" customFormat="1" hidden="1">
      <c r="B38" s="2" t="s">
        <v>1237</v>
      </c>
      <c r="C38" s="2" t="s">
        <v>1225</v>
      </c>
      <c r="D38" s="2" t="s">
        <v>1324</v>
      </c>
      <c r="E38" s="2" t="s">
        <v>1325</v>
      </c>
      <c r="F38" s="2" t="s">
        <v>1327</v>
      </c>
      <c r="G38" s="2" t="s">
        <v>1236</v>
      </c>
      <c r="H38" s="2" t="s">
        <v>1298</v>
      </c>
      <c r="I38" s="2" t="s">
        <v>1197</v>
      </c>
      <c r="J38" s="2" t="s">
        <v>1198</v>
      </c>
      <c r="K38" s="2" t="s">
        <v>1230</v>
      </c>
      <c r="L38" s="1">
        <v>500</v>
      </c>
      <c r="M38" s="1">
        <f t="shared" si="0"/>
        <v>5.0000000000000001E-4</v>
      </c>
      <c r="N38" s="2" t="s">
        <v>1231</v>
      </c>
      <c r="O38" s="2" t="s">
        <v>1209</v>
      </c>
      <c r="P38" s="2" t="s">
        <v>1249</v>
      </c>
      <c r="S38" s="4">
        <v>43907.454764814815</v>
      </c>
      <c r="T38" s="2" t="s">
        <v>1240</v>
      </c>
      <c r="U38" s="2" t="s">
        <v>1241</v>
      </c>
      <c r="V38" s="2" t="s">
        <v>1242</v>
      </c>
      <c r="W38" s="2" t="s">
        <v>1243</v>
      </c>
      <c r="X38" s="2" t="s">
        <v>1244</v>
      </c>
      <c r="Y38" s="2" t="s">
        <v>1208</v>
      </c>
    </row>
    <row r="39" spans="2:25" s="2" customFormat="1" hidden="1">
      <c r="B39" s="2" t="s">
        <v>1237</v>
      </c>
      <c r="C39" s="2" t="s">
        <v>1225</v>
      </c>
      <c r="D39" s="2" t="s">
        <v>1324</v>
      </c>
      <c r="E39" s="2" t="s">
        <v>1325</v>
      </c>
      <c r="F39" s="2" t="s">
        <v>1327</v>
      </c>
      <c r="G39" s="2" t="s">
        <v>1272</v>
      </c>
      <c r="H39" s="2" t="s">
        <v>1298</v>
      </c>
      <c r="I39" s="2" t="s">
        <v>1197</v>
      </c>
      <c r="J39" s="2" t="s">
        <v>1198</v>
      </c>
      <c r="K39" s="2" t="s">
        <v>1230</v>
      </c>
      <c r="L39" s="1">
        <v>500</v>
      </c>
      <c r="M39" s="1">
        <f t="shared" si="0"/>
        <v>5.0000000000000001E-4</v>
      </c>
      <c r="N39" s="2" t="s">
        <v>1231</v>
      </c>
      <c r="O39" s="2" t="s">
        <v>1209</v>
      </c>
      <c r="P39" s="2" t="s">
        <v>1249</v>
      </c>
      <c r="S39" s="4">
        <v>43907.454764814815</v>
      </c>
      <c r="T39" s="2" t="s">
        <v>1240</v>
      </c>
      <c r="U39" s="2" t="s">
        <v>1241</v>
      </c>
      <c r="V39" s="2" t="s">
        <v>1242</v>
      </c>
      <c r="W39" s="2" t="s">
        <v>1243</v>
      </c>
      <c r="X39" s="2" t="s">
        <v>1244</v>
      </c>
      <c r="Y39" s="2" t="s">
        <v>1208</v>
      </c>
    </row>
    <row r="40" spans="2:25" s="2" customFormat="1" hidden="1">
      <c r="B40" s="2" t="s">
        <v>1237</v>
      </c>
      <c r="C40" s="2" t="s">
        <v>1225</v>
      </c>
      <c r="D40" s="2" t="s">
        <v>1324</v>
      </c>
      <c r="E40" s="2" t="s">
        <v>1325</v>
      </c>
      <c r="F40" s="2" t="s">
        <v>1328</v>
      </c>
      <c r="G40" s="2" t="s">
        <v>1195</v>
      </c>
      <c r="H40" s="2" t="s">
        <v>1298</v>
      </c>
      <c r="I40" s="2" t="s">
        <v>1197</v>
      </c>
      <c r="J40" s="2" t="s">
        <v>1198</v>
      </c>
      <c r="K40" s="2" t="s">
        <v>1230</v>
      </c>
      <c r="L40" s="1">
        <v>500</v>
      </c>
      <c r="M40" s="1">
        <f t="shared" si="0"/>
        <v>5.0000000000000001E-4</v>
      </c>
      <c r="N40" s="2" t="s">
        <v>1231</v>
      </c>
      <c r="O40" s="2" t="s">
        <v>1209</v>
      </c>
      <c r="P40" s="2" t="s">
        <v>1249</v>
      </c>
      <c r="S40" s="4">
        <v>43907.454764814815</v>
      </c>
      <c r="T40" s="2" t="s">
        <v>1240</v>
      </c>
      <c r="U40" s="2" t="s">
        <v>1241</v>
      </c>
      <c r="V40" s="2" t="s">
        <v>1242</v>
      </c>
      <c r="W40" s="2" t="s">
        <v>1243</v>
      </c>
      <c r="X40" s="2" t="s">
        <v>1244</v>
      </c>
      <c r="Y40" s="2" t="s">
        <v>1208</v>
      </c>
    </row>
    <row r="41" spans="2:25" s="2" customFormat="1" hidden="1">
      <c r="B41" s="2" t="s">
        <v>1329</v>
      </c>
      <c r="C41" s="2" t="s">
        <v>1225</v>
      </c>
      <c r="D41" s="2" t="s">
        <v>1324</v>
      </c>
      <c r="E41" s="2" t="s">
        <v>1325</v>
      </c>
      <c r="F41" s="2" t="s">
        <v>1326</v>
      </c>
      <c r="G41" s="2" t="s">
        <v>1236</v>
      </c>
      <c r="H41" s="2" t="s">
        <v>1196</v>
      </c>
      <c r="I41" s="2" t="s">
        <v>1197</v>
      </c>
      <c r="J41" s="2" t="s">
        <v>1198</v>
      </c>
      <c r="K41" s="2" t="s">
        <v>1230</v>
      </c>
      <c r="L41" s="1">
        <v>500</v>
      </c>
      <c r="M41" s="1">
        <f t="shared" si="0"/>
        <v>5.0000000000000001E-4</v>
      </c>
      <c r="N41" s="2" t="s">
        <v>813</v>
      </c>
      <c r="O41" s="2" t="s">
        <v>1209</v>
      </c>
      <c r="P41" s="2" t="s">
        <v>1224</v>
      </c>
      <c r="S41" s="4">
        <v>45037.699598298612</v>
      </c>
      <c r="T41" s="2" t="s">
        <v>1330</v>
      </c>
      <c r="U41" s="2" t="s">
        <v>1331</v>
      </c>
      <c r="V41" s="2" t="s">
        <v>1332</v>
      </c>
      <c r="W41" s="2" t="s">
        <v>1333</v>
      </c>
      <c r="X41" s="2" t="s">
        <v>1334</v>
      </c>
      <c r="Y41" s="2" t="s">
        <v>1208</v>
      </c>
    </row>
    <row r="42" spans="2:25" s="2" customFormat="1" hidden="1">
      <c r="B42" s="2" t="s">
        <v>1237</v>
      </c>
      <c r="C42" s="2" t="s">
        <v>1226</v>
      </c>
      <c r="D42" s="2" t="s">
        <v>1226</v>
      </c>
      <c r="E42" s="2" t="s">
        <v>1335</v>
      </c>
      <c r="F42" s="2" t="s">
        <v>1336</v>
      </c>
      <c r="G42" s="2" t="s">
        <v>1195</v>
      </c>
      <c r="H42" s="2" t="s">
        <v>1196</v>
      </c>
      <c r="I42" s="2" t="s">
        <v>1197</v>
      </c>
      <c r="J42" s="2" t="s">
        <v>1198</v>
      </c>
      <c r="K42" s="2" t="s">
        <v>1199</v>
      </c>
      <c r="L42" s="1">
        <v>100</v>
      </c>
      <c r="M42" s="1">
        <f t="shared" si="0"/>
        <v>1E-4</v>
      </c>
      <c r="N42" s="2" t="s">
        <v>1231</v>
      </c>
      <c r="O42" s="2" t="s">
        <v>1201</v>
      </c>
      <c r="P42" s="2" t="s">
        <v>1202</v>
      </c>
      <c r="Q42" s="2">
        <v>244871</v>
      </c>
      <c r="S42" s="4">
        <v>45334.586989467593</v>
      </c>
      <c r="T42" s="2" t="s">
        <v>1240</v>
      </c>
      <c r="U42" s="2" t="s">
        <v>1241</v>
      </c>
      <c r="V42" s="2" t="s">
        <v>1242</v>
      </c>
      <c r="W42" s="2" t="s">
        <v>1243</v>
      </c>
      <c r="X42" s="2" t="s">
        <v>1244</v>
      </c>
      <c r="Y42" s="2" t="s">
        <v>1208</v>
      </c>
    </row>
    <row r="43" spans="2:25" s="2" customFormat="1" hidden="1">
      <c r="B43" s="2" t="s">
        <v>1337</v>
      </c>
      <c r="C43" s="2" t="s">
        <v>1226</v>
      </c>
      <c r="D43" s="2" t="s">
        <v>1226</v>
      </c>
      <c r="E43" s="2" t="s">
        <v>1338</v>
      </c>
      <c r="F43" s="2" t="s">
        <v>1339</v>
      </c>
      <c r="G43" s="2" t="s">
        <v>1195</v>
      </c>
      <c r="H43" s="2" t="s">
        <v>1196</v>
      </c>
      <c r="I43" s="2" t="s">
        <v>1197</v>
      </c>
      <c r="J43" s="2" t="s">
        <v>1198</v>
      </c>
      <c r="K43" s="2" t="s">
        <v>1199</v>
      </c>
      <c r="L43" s="1">
        <v>100</v>
      </c>
      <c r="M43" s="1">
        <f t="shared" si="0"/>
        <v>1E-4</v>
      </c>
      <c r="N43" s="2" t="s">
        <v>1231</v>
      </c>
      <c r="O43" s="2" t="s">
        <v>1201</v>
      </c>
      <c r="P43" s="2" t="s">
        <v>1202</v>
      </c>
      <c r="Q43" s="2">
        <v>1</v>
      </c>
      <c r="R43" s="2">
        <v>1</v>
      </c>
      <c r="S43" s="4">
        <v>45323.542519525465</v>
      </c>
      <c r="T43" s="2" t="s">
        <v>1340</v>
      </c>
      <c r="U43" s="2" t="s">
        <v>1341</v>
      </c>
      <c r="V43" s="2" t="s">
        <v>1342</v>
      </c>
      <c r="W43" s="2" t="s">
        <v>1343</v>
      </c>
      <c r="X43" s="2" t="s">
        <v>1344</v>
      </c>
      <c r="Y43" s="2" t="s">
        <v>1208</v>
      </c>
    </row>
    <row r="44" spans="2:25" s="2" customFormat="1" hidden="1">
      <c r="B44" s="2" t="s">
        <v>1337</v>
      </c>
      <c r="C44" s="2" t="s">
        <v>1226</v>
      </c>
      <c r="D44" s="2" t="s">
        <v>1226</v>
      </c>
      <c r="E44" s="2" t="s">
        <v>1338</v>
      </c>
      <c r="F44" s="2" t="s">
        <v>1339</v>
      </c>
      <c r="G44" s="2" t="s">
        <v>1214</v>
      </c>
      <c r="H44" s="2" t="s">
        <v>1196</v>
      </c>
      <c r="I44" s="2" t="s">
        <v>1197</v>
      </c>
      <c r="J44" s="2" t="s">
        <v>1198</v>
      </c>
      <c r="K44" s="2" t="s">
        <v>1199</v>
      </c>
      <c r="L44" s="1">
        <v>100</v>
      </c>
      <c r="M44" s="1">
        <f t="shared" si="0"/>
        <v>1E-4</v>
      </c>
      <c r="N44" s="2" t="s">
        <v>1231</v>
      </c>
      <c r="O44" s="2" t="s">
        <v>1201</v>
      </c>
      <c r="P44" s="2" t="s">
        <v>1202</v>
      </c>
      <c r="Q44" s="2">
        <v>1</v>
      </c>
      <c r="R44" s="2">
        <v>1</v>
      </c>
      <c r="S44" s="4">
        <v>45323.542519525465</v>
      </c>
      <c r="T44" s="2" t="s">
        <v>1340</v>
      </c>
      <c r="U44" s="2" t="s">
        <v>1341</v>
      </c>
      <c r="V44" s="2" t="s">
        <v>1342</v>
      </c>
      <c r="W44" s="2" t="s">
        <v>1343</v>
      </c>
      <c r="X44" s="2" t="s">
        <v>1344</v>
      </c>
      <c r="Y44" s="2" t="s">
        <v>1208</v>
      </c>
    </row>
    <row r="45" spans="2:25" s="2" customFormat="1" hidden="1">
      <c r="B45" s="2" t="s">
        <v>1337</v>
      </c>
      <c r="C45" s="2" t="s">
        <v>1226</v>
      </c>
      <c r="D45" s="2" t="s">
        <v>1226</v>
      </c>
      <c r="E45" s="2" t="s">
        <v>1345</v>
      </c>
      <c r="F45" s="2" t="s">
        <v>1346</v>
      </c>
      <c r="G45" s="2" t="s">
        <v>1195</v>
      </c>
      <c r="H45" s="2" t="s">
        <v>1298</v>
      </c>
      <c r="I45" s="2" t="s">
        <v>1197</v>
      </c>
      <c r="J45" s="2" t="s">
        <v>1198</v>
      </c>
      <c r="K45" s="2" t="s">
        <v>1199</v>
      </c>
      <c r="L45" s="1">
        <v>100</v>
      </c>
      <c r="M45" s="1">
        <f t="shared" si="0"/>
        <v>1E-4</v>
      </c>
      <c r="N45" s="2" t="s">
        <v>1231</v>
      </c>
      <c r="O45" s="2" t="s">
        <v>1201</v>
      </c>
      <c r="P45" s="2" t="s">
        <v>1202</v>
      </c>
      <c r="Q45" s="2">
        <v>1</v>
      </c>
      <c r="R45" s="2">
        <v>1</v>
      </c>
      <c r="S45" s="4">
        <v>45323.542519525465</v>
      </c>
      <c r="T45" s="2" t="s">
        <v>1340</v>
      </c>
      <c r="U45" s="2" t="s">
        <v>1341</v>
      </c>
      <c r="V45" s="2" t="s">
        <v>1342</v>
      </c>
      <c r="W45" s="2" t="s">
        <v>1343</v>
      </c>
      <c r="X45" s="2" t="s">
        <v>1344</v>
      </c>
      <c r="Y45" s="2" t="s">
        <v>1208</v>
      </c>
    </row>
    <row r="46" spans="2:25" s="2" customFormat="1" hidden="1">
      <c r="B46" s="2" t="s">
        <v>1337</v>
      </c>
      <c r="C46" s="2" t="s">
        <v>1226</v>
      </c>
      <c r="D46" s="2" t="s">
        <v>1226</v>
      </c>
      <c r="E46" s="2" t="s">
        <v>1345</v>
      </c>
      <c r="F46" s="2" t="s">
        <v>1346</v>
      </c>
      <c r="G46" s="2" t="s">
        <v>1347</v>
      </c>
      <c r="H46" s="2" t="s">
        <v>1298</v>
      </c>
      <c r="I46" s="2" t="s">
        <v>1197</v>
      </c>
      <c r="J46" s="2" t="s">
        <v>1198</v>
      </c>
      <c r="K46" s="2" t="s">
        <v>1199</v>
      </c>
      <c r="L46" s="1">
        <v>100</v>
      </c>
      <c r="M46" s="1">
        <f t="shared" si="0"/>
        <v>1E-4</v>
      </c>
      <c r="N46" s="2" t="s">
        <v>1231</v>
      </c>
      <c r="O46" s="2" t="s">
        <v>1201</v>
      </c>
      <c r="P46" s="2" t="s">
        <v>1202</v>
      </c>
      <c r="Q46" s="2">
        <v>1</v>
      </c>
      <c r="R46" s="2">
        <v>1</v>
      </c>
      <c r="S46" s="4">
        <v>45323.542519525465</v>
      </c>
      <c r="T46" s="2" t="s">
        <v>1340</v>
      </c>
      <c r="U46" s="2" t="s">
        <v>1341</v>
      </c>
      <c r="V46" s="2" t="s">
        <v>1342</v>
      </c>
      <c r="W46" s="2" t="s">
        <v>1343</v>
      </c>
      <c r="X46" s="2" t="s">
        <v>1344</v>
      </c>
      <c r="Y46" s="2" t="s">
        <v>1208</v>
      </c>
    </row>
    <row r="47" spans="2:25" s="2" customFormat="1" hidden="1">
      <c r="B47" s="2" t="s">
        <v>1337</v>
      </c>
      <c r="C47" s="2" t="s">
        <v>1226</v>
      </c>
      <c r="D47" s="2" t="s">
        <v>1226</v>
      </c>
      <c r="E47" s="2" t="s">
        <v>1348</v>
      </c>
      <c r="F47" s="2" t="s">
        <v>1349</v>
      </c>
      <c r="G47" s="2" t="s">
        <v>1195</v>
      </c>
      <c r="H47" s="2" t="s">
        <v>1298</v>
      </c>
      <c r="I47" s="2" t="s">
        <v>1197</v>
      </c>
      <c r="J47" s="2" t="s">
        <v>1198</v>
      </c>
      <c r="K47" s="2" t="s">
        <v>1199</v>
      </c>
      <c r="L47" s="1">
        <v>100</v>
      </c>
      <c r="M47" s="1">
        <f t="shared" si="0"/>
        <v>1E-4</v>
      </c>
      <c r="N47" s="2" t="s">
        <v>1231</v>
      </c>
      <c r="O47" s="2" t="s">
        <v>1201</v>
      </c>
      <c r="P47" s="2" t="s">
        <v>1202</v>
      </c>
      <c r="Q47" s="2">
        <v>1</v>
      </c>
      <c r="R47" s="2">
        <v>1</v>
      </c>
      <c r="S47" s="4">
        <v>45323.542519525465</v>
      </c>
      <c r="T47" s="2" t="s">
        <v>1340</v>
      </c>
      <c r="U47" s="2" t="s">
        <v>1341</v>
      </c>
      <c r="V47" s="2" t="s">
        <v>1342</v>
      </c>
      <c r="W47" s="2" t="s">
        <v>1343</v>
      </c>
      <c r="X47" s="2" t="s">
        <v>1344</v>
      </c>
      <c r="Y47" s="2" t="s">
        <v>1208</v>
      </c>
    </row>
    <row r="48" spans="2:25" s="2" customFormat="1" hidden="1">
      <c r="B48" s="2" t="s">
        <v>1350</v>
      </c>
      <c r="C48" s="2" t="s">
        <v>1226</v>
      </c>
      <c r="D48" s="2" t="s">
        <v>1226</v>
      </c>
      <c r="E48" s="2" t="s">
        <v>1351</v>
      </c>
      <c r="F48" s="2" t="s">
        <v>1352</v>
      </c>
      <c r="G48" s="2" t="s">
        <v>1195</v>
      </c>
      <c r="H48" s="2" t="s">
        <v>1246</v>
      </c>
      <c r="I48" s="2" t="s">
        <v>1247</v>
      </c>
      <c r="J48" s="2" t="s">
        <v>1198</v>
      </c>
      <c r="K48" s="2" t="s">
        <v>1199</v>
      </c>
      <c r="L48" s="1">
        <v>100</v>
      </c>
      <c r="M48" s="1">
        <f t="shared" si="0"/>
        <v>1E-4</v>
      </c>
      <c r="N48" s="2" t="s">
        <v>1265</v>
      </c>
      <c r="O48" s="2" t="s">
        <v>1209</v>
      </c>
      <c r="P48" s="2" t="s">
        <v>1249</v>
      </c>
      <c r="S48" s="4">
        <v>43495.150019409724</v>
      </c>
      <c r="T48" s="2" t="s">
        <v>1353</v>
      </c>
      <c r="V48" s="2" t="s">
        <v>1219</v>
      </c>
      <c r="W48" s="2" t="s">
        <v>1354</v>
      </c>
      <c r="X48" s="2" t="s">
        <v>1355</v>
      </c>
      <c r="Y48" s="2" t="s">
        <v>1208</v>
      </c>
    </row>
    <row r="49" spans="1:25" s="2" customFormat="1" hidden="1">
      <c r="B49" s="2" t="s">
        <v>1356</v>
      </c>
      <c r="C49" s="2" t="s">
        <v>1226</v>
      </c>
      <c r="D49" s="2" t="s">
        <v>1226</v>
      </c>
      <c r="E49" s="2" t="s">
        <v>1348</v>
      </c>
      <c r="F49" s="2" t="s">
        <v>1349</v>
      </c>
      <c r="G49" s="2" t="s">
        <v>1195</v>
      </c>
      <c r="H49" s="2" t="s">
        <v>1246</v>
      </c>
      <c r="I49" s="2" t="s">
        <v>1247</v>
      </c>
      <c r="J49" s="2" t="s">
        <v>1198</v>
      </c>
      <c r="K49" s="2" t="s">
        <v>1199</v>
      </c>
      <c r="L49" s="1">
        <v>100</v>
      </c>
      <c r="M49" s="1">
        <f t="shared" si="0"/>
        <v>1E-4</v>
      </c>
      <c r="N49" s="2" t="s">
        <v>1231</v>
      </c>
      <c r="O49" s="2" t="s">
        <v>1209</v>
      </c>
      <c r="P49" s="2" t="s">
        <v>1249</v>
      </c>
      <c r="S49" s="4">
        <v>43627.915548113429</v>
      </c>
      <c r="T49" s="2" t="s">
        <v>1357</v>
      </c>
      <c r="V49" s="2" t="s">
        <v>1358</v>
      </c>
      <c r="W49" s="2" t="s">
        <v>1359</v>
      </c>
      <c r="X49" s="2" t="s">
        <v>1360</v>
      </c>
      <c r="Y49" s="2" t="s">
        <v>1208</v>
      </c>
    </row>
    <row r="50" spans="1:25" s="2" customFormat="1" hidden="1">
      <c r="B50" s="2" t="s">
        <v>1337</v>
      </c>
      <c r="C50" s="2" t="s">
        <v>1226</v>
      </c>
      <c r="D50" s="2" t="s">
        <v>1226</v>
      </c>
      <c r="E50" s="2" t="s">
        <v>1338</v>
      </c>
      <c r="F50" s="2" t="s">
        <v>1339</v>
      </c>
      <c r="G50" s="2" t="s">
        <v>1195</v>
      </c>
      <c r="H50" s="2" t="s">
        <v>1196</v>
      </c>
      <c r="I50" s="2" t="s">
        <v>1197</v>
      </c>
      <c r="J50" s="2" t="s">
        <v>1198</v>
      </c>
      <c r="K50" s="2" t="s">
        <v>1199</v>
      </c>
      <c r="L50" s="1">
        <v>100</v>
      </c>
      <c r="M50" s="1">
        <f t="shared" si="0"/>
        <v>1E-4</v>
      </c>
      <c r="N50" s="2" t="s">
        <v>1231</v>
      </c>
      <c r="O50" s="2" t="s">
        <v>1209</v>
      </c>
      <c r="P50" s="2" t="s">
        <v>1222</v>
      </c>
      <c r="S50" s="4">
        <v>45348.777682719905</v>
      </c>
      <c r="T50" s="2" t="s">
        <v>1340</v>
      </c>
      <c r="U50" s="2" t="s">
        <v>1341</v>
      </c>
      <c r="V50" s="2" t="s">
        <v>1342</v>
      </c>
      <c r="W50" s="2" t="s">
        <v>1343</v>
      </c>
      <c r="X50" s="2" t="s">
        <v>1344</v>
      </c>
      <c r="Y50" s="2" t="s">
        <v>1208</v>
      </c>
    </row>
    <row r="51" spans="1:25" s="2" customFormat="1" hidden="1">
      <c r="B51" s="2" t="s">
        <v>1337</v>
      </c>
      <c r="C51" s="2" t="s">
        <v>1226</v>
      </c>
      <c r="D51" s="2" t="s">
        <v>1226</v>
      </c>
      <c r="E51" s="2" t="s">
        <v>1338</v>
      </c>
      <c r="F51" s="2" t="s">
        <v>1339</v>
      </c>
      <c r="G51" s="2" t="s">
        <v>1214</v>
      </c>
      <c r="H51" s="2" t="s">
        <v>1196</v>
      </c>
      <c r="I51" s="2" t="s">
        <v>1197</v>
      </c>
      <c r="J51" s="2" t="s">
        <v>1198</v>
      </c>
      <c r="K51" s="2" t="s">
        <v>1199</v>
      </c>
      <c r="L51" s="1">
        <v>100</v>
      </c>
      <c r="M51" s="1">
        <f t="shared" si="0"/>
        <v>1E-4</v>
      </c>
      <c r="N51" s="2" t="s">
        <v>1231</v>
      </c>
      <c r="O51" s="2" t="s">
        <v>1209</v>
      </c>
      <c r="P51" s="2" t="s">
        <v>1222</v>
      </c>
      <c r="S51" s="4">
        <v>45348.777682719905</v>
      </c>
      <c r="T51" s="2" t="s">
        <v>1340</v>
      </c>
      <c r="U51" s="2" t="s">
        <v>1341</v>
      </c>
      <c r="V51" s="2" t="s">
        <v>1342</v>
      </c>
      <c r="W51" s="2" t="s">
        <v>1343</v>
      </c>
      <c r="X51" s="2" t="s">
        <v>1344</v>
      </c>
      <c r="Y51" s="2" t="s">
        <v>1208</v>
      </c>
    </row>
    <row r="52" spans="1:25" s="2" customFormat="1" hidden="1">
      <c r="B52" s="2" t="s">
        <v>1337</v>
      </c>
      <c r="C52" s="2" t="s">
        <v>1226</v>
      </c>
      <c r="D52" s="2" t="s">
        <v>1226</v>
      </c>
      <c r="E52" s="2" t="s">
        <v>1345</v>
      </c>
      <c r="F52" s="2" t="s">
        <v>1346</v>
      </c>
      <c r="G52" s="2" t="s">
        <v>1195</v>
      </c>
      <c r="H52" s="2" t="s">
        <v>1298</v>
      </c>
      <c r="I52" s="2" t="s">
        <v>1197</v>
      </c>
      <c r="J52" s="2" t="s">
        <v>1198</v>
      </c>
      <c r="K52" s="2" t="s">
        <v>1199</v>
      </c>
      <c r="L52" s="1">
        <v>100</v>
      </c>
      <c r="M52" s="1">
        <f t="shared" si="0"/>
        <v>1E-4</v>
      </c>
      <c r="N52" s="2" t="s">
        <v>1231</v>
      </c>
      <c r="O52" s="2" t="s">
        <v>1209</v>
      </c>
      <c r="P52" s="2" t="s">
        <v>1222</v>
      </c>
      <c r="S52" s="4">
        <v>45348.777682719905</v>
      </c>
      <c r="T52" s="2" t="s">
        <v>1340</v>
      </c>
      <c r="U52" s="2" t="s">
        <v>1341</v>
      </c>
      <c r="V52" s="2" t="s">
        <v>1342</v>
      </c>
      <c r="W52" s="2" t="s">
        <v>1343</v>
      </c>
      <c r="X52" s="2" t="s">
        <v>1344</v>
      </c>
      <c r="Y52" s="2" t="s">
        <v>1208</v>
      </c>
    </row>
    <row r="53" spans="1:25" s="2" customFormat="1" hidden="1">
      <c r="B53" s="2" t="s">
        <v>1337</v>
      </c>
      <c r="C53" s="2" t="s">
        <v>1226</v>
      </c>
      <c r="D53" s="2" t="s">
        <v>1226</v>
      </c>
      <c r="E53" s="2" t="s">
        <v>1345</v>
      </c>
      <c r="F53" s="2" t="s">
        <v>1346</v>
      </c>
      <c r="G53" s="2" t="s">
        <v>1347</v>
      </c>
      <c r="H53" s="2" t="s">
        <v>1298</v>
      </c>
      <c r="I53" s="2" t="s">
        <v>1197</v>
      </c>
      <c r="J53" s="2" t="s">
        <v>1198</v>
      </c>
      <c r="K53" s="2" t="s">
        <v>1199</v>
      </c>
      <c r="L53" s="1">
        <v>100</v>
      </c>
      <c r="M53" s="1">
        <f t="shared" si="0"/>
        <v>1E-4</v>
      </c>
      <c r="N53" s="2" t="s">
        <v>1231</v>
      </c>
      <c r="O53" s="2" t="s">
        <v>1209</v>
      </c>
      <c r="P53" s="2" t="s">
        <v>1222</v>
      </c>
      <c r="S53" s="4">
        <v>45348.777682719905</v>
      </c>
      <c r="T53" s="2" t="s">
        <v>1340</v>
      </c>
      <c r="U53" s="2" t="s">
        <v>1341</v>
      </c>
      <c r="V53" s="2" t="s">
        <v>1342</v>
      </c>
      <c r="W53" s="2" t="s">
        <v>1343</v>
      </c>
      <c r="X53" s="2" t="s">
        <v>1344</v>
      </c>
      <c r="Y53" s="2" t="s">
        <v>1208</v>
      </c>
    </row>
    <row r="54" spans="1:25" s="2" customFormat="1" hidden="1">
      <c r="B54" s="2" t="s">
        <v>1337</v>
      </c>
      <c r="C54" s="2" t="s">
        <v>1226</v>
      </c>
      <c r="D54" s="2" t="s">
        <v>1226</v>
      </c>
      <c r="E54" s="2" t="s">
        <v>1348</v>
      </c>
      <c r="F54" s="2" t="s">
        <v>1349</v>
      </c>
      <c r="G54" s="2" t="s">
        <v>1195</v>
      </c>
      <c r="H54" s="2" t="s">
        <v>1298</v>
      </c>
      <c r="I54" s="2" t="s">
        <v>1197</v>
      </c>
      <c r="J54" s="2" t="s">
        <v>1198</v>
      </c>
      <c r="K54" s="2" t="s">
        <v>1199</v>
      </c>
      <c r="L54" s="1">
        <v>100</v>
      </c>
      <c r="M54" s="1">
        <f t="shared" si="0"/>
        <v>1E-4</v>
      </c>
      <c r="N54" s="2" t="s">
        <v>1231</v>
      </c>
      <c r="O54" s="2" t="s">
        <v>1209</v>
      </c>
      <c r="P54" s="2" t="s">
        <v>1222</v>
      </c>
      <c r="S54" s="4">
        <v>45348.777682719905</v>
      </c>
      <c r="T54" s="2" t="s">
        <v>1340</v>
      </c>
      <c r="U54" s="2" t="s">
        <v>1341</v>
      </c>
      <c r="V54" s="2" t="s">
        <v>1342</v>
      </c>
      <c r="W54" s="2" t="s">
        <v>1343</v>
      </c>
      <c r="X54" s="2" t="s">
        <v>1344</v>
      </c>
      <c r="Y54" s="2" t="s">
        <v>1208</v>
      </c>
    </row>
    <row r="55" spans="1:25" s="2" customFormat="1" hidden="1">
      <c r="A55" s="2" t="s">
        <v>1361</v>
      </c>
      <c r="B55" s="2" t="s">
        <v>1362</v>
      </c>
      <c r="C55" s="2" t="s">
        <v>1226</v>
      </c>
      <c r="D55" s="2" t="s">
        <v>1226</v>
      </c>
      <c r="E55" s="2" t="s">
        <v>1363</v>
      </c>
      <c r="F55" s="2" t="s">
        <v>1364</v>
      </c>
      <c r="G55" s="2" t="s">
        <v>1264</v>
      </c>
      <c r="H55" s="2" t="s">
        <v>1260</v>
      </c>
      <c r="I55" s="2" t="s">
        <v>1197</v>
      </c>
      <c r="J55" s="2" t="s">
        <v>1198</v>
      </c>
      <c r="K55" s="2" t="s">
        <v>1199</v>
      </c>
      <c r="L55" s="1">
        <v>100</v>
      </c>
      <c r="M55" s="1">
        <f t="shared" si="0"/>
        <v>1E-4</v>
      </c>
      <c r="N55" s="2" t="s">
        <v>1215</v>
      </c>
      <c r="O55" s="2" t="s">
        <v>1209</v>
      </c>
      <c r="P55" s="2" t="s">
        <v>1249</v>
      </c>
      <c r="S55" s="4">
        <v>43845.096220868058</v>
      </c>
      <c r="T55" s="2" t="s">
        <v>1365</v>
      </c>
      <c r="U55" s="2" t="s">
        <v>1366</v>
      </c>
      <c r="V55" s="2" t="s">
        <v>1367</v>
      </c>
      <c r="W55" s="2" t="s">
        <v>1368</v>
      </c>
      <c r="X55" s="2" t="s">
        <v>1369</v>
      </c>
      <c r="Y55" s="2" t="s">
        <v>1208</v>
      </c>
    </row>
    <row r="56" spans="1:25" s="2" customFormat="1" hidden="1">
      <c r="B56" s="2" t="s">
        <v>1337</v>
      </c>
      <c r="C56" s="2" t="s">
        <v>1226</v>
      </c>
      <c r="D56" s="2" t="s">
        <v>1226</v>
      </c>
      <c r="E56" s="2" t="s">
        <v>1370</v>
      </c>
      <c r="F56" s="2" t="s">
        <v>1371</v>
      </c>
      <c r="G56" s="2" t="s">
        <v>1195</v>
      </c>
      <c r="H56" s="2" t="s">
        <v>1196</v>
      </c>
      <c r="I56" s="2" t="s">
        <v>1197</v>
      </c>
      <c r="J56" s="2" t="s">
        <v>1198</v>
      </c>
      <c r="K56" s="2" t="s">
        <v>1199</v>
      </c>
      <c r="L56" s="1">
        <v>100</v>
      </c>
      <c r="M56" s="1">
        <f t="shared" si="0"/>
        <v>1E-4</v>
      </c>
      <c r="N56" s="2" t="s">
        <v>1265</v>
      </c>
      <c r="O56" s="2" t="s">
        <v>1209</v>
      </c>
      <c r="P56" s="2" t="s">
        <v>1210</v>
      </c>
      <c r="S56" s="4">
        <v>44582.504091863426</v>
      </c>
      <c r="T56" s="2" t="s">
        <v>1340</v>
      </c>
      <c r="U56" s="2" t="s">
        <v>1341</v>
      </c>
      <c r="V56" s="2" t="s">
        <v>1342</v>
      </c>
      <c r="W56" s="2" t="s">
        <v>1343</v>
      </c>
      <c r="X56" s="2" t="s">
        <v>1344</v>
      </c>
      <c r="Y56" s="2" t="s">
        <v>1208</v>
      </c>
    </row>
    <row r="57" spans="1:25" s="2" customFormat="1" hidden="1">
      <c r="B57" s="2" t="s">
        <v>1337</v>
      </c>
      <c r="C57" s="2" t="s">
        <v>1226</v>
      </c>
      <c r="D57" s="2" t="s">
        <v>1226</v>
      </c>
      <c r="E57" s="2" t="s">
        <v>1370</v>
      </c>
      <c r="F57" s="2" t="s">
        <v>1371</v>
      </c>
      <c r="G57" s="2" t="s">
        <v>1195</v>
      </c>
      <c r="H57" s="2" t="s">
        <v>1196</v>
      </c>
      <c r="I57" s="2" t="s">
        <v>1197</v>
      </c>
      <c r="J57" s="2" t="s">
        <v>1198</v>
      </c>
      <c r="K57" s="2" t="s">
        <v>1199</v>
      </c>
      <c r="L57" s="1">
        <v>100</v>
      </c>
      <c r="M57" s="1">
        <f t="shared" si="0"/>
        <v>1E-4</v>
      </c>
      <c r="N57" s="2" t="s">
        <v>1265</v>
      </c>
      <c r="O57" s="2" t="s">
        <v>1209</v>
      </c>
      <c r="P57" s="2" t="s">
        <v>1224</v>
      </c>
      <c r="S57" s="4">
        <v>45106.039233368057</v>
      </c>
      <c r="T57" s="2" t="s">
        <v>1340</v>
      </c>
      <c r="U57" s="2" t="s">
        <v>1341</v>
      </c>
      <c r="V57" s="2" t="s">
        <v>1342</v>
      </c>
      <c r="W57" s="2" t="s">
        <v>1343</v>
      </c>
      <c r="X57" s="2" t="s">
        <v>1344</v>
      </c>
      <c r="Y57" s="2" t="s">
        <v>1208</v>
      </c>
    </row>
    <row r="58" spans="1:25" s="2" customFormat="1" hidden="1">
      <c r="B58" s="2" t="s">
        <v>1337</v>
      </c>
      <c r="C58" s="2" t="s">
        <v>1226</v>
      </c>
      <c r="D58" s="2" t="s">
        <v>1226</v>
      </c>
      <c r="E58" s="2" t="s">
        <v>1338</v>
      </c>
      <c r="F58" s="2" t="s">
        <v>1372</v>
      </c>
      <c r="G58" s="2" t="s">
        <v>1195</v>
      </c>
      <c r="H58" s="2" t="s">
        <v>1196</v>
      </c>
      <c r="I58" s="2" t="s">
        <v>1197</v>
      </c>
      <c r="J58" s="2" t="s">
        <v>1198</v>
      </c>
      <c r="K58" s="2" t="s">
        <v>1199</v>
      </c>
      <c r="L58" s="1">
        <v>100</v>
      </c>
      <c r="M58" s="1">
        <f t="shared" si="0"/>
        <v>1E-4</v>
      </c>
      <c r="N58" s="2" t="s">
        <v>1231</v>
      </c>
      <c r="O58" s="2" t="s">
        <v>1209</v>
      </c>
      <c r="P58" s="2" t="s">
        <v>1224</v>
      </c>
      <c r="S58" s="4">
        <v>45106.039233368057</v>
      </c>
      <c r="T58" s="2" t="s">
        <v>1340</v>
      </c>
      <c r="U58" s="2" t="s">
        <v>1341</v>
      </c>
      <c r="V58" s="2" t="s">
        <v>1342</v>
      </c>
      <c r="W58" s="2" t="s">
        <v>1343</v>
      </c>
      <c r="X58" s="2" t="s">
        <v>1344</v>
      </c>
      <c r="Y58" s="2" t="s">
        <v>1208</v>
      </c>
    </row>
    <row r="59" spans="1:25" s="2" customFormat="1" hidden="1">
      <c r="B59" s="2" t="s">
        <v>1337</v>
      </c>
      <c r="C59" s="2" t="s">
        <v>1226</v>
      </c>
      <c r="D59" s="2" t="s">
        <v>1226</v>
      </c>
      <c r="E59" s="2" t="s">
        <v>1348</v>
      </c>
      <c r="F59" s="2" t="s">
        <v>1349</v>
      </c>
      <c r="G59" s="2" t="s">
        <v>1347</v>
      </c>
      <c r="H59" s="2" t="s">
        <v>1196</v>
      </c>
      <c r="I59" s="2" t="s">
        <v>1197</v>
      </c>
      <c r="J59" s="2" t="s">
        <v>1198</v>
      </c>
      <c r="K59" s="2" t="s">
        <v>1199</v>
      </c>
      <c r="L59" s="1">
        <v>100</v>
      </c>
      <c r="M59" s="1">
        <f t="shared" si="0"/>
        <v>1E-4</v>
      </c>
      <c r="N59" s="2" t="s">
        <v>1231</v>
      </c>
      <c r="O59" s="2" t="s">
        <v>1209</v>
      </c>
      <c r="P59" s="2" t="s">
        <v>1224</v>
      </c>
      <c r="S59" s="4">
        <v>45106.039233368057</v>
      </c>
      <c r="T59" s="2" t="s">
        <v>1340</v>
      </c>
      <c r="U59" s="2" t="s">
        <v>1341</v>
      </c>
      <c r="V59" s="2" t="s">
        <v>1342</v>
      </c>
      <c r="W59" s="2" t="s">
        <v>1343</v>
      </c>
      <c r="X59" s="2" t="s">
        <v>1344</v>
      </c>
      <c r="Y59" s="2" t="s">
        <v>1208</v>
      </c>
    </row>
    <row r="60" spans="1:25" s="2" customFormat="1" hidden="1">
      <c r="B60" s="2" t="s">
        <v>1373</v>
      </c>
      <c r="C60" s="2" t="s">
        <v>1226</v>
      </c>
      <c r="D60" s="2" t="s">
        <v>1226</v>
      </c>
      <c r="E60" s="2" t="s">
        <v>1374</v>
      </c>
      <c r="F60" s="2" t="s">
        <v>1375</v>
      </c>
      <c r="G60" s="2" t="s">
        <v>1195</v>
      </c>
      <c r="H60" s="2" t="s">
        <v>1196</v>
      </c>
      <c r="I60" s="2" t="s">
        <v>1197</v>
      </c>
      <c r="J60" s="2" t="s">
        <v>1198</v>
      </c>
      <c r="K60" s="2" t="s">
        <v>1199</v>
      </c>
      <c r="L60" s="1">
        <v>100</v>
      </c>
      <c r="M60" s="1">
        <f t="shared" si="0"/>
        <v>1E-4</v>
      </c>
      <c r="N60" s="2" t="s">
        <v>1215</v>
      </c>
      <c r="O60" s="2" t="s">
        <v>1209</v>
      </c>
      <c r="P60" s="2" t="s">
        <v>1249</v>
      </c>
      <c r="S60" s="4">
        <v>43858.658161307867</v>
      </c>
      <c r="T60" s="2" t="s">
        <v>1376</v>
      </c>
      <c r="U60" s="2" t="s">
        <v>1377</v>
      </c>
      <c r="V60" s="2" t="s">
        <v>1378</v>
      </c>
      <c r="W60" s="2" t="s">
        <v>1379</v>
      </c>
      <c r="X60" s="2" t="s">
        <v>1380</v>
      </c>
      <c r="Y60" s="2" t="s">
        <v>1208</v>
      </c>
    </row>
    <row r="61" spans="1:25" s="2" customFormat="1" hidden="1">
      <c r="B61" s="2" t="s">
        <v>1373</v>
      </c>
      <c r="C61" s="2" t="s">
        <v>1226</v>
      </c>
      <c r="D61" s="2" t="s">
        <v>1226</v>
      </c>
      <c r="E61" s="2" t="s">
        <v>1374</v>
      </c>
      <c r="F61" s="2" t="s">
        <v>1381</v>
      </c>
      <c r="G61" s="2" t="s">
        <v>1195</v>
      </c>
      <c r="H61" s="2" t="s">
        <v>1196</v>
      </c>
      <c r="I61" s="2" t="s">
        <v>1197</v>
      </c>
      <c r="J61" s="2" t="s">
        <v>1198</v>
      </c>
      <c r="K61" s="2" t="s">
        <v>1199</v>
      </c>
      <c r="L61" s="1">
        <v>100</v>
      </c>
      <c r="M61" s="1">
        <f t="shared" si="0"/>
        <v>1E-4</v>
      </c>
      <c r="N61" s="2" t="s">
        <v>1215</v>
      </c>
      <c r="O61" s="2" t="s">
        <v>1209</v>
      </c>
      <c r="P61" s="2" t="s">
        <v>1249</v>
      </c>
      <c r="S61" s="4">
        <v>43858.658161307867</v>
      </c>
      <c r="T61" s="2" t="s">
        <v>1376</v>
      </c>
      <c r="U61" s="2" t="s">
        <v>1377</v>
      </c>
      <c r="V61" s="2" t="s">
        <v>1378</v>
      </c>
      <c r="W61" s="2" t="s">
        <v>1379</v>
      </c>
      <c r="X61" s="2" t="s">
        <v>1380</v>
      </c>
      <c r="Y61" s="2" t="s">
        <v>1208</v>
      </c>
    </row>
    <row r="62" spans="1:25" s="2" customFormat="1" hidden="1">
      <c r="B62" s="2" t="s">
        <v>1373</v>
      </c>
      <c r="C62" s="2" t="s">
        <v>1226</v>
      </c>
      <c r="D62" s="2" t="s">
        <v>1226</v>
      </c>
      <c r="E62" s="2" t="s">
        <v>1374</v>
      </c>
      <c r="F62" s="2" t="s">
        <v>1381</v>
      </c>
      <c r="G62" s="2" t="s">
        <v>1214</v>
      </c>
      <c r="H62" s="2" t="s">
        <v>1196</v>
      </c>
      <c r="I62" s="2" t="s">
        <v>1197</v>
      </c>
      <c r="J62" s="2" t="s">
        <v>1198</v>
      </c>
      <c r="K62" s="2" t="s">
        <v>1199</v>
      </c>
      <c r="L62" s="1">
        <v>100</v>
      </c>
      <c r="M62" s="1">
        <f t="shared" si="0"/>
        <v>1E-4</v>
      </c>
      <c r="N62" s="2" t="s">
        <v>1215</v>
      </c>
      <c r="O62" s="2" t="s">
        <v>1209</v>
      </c>
      <c r="P62" s="2" t="s">
        <v>1249</v>
      </c>
      <c r="S62" s="4">
        <v>43858.658161307867</v>
      </c>
      <c r="T62" s="2" t="s">
        <v>1376</v>
      </c>
      <c r="U62" s="2" t="s">
        <v>1377</v>
      </c>
      <c r="V62" s="2" t="s">
        <v>1378</v>
      </c>
      <c r="W62" s="2" t="s">
        <v>1379</v>
      </c>
      <c r="X62" s="2" t="s">
        <v>1380</v>
      </c>
      <c r="Y62" s="2" t="s">
        <v>1208</v>
      </c>
    </row>
    <row r="63" spans="1:25" s="2" customFormat="1" hidden="1">
      <c r="B63" s="2" t="s">
        <v>1373</v>
      </c>
      <c r="C63" s="2" t="s">
        <v>1226</v>
      </c>
      <c r="D63" s="2" t="s">
        <v>1226</v>
      </c>
      <c r="E63" s="2" t="s">
        <v>1374</v>
      </c>
      <c r="F63" s="2" t="s">
        <v>1381</v>
      </c>
      <c r="G63" s="2" t="s">
        <v>1264</v>
      </c>
      <c r="H63" s="2" t="s">
        <v>1196</v>
      </c>
      <c r="I63" s="2" t="s">
        <v>1197</v>
      </c>
      <c r="J63" s="2" t="s">
        <v>1198</v>
      </c>
      <c r="K63" s="2" t="s">
        <v>1199</v>
      </c>
      <c r="L63" s="1">
        <v>100</v>
      </c>
      <c r="M63" s="1">
        <f t="shared" si="0"/>
        <v>1E-4</v>
      </c>
      <c r="N63" s="2" t="s">
        <v>1215</v>
      </c>
      <c r="O63" s="2" t="s">
        <v>1209</v>
      </c>
      <c r="P63" s="2" t="s">
        <v>1249</v>
      </c>
      <c r="S63" s="4">
        <v>43858.658161307867</v>
      </c>
      <c r="T63" s="2" t="s">
        <v>1376</v>
      </c>
      <c r="U63" s="2" t="s">
        <v>1377</v>
      </c>
      <c r="V63" s="2" t="s">
        <v>1378</v>
      </c>
      <c r="W63" s="2" t="s">
        <v>1379</v>
      </c>
      <c r="X63" s="2" t="s">
        <v>1380</v>
      </c>
      <c r="Y63" s="2" t="s">
        <v>1208</v>
      </c>
    </row>
    <row r="64" spans="1:25" s="2" customFormat="1" hidden="1">
      <c r="B64" s="2" t="s">
        <v>1373</v>
      </c>
      <c r="C64" s="2" t="s">
        <v>1226</v>
      </c>
      <c r="D64" s="2" t="s">
        <v>1226</v>
      </c>
      <c r="E64" s="2" t="s">
        <v>1382</v>
      </c>
      <c r="F64" s="2" t="s">
        <v>1383</v>
      </c>
      <c r="G64" s="2" t="s">
        <v>1264</v>
      </c>
      <c r="H64" s="2" t="s">
        <v>1196</v>
      </c>
      <c r="I64" s="2" t="s">
        <v>1197</v>
      </c>
      <c r="J64" s="2" t="s">
        <v>1198</v>
      </c>
      <c r="K64" s="2" t="s">
        <v>1199</v>
      </c>
      <c r="L64" s="1">
        <v>100</v>
      </c>
      <c r="M64" s="1">
        <f t="shared" si="0"/>
        <v>1E-4</v>
      </c>
      <c r="N64" s="2" t="s">
        <v>1215</v>
      </c>
      <c r="O64" s="2" t="s">
        <v>1209</v>
      </c>
      <c r="P64" s="2" t="s">
        <v>1249</v>
      </c>
      <c r="S64" s="4">
        <v>43858.658161307867</v>
      </c>
      <c r="T64" s="2" t="s">
        <v>1376</v>
      </c>
      <c r="U64" s="2" t="s">
        <v>1377</v>
      </c>
      <c r="V64" s="2" t="s">
        <v>1378</v>
      </c>
      <c r="W64" s="2" t="s">
        <v>1379</v>
      </c>
      <c r="X64" s="2" t="s">
        <v>1380</v>
      </c>
      <c r="Y64" s="2" t="s">
        <v>1208</v>
      </c>
    </row>
    <row r="65" spans="1:25" s="2" customFormat="1" hidden="1">
      <c r="A65" s="2" t="s">
        <v>1361</v>
      </c>
      <c r="B65" s="2" t="s">
        <v>1362</v>
      </c>
      <c r="C65" s="2" t="s">
        <v>1226</v>
      </c>
      <c r="D65" s="2" t="s">
        <v>1226</v>
      </c>
      <c r="E65" s="2" t="s">
        <v>1363</v>
      </c>
      <c r="F65" s="2" t="s">
        <v>1364</v>
      </c>
      <c r="G65" s="2" t="s">
        <v>1264</v>
      </c>
      <c r="H65" s="2" t="s">
        <v>1196</v>
      </c>
      <c r="I65" s="2" t="s">
        <v>1197</v>
      </c>
      <c r="J65" s="2" t="s">
        <v>1198</v>
      </c>
      <c r="K65" s="2" t="s">
        <v>1199</v>
      </c>
      <c r="L65" s="1">
        <v>100</v>
      </c>
      <c r="M65" s="1">
        <f t="shared" si="0"/>
        <v>1E-4</v>
      </c>
      <c r="N65" s="2" t="s">
        <v>1215</v>
      </c>
      <c r="O65" s="2" t="s">
        <v>1209</v>
      </c>
      <c r="P65" s="2" t="s">
        <v>1216</v>
      </c>
      <c r="S65" s="4">
        <v>44152.073934224536</v>
      </c>
      <c r="T65" s="2" t="s">
        <v>1365</v>
      </c>
      <c r="U65" s="2" t="s">
        <v>1366</v>
      </c>
      <c r="V65" s="2" t="s">
        <v>1367</v>
      </c>
      <c r="W65" s="2" t="s">
        <v>1368</v>
      </c>
      <c r="X65" s="2" t="s">
        <v>1369</v>
      </c>
      <c r="Y65" s="2" t="s">
        <v>1208</v>
      </c>
    </row>
    <row r="66" spans="1:25" s="2" customFormat="1" hidden="1">
      <c r="B66" s="2" t="s">
        <v>1337</v>
      </c>
      <c r="C66" s="2" t="s">
        <v>1226</v>
      </c>
      <c r="D66" s="2" t="s">
        <v>1226</v>
      </c>
      <c r="E66" s="2" t="s">
        <v>1370</v>
      </c>
      <c r="F66" s="2" t="s">
        <v>1371</v>
      </c>
      <c r="G66" s="2" t="s">
        <v>1195</v>
      </c>
      <c r="H66" s="2" t="s">
        <v>1196</v>
      </c>
      <c r="I66" s="2" t="s">
        <v>1197</v>
      </c>
      <c r="J66" s="2" t="s">
        <v>1198</v>
      </c>
      <c r="K66" s="2" t="s">
        <v>1199</v>
      </c>
      <c r="L66" s="1">
        <v>100</v>
      </c>
      <c r="M66" s="1">
        <f t="shared" ref="M66:M105" si="1">L66/1000000</f>
        <v>1E-4</v>
      </c>
      <c r="N66" s="2" t="s">
        <v>1265</v>
      </c>
      <c r="O66" s="2" t="s">
        <v>1209</v>
      </c>
      <c r="P66" s="2" t="s">
        <v>1216</v>
      </c>
      <c r="S66" s="4">
        <v>44217.663160567128</v>
      </c>
      <c r="T66" s="2" t="s">
        <v>1340</v>
      </c>
      <c r="U66" s="2" t="s">
        <v>1341</v>
      </c>
      <c r="V66" s="2" t="s">
        <v>1342</v>
      </c>
      <c r="W66" s="2" t="s">
        <v>1343</v>
      </c>
      <c r="X66" s="2" t="s">
        <v>1344</v>
      </c>
      <c r="Y66" s="2" t="s">
        <v>1208</v>
      </c>
    </row>
    <row r="67" spans="1:25" s="2" customFormat="1" hidden="1">
      <c r="B67" s="2" t="s">
        <v>1356</v>
      </c>
      <c r="C67" s="2" t="s">
        <v>1226</v>
      </c>
      <c r="D67" s="2" t="s">
        <v>1226</v>
      </c>
      <c r="E67" s="2" t="s">
        <v>1348</v>
      </c>
      <c r="F67" s="2" t="s">
        <v>1349</v>
      </c>
      <c r="G67" s="2" t="s">
        <v>1195</v>
      </c>
      <c r="H67" s="2" t="s">
        <v>1196</v>
      </c>
      <c r="I67" s="2" t="s">
        <v>1197</v>
      </c>
      <c r="J67" s="2" t="s">
        <v>1198</v>
      </c>
      <c r="K67" s="2" t="s">
        <v>1199</v>
      </c>
      <c r="L67" s="1">
        <v>100</v>
      </c>
      <c r="M67" s="1">
        <f t="shared" si="1"/>
        <v>1E-4</v>
      </c>
      <c r="N67" s="2" t="s">
        <v>1231</v>
      </c>
      <c r="O67" s="2" t="s">
        <v>1209</v>
      </c>
      <c r="P67" s="2" t="s">
        <v>1249</v>
      </c>
      <c r="S67" s="4">
        <v>43812.178384409723</v>
      </c>
      <c r="T67" s="2" t="s">
        <v>1357</v>
      </c>
      <c r="U67" s="2" t="s">
        <v>1384</v>
      </c>
      <c r="V67" s="2" t="s">
        <v>1358</v>
      </c>
      <c r="W67" s="2" t="s">
        <v>1359</v>
      </c>
      <c r="X67" s="2" t="s">
        <v>1385</v>
      </c>
      <c r="Y67" s="2" t="s">
        <v>1208</v>
      </c>
    </row>
    <row r="68" spans="1:25" s="2" customFormat="1" hidden="1">
      <c r="B68" s="2" t="s">
        <v>1237</v>
      </c>
      <c r="C68" s="2" t="s">
        <v>1226</v>
      </c>
      <c r="D68" s="2" t="s">
        <v>1226</v>
      </c>
      <c r="E68" s="2" t="s">
        <v>1374</v>
      </c>
      <c r="F68" s="2" t="s">
        <v>1381</v>
      </c>
      <c r="G68" s="2" t="s">
        <v>1195</v>
      </c>
      <c r="H68" s="2" t="s">
        <v>1298</v>
      </c>
      <c r="I68" s="2" t="s">
        <v>1197</v>
      </c>
      <c r="J68" s="2" t="s">
        <v>1198</v>
      </c>
      <c r="K68" s="2" t="s">
        <v>1230</v>
      </c>
      <c r="L68" s="1">
        <v>500</v>
      </c>
      <c r="M68" s="1">
        <f t="shared" si="1"/>
        <v>5.0000000000000001E-4</v>
      </c>
      <c r="N68" s="2" t="s">
        <v>1231</v>
      </c>
      <c r="O68" s="2" t="s">
        <v>1201</v>
      </c>
      <c r="P68" s="2" t="s">
        <v>1202</v>
      </c>
      <c r="Q68" s="2">
        <v>35700</v>
      </c>
      <c r="S68" s="4">
        <v>45334.586989467593</v>
      </c>
      <c r="T68" s="2" t="s">
        <v>1240</v>
      </c>
      <c r="U68" s="2" t="s">
        <v>1241</v>
      </c>
      <c r="V68" s="2" t="s">
        <v>1242</v>
      </c>
      <c r="W68" s="2" t="s">
        <v>1243</v>
      </c>
      <c r="X68" s="2" t="s">
        <v>1244</v>
      </c>
      <c r="Y68" s="2" t="s">
        <v>1208</v>
      </c>
    </row>
    <row r="69" spans="1:25" s="2" customFormat="1" hidden="1">
      <c r="B69" s="2" t="s">
        <v>1329</v>
      </c>
      <c r="C69" s="2" t="s">
        <v>1226</v>
      </c>
      <c r="D69" s="2" t="s">
        <v>1226</v>
      </c>
      <c r="E69" s="2" t="s">
        <v>1338</v>
      </c>
      <c r="F69" s="2" t="s">
        <v>1386</v>
      </c>
      <c r="G69" s="2" t="s">
        <v>1195</v>
      </c>
      <c r="H69" s="2" t="s">
        <v>1196</v>
      </c>
      <c r="I69" s="2" t="s">
        <v>1197</v>
      </c>
      <c r="J69" s="2" t="s">
        <v>1198</v>
      </c>
      <c r="K69" s="2" t="s">
        <v>1230</v>
      </c>
      <c r="L69" s="1">
        <v>500</v>
      </c>
      <c r="M69" s="1">
        <f t="shared" si="1"/>
        <v>5.0000000000000001E-4</v>
      </c>
      <c r="N69" s="2" t="s">
        <v>1265</v>
      </c>
      <c r="O69" s="2" t="s">
        <v>1201</v>
      </c>
      <c r="P69" s="2" t="s">
        <v>1202</v>
      </c>
      <c r="R69" s="2">
        <v>370</v>
      </c>
      <c r="S69" s="4">
        <v>45322.804919525464</v>
      </c>
      <c r="T69" s="2" t="s">
        <v>1330</v>
      </c>
      <c r="U69" s="2" t="s">
        <v>1331</v>
      </c>
      <c r="V69" s="2" t="s">
        <v>1332</v>
      </c>
      <c r="W69" s="2" t="s">
        <v>1333</v>
      </c>
      <c r="X69" s="2" t="s">
        <v>1334</v>
      </c>
      <c r="Y69" s="2" t="s">
        <v>1208</v>
      </c>
    </row>
    <row r="70" spans="1:25" s="2" customFormat="1" hidden="1">
      <c r="B70" s="2" t="s">
        <v>1329</v>
      </c>
      <c r="C70" s="2" t="s">
        <v>1226</v>
      </c>
      <c r="D70" s="2" t="s">
        <v>1226</v>
      </c>
      <c r="E70" s="2" t="s">
        <v>1338</v>
      </c>
      <c r="F70" s="2" t="s">
        <v>1386</v>
      </c>
      <c r="G70" s="2" t="s">
        <v>1236</v>
      </c>
      <c r="H70" s="2" t="s">
        <v>1196</v>
      </c>
      <c r="I70" s="2" t="s">
        <v>1197</v>
      </c>
      <c r="J70" s="2" t="s">
        <v>1198</v>
      </c>
      <c r="K70" s="2" t="s">
        <v>1230</v>
      </c>
      <c r="L70" s="1">
        <v>500</v>
      </c>
      <c r="M70" s="1">
        <f t="shared" si="1"/>
        <v>5.0000000000000001E-4</v>
      </c>
      <c r="N70" s="2" t="s">
        <v>813</v>
      </c>
      <c r="O70" s="2" t="s">
        <v>1201</v>
      </c>
      <c r="P70" s="2" t="s">
        <v>1202</v>
      </c>
      <c r="R70" s="2">
        <v>370</v>
      </c>
      <c r="S70" s="4">
        <v>45322.804919525464</v>
      </c>
      <c r="T70" s="2" t="s">
        <v>1330</v>
      </c>
      <c r="U70" s="2" t="s">
        <v>1331</v>
      </c>
      <c r="V70" s="2" t="s">
        <v>1332</v>
      </c>
      <c r="W70" s="2" t="s">
        <v>1333</v>
      </c>
      <c r="X70" s="2" t="s">
        <v>1334</v>
      </c>
      <c r="Y70" s="2" t="s">
        <v>1208</v>
      </c>
    </row>
    <row r="71" spans="1:25" s="2" customFormat="1" hidden="1">
      <c r="B71" s="2" t="s">
        <v>1329</v>
      </c>
      <c r="C71" s="2" t="s">
        <v>1226</v>
      </c>
      <c r="D71" s="2" t="s">
        <v>1226</v>
      </c>
      <c r="E71" s="2" t="s">
        <v>1338</v>
      </c>
      <c r="F71" s="2" t="s">
        <v>1386</v>
      </c>
      <c r="G71" s="2" t="s">
        <v>1272</v>
      </c>
      <c r="H71" s="2" t="s">
        <v>1196</v>
      </c>
      <c r="I71" s="2" t="s">
        <v>1197</v>
      </c>
      <c r="J71" s="2" t="s">
        <v>1198</v>
      </c>
      <c r="K71" s="2" t="s">
        <v>1230</v>
      </c>
      <c r="L71" s="1">
        <v>500</v>
      </c>
      <c r="M71" s="1">
        <f t="shared" si="1"/>
        <v>5.0000000000000001E-4</v>
      </c>
      <c r="N71" s="2" t="s">
        <v>1387</v>
      </c>
      <c r="O71" s="2" t="s">
        <v>1201</v>
      </c>
      <c r="P71" s="2" t="s">
        <v>1202</v>
      </c>
      <c r="R71" s="2">
        <v>370</v>
      </c>
      <c r="S71" s="4">
        <v>45322.804919525464</v>
      </c>
      <c r="T71" s="2" t="s">
        <v>1330</v>
      </c>
      <c r="U71" s="2" t="s">
        <v>1331</v>
      </c>
      <c r="V71" s="2" t="s">
        <v>1332</v>
      </c>
      <c r="W71" s="2" t="s">
        <v>1333</v>
      </c>
      <c r="X71" s="2" t="s">
        <v>1334</v>
      </c>
      <c r="Y71" s="2" t="s">
        <v>1208</v>
      </c>
    </row>
    <row r="72" spans="1:25" s="2" customFormat="1" hidden="1">
      <c r="B72" s="2" t="s">
        <v>1388</v>
      </c>
      <c r="C72" s="2" t="s">
        <v>1226</v>
      </c>
      <c r="D72" s="2" t="s">
        <v>1226</v>
      </c>
      <c r="E72" s="2" t="s">
        <v>1370</v>
      </c>
      <c r="F72" s="2" t="s">
        <v>1389</v>
      </c>
      <c r="G72" s="2" t="s">
        <v>1214</v>
      </c>
      <c r="H72" s="2" t="s">
        <v>1246</v>
      </c>
      <c r="I72" s="2" t="s">
        <v>1247</v>
      </c>
      <c r="J72" s="2" t="s">
        <v>1198</v>
      </c>
      <c r="K72" s="2" t="s">
        <v>1230</v>
      </c>
      <c r="L72" s="1">
        <v>500</v>
      </c>
      <c r="M72" s="1">
        <f t="shared" si="1"/>
        <v>5.0000000000000001E-4</v>
      </c>
      <c r="N72" s="2" t="s">
        <v>1231</v>
      </c>
      <c r="O72" s="2" t="s">
        <v>1209</v>
      </c>
      <c r="P72" s="2" t="s">
        <v>1390</v>
      </c>
      <c r="S72" s="4">
        <v>43047.317110219905</v>
      </c>
      <c r="T72" s="2" t="s">
        <v>1391</v>
      </c>
      <c r="V72" s="2" t="s">
        <v>1392</v>
      </c>
      <c r="W72" s="2" t="s">
        <v>1393</v>
      </c>
      <c r="X72" s="2" t="s">
        <v>1394</v>
      </c>
      <c r="Y72" s="2" t="s">
        <v>1208</v>
      </c>
    </row>
    <row r="73" spans="1:25" s="2" customFormat="1" hidden="1">
      <c r="B73" s="2" t="s">
        <v>1395</v>
      </c>
      <c r="C73" s="2" t="s">
        <v>1226</v>
      </c>
      <c r="D73" s="2" t="s">
        <v>1226</v>
      </c>
      <c r="E73" s="2" t="s">
        <v>1348</v>
      </c>
      <c r="F73" s="2" t="s">
        <v>1349</v>
      </c>
      <c r="G73" s="2" t="s">
        <v>1195</v>
      </c>
      <c r="H73" s="2" t="s">
        <v>1246</v>
      </c>
      <c r="I73" s="2" t="s">
        <v>1247</v>
      </c>
      <c r="J73" s="2" t="s">
        <v>1198</v>
      </c>
      <c r="K73" s="2" t="s">
        <v>1230</v>
      </c>
      <c r="L73" s="1">
        <v>500</v>
      </c>
      <c r="M73" s="1">
        <f t="shared" si="1"/>
        <v>5.0000000000000001E-4</v>
      </c>
      <c r="N73" s="2" t="s">
        <v>1265</v>
      </c>
      <c r="O73" s="2" t="s">
        <v>1209</v>
      </c>
      <c r="P73" s="2" t="s">
        <v>1255</v>
      </c>
      <c r="S73" s="4">
        <v>43249.253803356478</v>
      </c>
      <c r="T73" s="2" t="s">
        <v>1396</v>
      </c>
      <c r="V73" s="2" t="s">
        <v>1397</v>
      </c>
      <c r="W73" s="2" t="s">
        <v>1398</v>
      </c>
      <c r="X73" s="2" t="s">
        <v>1399</v>
      </c>
      <c r="Y73" s="2" t="s">
        <v>1400</v>
      </c>
    </row>
    <row r="74" spans="1:25" s="2" customFormat="1" hidden="1">
      <c r="B74" s="2" t="s">
        <v>1401</v>
      </c>
      <c r="C74" s="2" t="s">
        <v>1226</v>
      </c>
      <c r="D74" s="2" t="s">
        <v>1226</v>
      </c>
      <c r="E74" s="2" t="s">
        <v>1370</v>
      </c>
      <c r="F74" s="2" t="s">
        <v>1371</v>
      </c>
      <c r="G74" s="2" t="s">
        <v>1195</v>
      </c>
      <c r="H74" s="2" t="s">
        <v>1246</v>
      </c>
      <c r="I74" s="2" t="s">
        <v>1247</v>
      </c>
      <c r="J74" s="2" t="s">
        <v>1198</v>
      </c>
      <c r="K74" s="2" t="s">
        <v>1230</v>
      </c>
      <c r="L74" s="1">
        <v>500</v>
      </c>
      <c r="M74" s="1">
        <f t="shared" si="1"/>
        <v>5.0000000000000001E-4</v>
      </c>
      <c r="N74" s="2" t="s">
        <v>1231</v>
      </c>
      <c r="O74" s="2" t="s">
        <v>1209</v>
      </c>
      <c r="P74" s="2" t="s">
        <v>1255</v>
      </c>
      <c r="S74" s="4">
        <v>43335.386355127317</v>
      </c>
      <c r="T74" s="2" t="s">
        <v>1402</v>
      </c>
      <c r="V74" s="2" t="s">
        <v>1403</v>
      </c>
      <c r="W74" s="2" t="s">
        <v>1404</v>
      </c>
      <c r="X74" s="2" t="s">
        <v>1405</v>
      </c>
      <c r="Y74" s="2" t="s">
        <v>1208</v>
      </c>
    </row>
    <row r="75" spans="1:25" s="2" customFormat="1" hidden="1">
      <c r="B75" s="2" t="s">
        <v>1401</v>
      </c>
      <c r="C75" s="2" t="s">
        <v>1226</v>
      </c>
      <c r="D75" s="2" t="s">
        <v>1226</v>
      </c>
      <c r="E75" s="2" t="s">
        <v>1370</v>
      </c>
      <c r="F75" s="2" t="s">
        <v>1406</v>
      </c>
      <c r="G75" s="2" t="s">
        <v>1214</v>
      </c>
      <c r="H75" s="2" t="s">
        <v>1246</v>
      </c>
      <c r="I75" s="2" t="s">
        <v>1247</v>
      </c>
      <c r="J75" s="2" t="s">
        <v>1198</v>
      </c>
      <c r="K75" s="2" t="s">
        <v>1230</v>
      </c>
      <c r="L75" s="1">
        <v>500</v>
      </c>
      <c r="M75" s="1">
        <f t="shared" si="1"/>
        <v>5.0000000000000001E-4</v>
      </c>
      <c r="N75" s="2" t="s">
        <v>1231</v>
      </c>
      <c r="O75" s="2" t="s">
        <v>1209</v>
      </c>
      <c r="P75" s="2" t="s">
        <v>1255</v>
      </c>
      <c r="S75" s="4">
        <v>43335.379830636572</v>
      </c>
      <c r="T75" s="2" t="s">
        <v>1402</v>
      </c>
      <c r="V75" s="2" t="s">
        <v>1403</v>
      </c>
      <c r="W75" s="2" t="s">
        <v>1404</v>
      </c>
      <c r="X75" s="2" t="s">
        <v>1405</v>
      </c>
      <c r="Y75" s="2" t="s">
        <v>1208</v>
      </c>
    </row>
    <row r="76" spans="1:25" s="2" customFormat="1" hidden="1">
      <c r="B76" s="2" t="s">
        <v>1407</v>
      </c>
      <c r="C76" s="2" t="s">
        <v>1226</v>
      </c>
      <c r="D76" s="2" t="s">
        <v>1226</v>
      </c>
      <c r="E76" s="2" t="s">
        <v>1370</v>
      </c>
      <c r="F76" s="2" t="s">
        <v>1389</v>
      </c>
      <c r="G76" s="2" t="s">
        <v>1214</v>
      </c>
      <c r="H76" s="2" t="s">
        <v>1246</v>
      </c>
      <c r="I76" s="2" t="s">
        <v>1247</v>
      </c>
      <c r="J76" s="2" t="s">
        <v>1198</v>
      </c>
      <c r="K76" s="2" t="s">
        <v>1230</v>
      </c>
      <c r="L76" s="1">
        <v>500</v>
      </c>
      <c r="M76" s="1">
        <f t="shared" si="1"/>
        <v>5.0000000000000001E-4</v>
      </c>
      <c r="N76" s="2" t="s">
        <v>1231</v>
      </c>
      <c r="O76" s="2" t="s">
        <v>1209</v>
      </c>
      <c r="P76" s="2" t="s">
        <v>1255</v>
      </c>
      <c r="S76" s="4">
        <v>43424.217926620368</v>
      </c>
      <c r="T76" s="2" t="s">
        <v>1408</v>
      </c>
      <c r="V76" s="2" t="s">
        <v>1409</v>
      </c>
      <c r="W76" s="2" t="s">
        <v>1410</v>
      </c>
      <c r="X76" s="2" t="s">
        <v>1411</v>
      </c>
      <c r="Y76" s="2" t="s">
        <v>1208</v>
      </c>
    </row>
    <row r="77" spans="1:25" s="2" customFormat="1" hidden="1">
      <c r="B77" s="2" t="s">
        <v>1407</v>
      </c>
      <c r="C77" s="2" t="s">
        <v>1226</v>
      </c>
      <c r="D77" s="2" t="s">
        <v>1226</v>
      </c>
      <c r="E77" s="2" t="s">
        <v>1370</v>
      </c>
      <c r="F77" s="2" t="s">
        <v>1389</v>
      </c>
      <c r="G77" s="2" t="s">
        <v>1214</v>
      </c>
      <c r="H77" s="2" t="s">
        <v>1246</v>
      </c>
      <c r="I77" s="2" t="s">
        <v>1247</v>
      </c>
      <c r="J77" s="2" t="s">
        <v>1198</v>
      </c>
      <c r="K77" s="2" t="s">
        <v>1230</v>
      </c>
      <c r="L77" s="1">
        <v>500</v>
      </c>
      <c r="M77" s="1">
        <f t="shared" si="1"/>
        <v>5.0000000000000001E-4</v>
      </c>
      <c r="N77" s="2" t="s">
        <v>1231</v>
      </c>
      <c r="O77" s="2" t="s">
        <v>1209</v>
      </c>
      <c r="P77" s="2" t="s">
        <v>1255</v>
      </c>
      <c r="S77" s="4">
        <v>43431.966745451391</v>
      </c>
      <c r="T77" s="2" t="s">
        <v>1408</v>
      </c>
      <c r="V77" s="2" t="s">
        <v>1409</v>
      </c>
      <c r="W77" s="2" t="s">
        <v>1410</v>
      </c>
      <c r="X77" s="2" t="s">
        <v>1411</v>
      </c>
      <c r="Y77" s="2" t="s">
        <v>1208</v>
      </c>
    </row>
    <row r="78" spans="1:25" s="2" customFormat="1" hidden="1">
      <c r="B78" s="2" t="s">
        <v>1412</v>
      </c>
      <c r="C78" s="2" t="s">
        <v>1226</v>
      </c>
      <c r="D78" s="2" t="s">
        <v>1226</v>
      </c>
      <c r="E78" s="2" t="s">
        <v>1413</v>
      </c>
      <c r="F78" s="2" t="s">
        <v>1414</v>
      </c>
      <c r="G78" s="2" t="s">
        <v>1195</v>
      </c>
      <c r="H78" s="2" t="s">
        <v>1246</v>
      </c>
      <c r="I78" s="2" t="s">
        <v>1247</v>
      </c>
      <c r="J78" s="2" t="s">
        <v>1198</v>
      </c>
      <c r="K78" s="2" t="s">
        <v>1230</v>
      </c>
      <c r="L78" s="1">
        <v>500</v>
      </c>
      <c r="M78" s="1">
        <f t="shared" si="1"/>
        <v>5.0000000000000001E-4</v>
      </c>
      <c r="N78" s="2" t="s">
        <v>1231</v>
      </c>
      <c r="O78" s="2" t="s">
        <v>1209</v>
      </c>
      <c r="P78" s="2" t="s">
        <v>1249</v>
      </c>
      <c r="S78" s="4">
        <v>43488.738288194443</v>
      </c>
      <c r="T78" s="2" t="s">
        <v>1415</v>
      </c>
      <c r="V78" s="2" t="s">
        <v>1416</v>
      </c>
      <c r="W78" s="2" t="s">
        <v>1417</v>
      </c>
      <c r="X78" s="2" t="s">
        <v>1418</v>
      </c>
      <c r="Y78" s="2" t="s">
        <v>1208</v>
      </c>
    </row>
    <row r="79" spans="1:25" s="2" customFormat="1" hidden="1">
      <c r="B79" s="2" t="s">
        <v>1401</v>
      </c>
      <c r="C79" s="2" t="s">
        <v>1226</v>
      </c>
      <c r="D79" s="2" t="s">
        <v>1226</v>
      </c>
      <c r="E79" s="2" t="s">
        <v>1370</v>
      </c>
      <c r="F79" s="2" t="s">
        <v>1406</v>
      </c>
      <c r="G79" s="2" t="s">
        <v>1214</v>
      </c>
      <c r="H79" s="2" t="s">
        <v>1246</v>
      </c>
      <c r="I79" s="2" t="s">
        <v>1247</v>
      </c>
      <c r="J79" s="2" t="s">
        <v>1198</v>
      </c>
      <c r="K79" s="2" t="s">
        <v>1230</v>
      </c>
      <c r="L79" s="1">
        <v>500</v>
      </c>
      <c r="M79" s="1">
        <f t="shared" si="1"/>
        <v>5.0000000000000001E-4</v>
      </c>
      <c r="N79" s="2" t="s">
        <v>1231</v>
      </c>
      <c r="O79" s="2" t="s">
        <v>1209</v>
      </c>
      <c r="P79" s="2" t="s">
        <v>1249</v>
      </c>
      <c r="S79" s="4">
        <v>43493.245488194443</v>
      </c>
      <c r="T79" s="2" t="s">
        <v>1402</v>
      </c>
      <c r="V79" s="2" t="s">
        <v>1403</v>
      </c>
      <c r="W79" s="2" t="s">
        <v>1404</v>
      </c>
      <c r="X79" s="2" t="s">
        <v>1405</v>
      </c>
      <c r="Y79" s="2" t="s">
        <v>1208</v>
      </c>
    </row>
    <row r="80" spans="1:25" s="2" customFormat="1" hidden="1">
      <c r="B80" s="2" t="s">
        <v>1401</v>
      </c>
      <c r="C80" s="2" t="s">
        <v>1226</v>
      </c>
      <c r="D80" s="2" t="s">
        <v>1226</v>
      </c>
      <c r="E80" s="2" t="s">
        <v>1370</v>
      </c>
      <c r="F80" s="2" t="s">
        <v>1371</v>
      </c>
      <c r="G80" s="2" t="s">
        <v>1195</v>
      </c>
      <c r="H80" s="2" t="s">
        <v>1246</v>
      </c>
      <c r="I80" s="2" t="s">
        <v>1247</v>
      </c>
      <c r="J80" s="2" t="s">
        <v>1198</v>
      </c>
      <c r="K80" s="2" t="s">
        <v>1230</v>
      </c>
      <c r="L80" s="1">
        <v>500</v>
      </c>
      <c r="M80" s="1">
        <f t="shared" si="1"/>
        <v>5.0000000000000001E-4</v>
      </c>
      <c r="N80" s="2" t="s">
        <v>1231</v>
      </c>
      <c r="O80" s="2" t="s">
        <v>1209</v>
      </c>
      <c r="P80" s="2" t="s">
        <v>1249</v>
      </c>
      <c r="S80" s="4">
        <v>43493.244640856479</v>
      </c>
      <c r="T80" s="2" t="s">
        <v>1402</v>
      </c>
      <c r="V80" s="2" t="s">
        <v>1403</v>
      </c>
      <c r="W80" s="2" t="s">
        <v>1404</v>
      </c>
      <c r="X80" s="2" t="s">
        <v>1405</v>
      </c>
      <c r="Y80" s="2" t="s">
        <v>1208</v>
      </c>
    </row>
    <row r="81" spans="2:25" s="2" customFormat="1" hidden="1">
      <c r="B81" s="2" t="s">
        <v>1245</v>
      </c>
      <c r="C81" s="2" t="s">
        <v>1226</v>
      </c>
      <c r="D81" s="2" t="s">
        <v>1226</v>
      </c>
      <c r="E81" s="2" t="s">
        <v>1374</v>
      </c>
      <c r="F81" s="2" t="s">
        <v>1375</v>
      </c>
      <c r="G81" s="2" t="s">
        <v>1280</v>
      </c>
      <c r="H81" s="2" t="s">
        <v>1260</v>
      </c>
      <c r="I81" s="2" t="s">
        <v>1247</v>
      </c>
      <c r="J81" s="2" t="s">
        <v>1198</v>
      </c>
      <c r="K81" s="2" t="s">
        <v>1230</v>
      </c>
      <c r="L81" s="1">
        <v>500</v>
      </c>
      <c r="M81" s="1">
        <f t="shared" si="1"/>
        <v>5.0000000000000001E-4</v>
      </c>
      <c r="N81" s="2" t="s">
        <v>1231</v>
      </c>
      <c r="O81" s="2" t="s">
        <v>1209</v>
      </c>
      <c r="P81" s="2" t="s">
        <v>1249</v>
      </c>
      <c r="S81" s="4">
        <v>43511.069120219909</v>
      </c>
      <c r="T81" s="2" t="s">
        <v>1250</v>
      </c>
      <c r="V81" s="2" t="s">
        <v>1242</v>
      </c>
      <c r="W81" s="2" t="s">
        <v>1251</v>
      </c>
      <c r="X81" s="2" t="s">
        <v>1252</v>
      </c>
      <c r="Y81" s="2" t="s">
        <v>1208</v>
      </c>
    </row>
    <row r="82" spans="2:25" s="2" customFormat="1" hidden="1">
      <c r="B82" s="2" t="s">
        <v>1245</v>
      </c>
      <c r="C82" s="2" t="s">
        <v>1226</v>
      </c>
      <c r="D82" s="2" t="s">
        <v>1226</v>
      </c>
      <c r="E82" s="2" t="s">
        <v>1374</v>
      </c>
      <c r="F82" s="2" t="s">
        <v>1375</v>
      </c>
      <c r="G82" s="2" t="s">
        <v>1272</v>
      </c>
      <c r="H82" s="2" t="s">
        <v>1260</v>
      </c>
      <c r="I82" s="2" t="s">
        <v>1247</v>
      </c>
      <c r="J82" s="2" t="s">
        <v>1198</v>
      </c>
      <c r="K82" s="2" t="s">
        <v>1230</v>
      </c>
      <c r="L82" s="1">
        <v>500</v>
      </c>
      <c r="M82" s="1">
        <f t="shared" si="1"/>
        <v>5.0000000000000001E-4</v>
      </c>
      <c r="N82" s="2" t="s">
        <v>1231</v>
      </c>
      <c r="O82" s="2" t="s">
        <v>1209</v>
      </c>
      <c r="P82" s="2" t="s">
        <v>1249</v>
      </c>
      <c r="S82" s="4">
        <v>43511.069120219909</v>
      </c>
      <c r="T82" s="2" t="s">
        <v>1250</v>
      </c>
      <c r="V82" s="2" t="s">
        <v>1242</v>
      </c>
      <c r="W82" s="2" t="s">
        <v>1251</v>
      </c>
      <c r="X82" s="2" t="s">
        <v>1252</v>
      </c>
      <c r="Y82" s="2" t="s">
        <v>1208</v>
      </c>
    </row>
    <row r="83" spans="2:25" s="2" customFormat="1" hidden="1">
      <c r="B83" s="2" t="s">
        <v>1245</v>
      </c>
      <c r="C83" s="2" t="s">
        <v>1226</v>
      </c>
      <c r="D83" s="2" t="s">
        <v>1226</v>
      </c>
      <c r="E83" s="2" t="s">
        <v>1363</v>
      </c>
      <c r="F83" s="2" t="s">
        <v>1419</v>
      </c>
      <c r="G83" s="2" t="s">
        <v>1272</v>
      </c>
      <c r="H83" s="2" t="s">
        <v>1260</v>
      </c>
      <c r="I83" s="2" t="s">
        <v>1247</v>
      </c>
      <c r="J83" s="2" t="s">
        <v>1198</v>
      </c>
      <c r="K83" s="2" t="s">
        <v>1230</v>
      </c>
      <c r="L83" s="1">
        <v>500</v>
      </c>
      <c r="M83" s="1">
        <f t="shared" si="1"/>
        <v>5.0000000000000001E-4</v>
      </c>
      <c r="N83" s="2" t="s">
        <v>1231</v>
      </c>
      <c r="O83" s="2" t="s">
        <v>1209</v>
      </c>
      <c r="P83" s="2" t="s">
        <v>1249</v>
      </c>
      <c r="S83" s="4">
        <v>43511.068176701388</v>
      </c>
      <c r="T83" s="2" t="s">
        <v>1250</v>
      </c>
      <c r="V83" s="2" t="s">
        <v>1242</v>
      </c>
      <c r="W83" s="2" t="s">
        <v>1251</v>
      </c>
      <c r="X83" s="2" t="s">
        <v>1252</v>
      </c>
      <c r="Y83" s="2" t="s">
        <v>1208</v>
      </c>
    </row>
    <row r="84" spans="2:25" s="2" customFormat="1" hidden="1">
      <c r="B84" s="2" t="s">
        <v>1245</v>
      </c>
      <c r="C84" s="2" t="s">
        <v>1226</v>
      </c>
      <c r="D84" s="2" t="s">
        <v>1226</v>
      </c>
      <c r="E84" s="2" t="s">
        <v>1374</v>
      </c>
      <c r="F84" s="2" t="s">
        <v>1375</v>
      </c>
      <c r="G84" s="2" t="s">
        <v>1280</v>
      </c>
      <c r="H84" s="2" t="s">
        <v>1246</v>
      </c>
      <c r="I84" s="2" t="s">
        <v>1247</v>
      </c>
      <c r="J84" s="2" t="s">
        <v>1198</v>
      </c>
      <c r="K84" s="2" t="s">
        <v>1230</v>
      </c>
      <c r="L84" s="1">
        <v>500</v>
      </c>
      <c r="M84" s="1">
        <f t="shared" si="1"/>
        <v>5.0000000000000001E-4</v>
      </c>
      <c r="N84" s="2" t="s">
        <v>1231</v>
      </c>
      <c r="O84" s="2" t="s">
        <v>1209</v>
      </c>
      <c r="P84" s="2" t="s">
        <v>1249</v>
      </c>
      <c r="S84" s="4">
        <v>43511.12331087963</v>
      </c>
      <c r="T84" s="2" t="s">
        <v>1250</v>
      </c>
      <c r="V84" s="2" t="s">
        <v>1242</v>
      </c>
      <c r="W84" s="2" t="s">
        <v>1251</v>
      </c>
      <c r="X84" s="2" t="s">
        <v>1252</v>
      </c>
      <c r="Y84" s="2" t="s">
        <v>1208</v>
      </c>
    </row>
    <row r="85" spans="2:25" s="2" customFormat="1" hidden="1">
      <c r="B85" s="2" t="s">
        <v>1245</v>
      </c>
      <c r="C85" s="2" t="s">
        <v>1226</v>
      </c>
      <c r="D85" s="2" t="s">
        <v>1226</v>
      </c>
      <c r="E85" s="2" t="s">
        <v>1374</v>
      </c>
      <c r="F85" s="2" t="s">
        <v>1375</v>
      </c>
      <c r="G85" s="2" t="s">
        <v>1272</v>
      </c>
      <c r="H85" s="2" t="s">
        <v>1246</v>
      </c>
      <c r="I85" s="2" t="s">
        <v>1247</v>
      </c>
      <c r="J85" s="2" t="s">
        <v>1198</v>
      </c>
      <c r="K85" s="2" t="s">
        <v>1230</v>
      </c>
      <c r="L85" s="1">
        <v>500</v>
      </c>
      <c r="M85" s="1">
        <f t="shared" si="1"/>
        <v>5.0000000000000001E-4</v>
      </c>
      <c r="N85" s="2" t="s">
        <v>1231</v>
      </c>
      <c r="O85" s="2" t="s">
        <v>1209</v>
      </c>
      <c r="P85" s="2" t="s">
        <v>1249</v>
      </c>
      <c r="S85" s="4">
        <v>43511.12331087963</v>
      </c>
      <c r="T85" s="2" t="s">
        <v>1250</v>
      </c>
      <c r="V85" s="2" t="s">
        <v>1242</v>
      </c>
      <c r="W85" s="2" t="s">
        <v>1251</v>
      </c>
      <c r="X85" s="2" t="s">
        <v>1252</v>
      </c>
      <c r="Y85" s="2" t="s">
        <v>1208</v>
      </c>
    </row>
    <row r="86" spans="2:25" s="2" customFormat="1" hidden="1">
      <c r="B86" s="2" t="s">
        <v>1245</v>
      </c>
      <c r="C86" s="2" t="s">
        <v>1226</v>
      </c>
      <c r="D86" s="2" t="s">
        <v>1226</v>
      </c>
      <c r="E86" s="2" t="s">
        <v>1363</v>
      </c>
      <c r="F86" s="2" t="s">
        <v>1419</v>
      </c>
      <c r="G86" s="2" t="s">
        <v>1272</v>
      </c>
      <c r="H86" s="2" t="s">
        <v>1246</v>
      </c>
      <c r="I86" s="2" t="s">
        <v>1247</v>
      </c>
      <c r="J86" s="2" t="s">
        <v>1198</v>
      </c>
      <c r="K86" s="2" t="s">
        <v>1230</v>
      </c>
      <c r="L86" s="1">
        <v>500</v>
      </c>
      <c r="M86" s="1">
        <f t="shared" si="1"/>
        <v>5.0000000000000001E-4</v>
      </c>
      <c r="N86" s="2" t="s">
        <v>1231</v>
      </c>
      <c r="O86" s="2" t="s">
        <v>1209</v>
      </c>
      <c r="P86" s="2" t="s">
        <v>1249</v>
      </c>
      <c r="S86" s="4">
        <v>43511.116063773145</v>
      </c>
      <c r="T86" s="2" t="s">
        <v>1250</v>
      </c>
      <c r="V86" s="2" t="s">
        <v>1242</v>
      </c>
      <c r="W86" s="2" t="s">
        <v>1251</v>
      </c>
      <c r="X86" s="2" t="s">
        <v>1252</v>
      </c>
      <c r="Y86" s="2" t="s">
        <v>1208</v>
      </c>
    </row>
    <row r="87" spans="2:25" s="2" customFormat="1" hidden="1">
      <c r="B87" s="2" t="s">
        <v>1237</v>
      </c>
      <c r="C87" s="2" t="s">
        <v>1226</v>
      </c>
      <c r="D87" s="2" t="s">
        <v>1226</v>
      </c>
      <c r="E87" s="2" t="s">
        <v>1370</v>
      </c>
      <c r="F87" s="2" t="s">
        <v>1371</v>
      </c>
      <c r="G87" s="2" t="s">
        <v>1214</v>
      </c>
      <c r="H87" s="2" t="s">
        <v>1298</v>
      </c>
      <c r="I87" s="2" t="s">
        <v>1197</v>
      </c>
      <c r="J87" s="2" t="s">
        <v>1198</v>
      </c>
      <c r="K87" s="2" t="s">
        <v>1230</v>
      </c>
      <c r="L87" s="1">
        <v>500</v>
      </c>
      <c r="M87" s="1">
        <f t="shared" si="1"/>
        <v>5.0000000000000001E-4</v>
      </c>
      <c r="N87" s="2" t="s">
        <v>1231</v>
      </c>
      <c r="O87" s="2" t="s">
        <v>1209</v>
      </c>
      <c r="P87" s="2" t="s">
        <v>1249</v>
      </c>
      <c r="S87" s="4">
        <v>43907.454764814815</v>
      </c>
      <c r="T87" s="2" t="s">
        <v>1240</v>
      </c>
      <c r="U87" s="2" t="s">
        <v>1241</v>
      </c>
      <c r="V87" s="2" t="s">
        <v>1242</v>
      </c>
      <c r="W87" s="2" t="s">
        <v>1243</v>
      </c>
      <c r="X87" s="2" t="s">
        <v>1244</v>
      </c>
      <c r="Y87" s="2" t="s">
        <v>1208</v>
      </c>
    </row>
    <row r="88" spans="2:25" s="2" customFormat="1" hidden="1">
      <c r="B88" s="2" t="s">
        <v>1237</v>
      </c>
      <c r="C88" s="2" t="s">
        <v>1226</v>
      </c>
      <c r="D88" s="2" t="s">
        <v>1226</v>
      </c>
      <c r="E88" s="2" t="s">
        <v>1413</v>
      </c>
      <c r="F88" s="2" t="s">
        <v>1414</v>
      </c>
      <c r="G88" s="2" t="s">
        <v>1195</v>
      </c>
      <c r="H88" s="2" t="s">
        <v>1298</v>
      </c>
      <c r="I88" s="2" t="s">
        <v>1197</v>
      </c>
      <c r="J88" s="2" t="s">
        <v>1198</v>
      </c>
      <c r="K88" s="2" t="s">
        <v>1230</v>
      </c>
      <c r="L88" s="1">
        <v>500</v>
      </c>
      <c r="M88" s="1">
        <f t="shared" si="1"/>
        <v>5.0000000000000001E-4</v>
      </c>
      <c r="N88" s="2" t="s">
        <v>1231</v>
      </c>
      <c r="O88" s="2" t="s">
        <v>1209</v>
      </c>
      <c r="P88" s="2" t="s">
        <v>1249</v>
      </c>
      <c r="S88" s="4">
        <v>43907.454764814815</v>
      </c>
      <c r="T88" s="2" t="s">
        <v>1240</v>
      </c>
      <c r="U88" s="2" t="s">
        <v>1241</v>
      </c>
      <c r="V88" s="2" t="s">
        <v>1242</v>
      </c>
      <c r="W88" s="2" t="s">
        <v>1243</v>
      </c>
      <c r="X88" s="2" t="s">
        <v>1244</v>
      </c>
      <c r="Y88" s="2" t="s">
        <v>1208</v>
      </c>
    </row>
    <row r="89" spans="2:25" s="2" customFormat="1" hidden="1">
      <c r="B89" s="2" t="s">
        <v>1329</v>
      </c>
      <c r="C89" s="2" t="s">
        <v>1226</v>
      </c>
      <c r="D89" s="2" t="s">
        <v>1226</v>
      </c>
      <c r="E89" s="2" t="s">
        <v>1338</v>
      </c>
      <c r="F89" s="2" t="s">
        <v>1386</v>
      </c>
      <c r="G89" s="2" t="s">
        <v>1195</v>
      </c>
      <c r="H89" s="2" t="s">
        <v>1196</v>
      </c>
      <c r="I89" s="2" t="s">
        <v>1197</v>
      </c>
      <c r="J89" s="2" t="s">
        <v>1198</v>
      </c>
      <c r="K89" s="2" t="s">
        <v>1230</v>
      </c>
      <c r="L89" s="1">
        <v>500</v>
      </c>
      <c r="M89" s="1">
        <f t="shared" si="1"/>
        <v>5.0000000000000001E-4</v>
      </c>
      <c r="N89" s="2" t="s">
        <v>1265</v>
      </c>
      <c r="O89" s="2" t="s">
        <v>1209</v>
      </c>
      <c r="P89" s="2" t="s">
        <v>1222</v>
      </c>
      <c r="S89" s="4">
        <v>45322.84608865741</v>
      </c>
      <c r="T89" s="2" t="s">
        <v>1330</v>
      </c>
      <c r="U89" s="2" t="s">
        <v>1331</v>
      </c>
      <c r="V89" s="2" t="s">
        <v>1332</v>
      </c>
      <c r="W89" s="2" t="s">
        <v>1333</v>
      </c>
      <c r="X89" s="2" t="s">
        <v>1334</v>
      </c>
      <c r="Y89" s="2" t="s">
        <v>1208</v>
      </c>
    </row>
    <row r="90" spans="2:25" s="2" customFormat="1" hidden="1">
      <c r="B90" s="2" t="s">
        <v>1329</v>
      </c>
      <c r="C90" s="2" t="s">
        <v>1226</v>
      </c>
      <c r="D90" s="2" t="s">
        <v>1226</v>
      </c>
      <c r="E90" s="2" t="s">
        <v>1338</v>
      </c>
      <c r="F90" s="2" t="s">
        <v>1386</v>
      </c>
      <c r="G90" s="2" t="s">
        <v>1272</v>
      </c>
      <c r="H90" s="2" t="s">
        <v>1196</v>
      </c>
      <c r="I90" s="2" t="s">
        <v>1197</v>
      </c>
      <c r="J90" s="2" t="s">
        <v>1198</v>
      </c>
      <c r="K90" s="2" t="s">
        <v>1230</v>
      </c>
      <c r="L90" s="1">
        <v>500</v>
      </c>
      <c r="M90" s="1">
        <f t="shared" si="1"/>
        <v>5.0000000000000001E-4</v>
      </c>
      <c r="N90" s="2" t="s">
        <v>1387</v>
      </c>
      <c r="O90" s="2" t="s">
        <v>1209</v>
      </c>
      <c r="P90" s="2" t="s">
        <v>1222</v>
      </c>
      <c r="S90" s="4">
        <v>45322.84608865741</v>
      </c>
      <c r="T90" s="2" t="s">
        <v>1330</v>
      </c>
      <c r="U90" s="2" t="s">
        <v>1331</v>
      </c>
      <c r="V90" s="2" t="s">
        <v>1332</v>
      </c>
      <c r="W90" s="2" t="s">
        <v>1333</v>
      </c>
      <c r="X90" s="2" t="s">
        <v>1334</v>
      </c>
      <c r="Y90" s="2" t="s">
        <v>1208</v>
      </c>
    </row>
    <row r="91" spans="2:25" s="2" customFormat="1" hidden="1">
      <c r="B91" s="2" t="s">
        <v>1420</v>
      </c>
      <c r="C91" s="2" t="s">
        <v>1226</v>
      </c>
      <c r="D91" s="2" t="s">
        <v>1226</v>
      </c>
      <c r="E91" s="2" t="s">
        <v>1338</v>
      </c>
      <c r="F91" s="2" t="s">
        <v>1421</v>
      </c>
      <c r="G91" s="2" t="s">
        <v>1272</v>
      </c>
      <c r="H91" s="2" t="s">
        <v>1196</v>
      </c>
      <c r="I91" s="2" t="s">
        <v>1197</v>
      </c>
      <c r="J91" s="2" t="s">
        <v>1198</v>
      </c>
      <c r="K91" s="2" t="s">
        <v>1230</v>
      </c>
      <c r="L91" s="1">
        <v>500</v>
      </c>
      <c r="M91" s="1">
        <f t="shared" si="1"/>
        <v>5.0000000000000001E-4</v>
      </c>
      <c r="N91" s="2" t="s">
        <v>1231</v>
      </c>
      <c r="O91" s="2" t="s">
        <v>1209</v>
      </c>
      <c r="P91" s="2" t="s">
        <v>1224</v>
      </c>
      <c r="S91" s="4">
        <v>45029.207446608794</v>
      </c>
      <c r="T91" s="2" t="s">
        <v>1422</v>
      </c>
      <c r="U91" s="2" t="s">
        <v>1423</v>
      </c>
      <c r="V91" s="2" t="s">
        <v>1424</v>
      </c>
      <c r="W91" s="2" t="s">
        <v>1425</v>
      </c>
      <c r="X91" s="2" t="s">
        <v>1426</v>
      </c>
      <c r="Y91" s="2" t="s">
        <v>1208</v>
      </c>
    </row>
    <row r="92" spans="2:25" s="2" customFormat="1" hidden="1">
      <c r="B92" s="2" t="s">
        <v>1337</v>
      </c>
      <c r="C92" s="2" t="s">
        <v>1226</v>
      </c>
      <c r="D92" s="2" t="s">
        <v>1226</v>
      </c>
      <c r="E92" s="2" t="s">
        <v>1345</v>
      </c>
      <c r="F92" s="2" t="s">
        <v>1346</v>
      </c>
      <c r="G92" s="2" t="s">
        <v>1195</v>
      </c>
      <c r="H92" s="2" t="s">
        <v>1196</v>
      </c>
      <c r="I92" s="2" t="s">
        <v>1197</v>
      </c>
      <c r="J92" s="2" t="s">
        <v>1198</v>
      </c>
      <c r="K92" s="2" t="s">
        <v>1230</v>
      </c>
      <c r="L92" s="1">
        <v>500</v>
      </c>
      <c r="M92" s="1">
        <f t="shared" si="1"/>
        <v>5.0000000000000001E-4</v>
      </c>
      <c r="N92" s="2" t="s">
        <v>1265</v>
      </c>
      <c r="O92" s="2" t="s">
        <v>1209</v>
      </c>
      <c r="P92" s="2" t="s">
        <v>1210</v>
      </c>
      <c r="S92" s="4">
        <v>44582.504091863426</v>
      </c>
      <c r="T92" s="2" t="s">
        <v>1340</v>
      </c>
      <c r="U92" s="2" t="s">
        <v>1341</v>
      </c>
      <c r="V92" s="2" t="s">
        <v>1342</v>
      </c>
      <c r="W92" s="2" t="s">
        <v>1343</v>
      </c>
      <c r="X92" s="2" t="s">
        <v>1344</v>
      </c>
      <c r="Y92" s="2" t="s">
        <v>1208</v>
      </c>
    </row>
    <row r="93" spans="2:25" s="2" customFormat="1" hidden="1">
      <c r="B93" s="2" t="s">
        <v>1329</v>
      </c>
      <c r="C93" s="2" t="s">
        <v>1226</v>
      </c>
      <c r="D93" s="2" t="s">
        <v>1226</v>
      </c>
      <c r="E93" s="2" t="s">
        <v>1338</v>
      </c>
      <c r="F93" s="2" t="s">
        <v>1386</v>
      </c>
      <c r="G93" s="2" t="s">
        <v>1195</v>
      </c>
      <c r="H93" s="2" t="s">
        <v>1298</v>
      </c>
      <c r="I93" s="2" t="s">
        <v>1197</v>
      </c>
      <c r="J93" s="2" t="s">
        <v>1198</v>
      </c>
      <c r="K93" s="2" t="s">
        <v>1230</v>
      </c>
      <c r="L93" s="1">
        <v>500</v>
      </c>
      <c r="M93" s="1">
        <f t="shared" si="1"/>
        <v>5.0000000000000001E-4</v>
      </c>
      <c r="N93" s="2" t="s">
        <v>1265</v>
      </c>
      <c r="O93" s="2" t="s">
        <v>1209</v>
      </c>
      <c r="P93" s="2" t="s">
        <v>1224</v>
      </c>
      <c r="S93" s="4">
        <v>45037.699598298612</v>
      </c>
      <c r="T93" s="2" t="s">
        <v>1330</v>
      </c>
      <c r="U93" s="2" t="s">
        <v>1331</v>
      </c>
      <c r="V93" s="2" t="s">
        <v>1332</v>
      </c>
      <c r="W93" s="2" t="s">
        <v>1333</v>
      </c>
      <c r="X93" s="2" t="s">
        <v>1334</v>
      </c>
      <c r="Y93" s="2" t="s">
        <v>1208</v>
      </c>
    </row>
    <row r="94" spans="2:25" s="2" customFormat="1" hidden="1">
      <c r="B94" s="2" t="s">
        <v>1329</v>
      </c>
      <c r="C94" s="2" t="s">
        <v>1226</v>
      </c>
      <c r="D94" s="2" t="s">
        <v>1226</v>
      </c>
      <c r="E94" s="2" t="s">
        <v>1338</v>
      </c>
      <c r="F94" s="2" t="s">
        <v>1386</v>
      </c>
      <c r="G94" s="2" t="s">
        <v>1236</v>
      </c>
      <c r="H94" s="2" t="s">
        <v>1298</v>
      </c>
      <c r="I94" s="2" t="s">
        <v>1197</v>
      </c>
      <c r="J94" s="2" t="s">
        <v>1198</v>
      </c>
      <c r="K94" s="2" t="s">
        <v>1230</v>
      </c>
      <c r="L94" s="1">
        <v>500</v>
      </c>
      <c r="M94" s="1">
        <f t="shared" si="1"/>
        <v>5.0000000000000001E-4</v>
      </c>
      <c r="N94" s="2" t="s">
        <v>813</v>
      </c>
      <c r="O94" s="2" t="s">
        <v>1209</v>
      </c>
      <c r="P94" s="2" t="s">
        <v>1224</v>
      </c>
      <c r="S94" s="4">
        <v>45037.699598298612</v>
      </c>
      <c r="T94" s="2" t="s">
        <v>1330</v>
      </c>
      <c r="U94" s="2" t="s">
        <v>1331</v>
      </c>
      <c r="V94" s="2" t="s">
        <v>1332</v>
      </c>
      <c r="W94" s="2" t="s">
        <v>1333</v>
      </c>
      <c r="X94" s="2" t="s">
        <v>1334</v>
      </c>
      <c r="Y94" s="2" t="s">
        <v>1208</v>
      </c>
    </row>
    <row r="95" spans="2:25" s="2" customFormat="1" hidden="1">
      <c r="B95" s="2" t="s">
        <v>1337</v>
      </c>
      <c r="C95" s="2" t="s">
        <v>1226</v>
      </c>
      <c r="D95" s="2" t="s">
        <v>1226</v>
      </c>
      <c r="E95" s="2" t="s">
        <v>1345</v>
      </c>
      <c r="F95" s="2" t="s">
        <v>1346</v>
      </c>
      <c r="G95" s="2" t="s">
        <v>1195</v>
      </c>
      <c r="H95" s="2" t="s">
        <v>1196</v>
      </c>
      <c r="I95" s="2" t="s">
        <v>1197</v>
      </c>
      <c r="J95" s="2" t="s">
        <v>1198</v>
      </c>
      <c r="K95" s="2" t="s">
        <v>1230</v>
      </c>
      <c r="L95" s="1">
        <v>500</v>
      </c>
      <c r="M95" s="1">
        <f t="shared" si="1"/>
        <v>5.0000000000000001E-4</v>
      </c>
      <c r="N95" s="2" t="s">
        <v>1265</v>
      </c>
      <c r="O95" s="2" t="s">
        <v>1209</v>
      </c>
      <c r="P95" s="2" t="s">
        <v>1224</v>
      </c>
      <c r="S95" s="4">
        <v>45106.039233368057</v>
      </c>
      <c r="T95" s="2" t="s">
        <v>1340</v>
      </c>
      <c r="U95" s="2" t="s">
        <v>1341</v>
      </c>
      <c r="V95" s="2" t="s">
        <v>1342</v>
      </c>
      <c r="W95" s="2" t="s">
        <v>1343</v>
      </c>
      <c r="X95" s="2" t="s">
        <v>1344</v>
      </c>
      <c r="Y95" s="2" t="s">
        <v>1208</v>
      </c>
    </row>
    <row r="96" spans="2:25" s="2" customFormat="1" hidden="1">
      <c r="B96" s="2" t="s">
        <v>1427</v>
      </c>
      <c r="C96" s="2" t="s">
        <v>1226</v>
      </c>
      <c r="D96" s="2" t="s">
        <v>1226</v>
      </c>
      <c r="E96" s="2" t="s">
        <v>1370</v>
      </c>
      <c r="F96" s="2" t="s">
        <v>1406</v>
      </c>
      <c r="G96" s="2" t="s">
        <v>1214</v>
      </c>
      <c r="H96" s="2" t="s">
        <v>1196</v>
      </c>
      <c r="I96" s="2" t="s">
        <v>1197</v>
      </c>
      <c r="J96" s="2" t="s">
        <v>1198</v>
      </c>
      <c r="K96" s="2" t="s">
        <v>1230</v>
      </c>
      <c r="L96" s="1">
        <v>500</v>
      </c>
      <c r="M96" s="1">
        <f t="shared" si="1"/>
        <v>5.0000000000000001E-4</v>
      </c>
      <c r="N96" s="2" t="s">
        <v>1265</v>
      </c>
      <c r="O96" s="2" t="s">
        <v>1209</v>
      </c>
      <c r="P96" s="2" t="s">
        <v>1224</v>
      </c>
      <c r="S96" s="4">
        <v>44998.627887847222</v>
      </c>
      <c r="T96" s="2" t="s">
        <v>1428</v>
      </c>
      <c r="V96" s="2" t="s">
        <v>1429</v>
      </c>
      <c r="W96" s="2" t="s">
        <v>1430</v>
      </c>
      <c r="X96" s="2" t="s">
        <v>1431</v>
      </c>
      <c r="Y96" s="2" t="s">
        <v>1208</v>
      </c>
    </row>
    <row r="97" spans="2:25" s="2" customFormat="1" hidden="1">
      <c r="B97" s="2" t="s">
        <v>1432</v>
      </c>
      <c r="C97" s="2" t="s">
        <v>1226</v>
      </c>
      <c r="D97" s="2" t="s">
        <v>1226</v>
      </c>
      <c r="E97" s="2" t="s">
        <v>1363</v>
      </c>
      <c r="F97" s="2" t="s">
        <v>1419</v>
      </c>
      <c r="G97" s="2" t="s">
        <v>1214</v>
      </c>
      <c r="I97" s="2" t="s">
        <v>1197</v>
      </c>
      <c r="J97" s="2" t="s">
        <v>1198</v>
      </c>
      <c r="K97" s="2" t="s">
        <v>1230</v>
      </c>
      <c r="L97" s="1">
        <v>500</v>
      </c>
      <c r="M97" s="1">
        <f t="shared" si="1"/>
        <v>5.0000000000000001E-4</v>
      </c>
      <c r="N97" s="2" t="s">
        <v>1265</v>
      </c>
      <c r="O97" s="2" t="s">
        <v>1209</v>
      </c>
      <c r="P97" s="2" t="s">
        <v>1249</v>
      </c>
      <c r="S97" s="4">
        <v>43993.659978437499</v>
      </c>
      <c r="T97" s="2" t="s">
        <v>1433</v>
      </c>
      <c r="U97" s="2" t="s">
        <v>1434</v>
      </c>
      <c r="V97" s="2" t="s">
        <v>1435</v>
      </c>
      <c r="W97" s="2" t="s">
        <v>1436</v>
      </c>
      <c r="X97" s="2" t="s">
        <v>1437</v>
      </c>
      <c r="Y97" s="2" t="s">
        <v>1208</v>
      </c>
    </row>
    <row r="98" spans="2:25" s="2" customFormat="1" hidden="1">
      <c r="B98" s="2" t="s">
        <v>1420</v>
      </c>
      <c r="C98" s="2" t="s">
        <v>1226</v>
      </c>
      <c r="D98" s="2" t="s">
        <v>1226</v>
      </c>
      <c r="E98" s="2" t="s">
        <v>1338</v>
      </c>
      <c r="F98" s="2" t="s">
        <v>1421</v>
      </c>
      <c r="G98" s="2" t="s">
        <v>1272</v>
      </c>
      <c r="H98" s="2" t="s">
        <v>1298</v>
      </c>
      <c r="I98" s="2" t="s">
        <v>1197</v>
      </c>
      <c r="J98" s="2" t="s">
        <v>1198</v>
      </c>
      <c r="K98" s="2" t="s">
        <v>1230</v>
      </c>
      <c r="L98" s="1">
        <v>500</v>
      </c>
      <c r="M98" s="1">
        <f t="shared" si="1"/>
        <v>5.0000000000000001E-4</v>
      </c>
      <c r="N98" s="2" t="s">
        <v>1231</v>
      </c>
      <c r="O98" s="2" t="s">
        <v>1209</v>
      </c>
      <c r="P98" s="2" t="s">
        <v>1216</v>
      </c>
      <c r="S98" s="4">
        <v>44220.925484872685</v>
      </c>
      <c r="T98" s="2" t="s">
        <v>1422</v>
      </c>
      <c r="U98" s="2" t="s">
        <v>1423</v>
      </c>
      <c r="V98" s="2" t="s">
        <v>1424</v>
      </c>
      <c r="W98" s="2" t="s">
        <v>1425</v>
      </c>
      <c r="X98" s="2" t="s">
        <v>1426</v>
      </c>
      <c r="Y98" s="2" t="s">
        <v>1208</v>
      </c>
    </row>
    <row r="99" spans="2:25" s="2" customFormat="1" hidden="1">
      <c r="B99" s="2" t="s">
        <v>1427</v>
      </c>
      <c r="C99" s="2" t="s">
        <v>1226</v>
      </c>
      <c r="D99" s="2" t="s">
        <v>1226</v>
      </c>
      <c r="E99" s="2" t="s">
        <v>1370</v>
      </c>
      <c r="F99" s="2" t="s">
        <v>1406</v>
      </c>
      <c r="G99" s="2" t="s">
        <v>1214</v>
      </c>
      <c r="I99" s="2" t="s">
        <v>1197</v>
      </c>
      <c r="J99" s="2" t="s">
        <v>1198</v>
      </c>
      <c r="K99" s="2" t="s">
        <v>1230</v>
      </c>
      <c r="L99" s="1">
        <v>500</v>
      </c>
      <c r="M99" s="1">
        <f t="shared" si="1"/>
        <v>5.0000000000000001E-4</v>
      </c>
      <c r="N99" s="2" t="s">
        <v>1265</v>
      </c>
      <c r="O99" s="2" t="s">
        <v>1209</v>
      </c>
      <c r="P99" s="2" t="s">
        <v>1210</v>
      </c>
      <c r="S99" s="4">
        <v>44592.694567245373</v>
      </c>
      <c r="T99" s="2" t="s">
        <v>1428</v>
      </c>
      <c r="V99" s="2" t="s">
        <v>1429</v>
      </c>
      <c r="W99" s="2" t="s">
        <v>1430</v>
      </c>
      <c r="X99" s="2" t="s">
        <v>1431</v>
      </c>
      <c r="Y99" s="2" t="s">
        <v>1208</v>
      </c>
    </row>
    <row r="100" spans="2:25" s="2" customFormat="1" hidden="1">
      <c r="B100" s="2" t="s">
        <v>1438</v>
      </c>
      <c r="C100" s="2" t="s">
        <v>1226</v>
      </c>
      <c r="D100" s="2" t="s">
        <v>1226</v>
      </c>
      <c r="E100" s="2" t="s">
        <v>1413</v>
      </c>
      <c r="F100" s="2" t="s">
        <v>1414</v>
      </c>
      <c r="G100" s="2" t="s">
        <v>1195</v>
      </c>
      <c r="I100" s="2" t="s">
        <v>1197</v>
      </c>
      <c r="J100" s="2" t="s">
        <v>1198</v>
      </c>
      <c r="K100" s="2" t="s">
        <v>1230</v>
      </c>
      <c r="L100" s="1">
        <v>500</v>
      </c>
      <c r="M100" s="1">
        <f t="shared" si="1"/>
        <v>5.0000000000000001E-4</v>
      </c>
      <c r="N100" s="2" t="s">
        <v>1231</v>
      </c>
      <c r="O100" s="2" t="s">
        <v>1209</v>
      </c>
      <c r="P100" s="2" t="s">
        <v>1249</v>
      </c>
      <c r="S100" s="4">
        <v>43957.945495173612</v>
      </c>
      <c r="T100" s="2" t="s">
        <v>1439</v>
      </c>
      <c r="U100" s="2" t="s">
        <v>1384</v>
      </c>
      <c r="V100" s="2" t="s">
        <v>1440</v>
      </c>
      <c r="W100" s="2" t="s">
        <v>1441</v>
      </c>
      <c r="X100" s="2" t="s">
        <v>1442</v>
      </c>
      <c r="Y100" s="2" t="s">
        <v>1208</v>
      </c>
    </row>
    <row r="101" spans="2:25" s="2" customFormat="1" hidden="1">
      <c r="B101" s="2" t="s">
        <v>1443</v>
      </c>
      <c r="C101" s="2" t="s">
        <v>1226</v>
      </c>
      <c r="D101" s="2" t="s">
        <v>1226</v>
      </c>
      <c r="E101" s="2" t="s">
        <v>1338</v>
      </c>
      <c r="F101" s="2" t="s">
        <v>1386</v>
      </c>
      <c r="G101" s="2" t="s">
        <v>1272</v>
      </c>
      <c r="H101" s="2" t="s">
        <v>1260</v>
      </c>
      <c r="I101" s="2" t="s">
        <v>1197</v>
      </c>
      <c r="J101" s="2" t="s">
        <v>1198</v>
      </c>
      <c r="K101" s="2" t="s">
        <v>1248</v>
      </c>
      <c r="L101" s="1">
        <v>1000</v>
      </c>
      <c r="M101" s="1">
        <f t="shared" si="1"/>
        <v>1E-3</v>
      </c>
      <c r="N101" s="2" t="s">
        <v>1231</v>
      </c>
      <c r="O101" s="2" t="s">
        <v>1209</v>
      </c>
      <c r="P101" s="2" t="s">
        <v>1210</v>
      </c>
      <c r="S101" s="4">
        <v>44579.946712534722</v>
      </c>
      <c r="T101" s="2" t="s">
        <v>1444</v>
      </c>
      <c r="V101" s="2" t="s">
        <v>1445</v>
      </c>
      <c r="W101" s="2" t="s">
        <v>1446</v>
      </c>
      <c r="X101" s="2" t="s">
        <v>1447</v>
      </c>
      <c r="Y101" s="2" t="s">
        <v>1208</v>
      </c>
    </row>
    <row r="102" spans="2:25" s="2" customFormat="1" hidden="1">
      <c r="B102" s="2" t="s">
        <v>1443</v>
      </c>
      <c r="C102" s="2" t="s">
        <v>1226</v>
      </c>
      <c r="D102" s="2" t="s">
        <v>1226</v>
      </c>
      <c r="E102" s="2" t="s">
        <v>1338</v>
      </c>
      <c r="F102" s="2" t="s">
        <v>1386</v>
      </c>
      <c r="G102" s="2" t="s">
        <v>1272</v>
      </c>
      <c r="H102" s="2" t="s">
        <v>1260</v>
      </c>
      <c r="I102" s="2" t="s">
        <v>1197</v>
      </c>
      <c r="J102" s="2" t="s">
        <v>1198</v>
      </c>
      <c r="K102" s="2" t="s">
        <v>1248</v>
      </c>
      <c r="L102" s="1">
        <v>1000</v>
      </c>
      <c r="M102" s="1">
        <f t="shared" si="1"/>
        <v>1E-3</v>
      </c>
      <c r="N102" s="2" t="s">
        <v>1231</v>
      </c>
      <c r="O102" s="2" t="s">
        <v>1209</v>
      </c>
      <c r="P102" s="2" t="s">
        <v>1216</v>
      </c>
      <c r="S102" s="4">
        <v>44222.915822835646</v>
      </c>
      <c r="T102" s="2" t="s">
        <v>1444</v>
      </c>
      <c r="V102" s="2" t="s">
        <v>1445</v>
      </c>
      <c r="W102" s="2" t="s">
        <v>1446</v>
      </c>
      <c r="X102" s="2" t="s">
        <v>1447</v>
      </c>
      <c r="Y102" s="2" t="s">
        <v>1208</v>
      </c>
    </row>
    <row r="103" spans="2:25" s="2" customFormat="1" hidden="1">
      <c r="B103" s="2" t="s">
        <v>1237</v>
      </c>
      <c r="C103" s="2" t="s">
        <v>1226</v>
      </c>
      <c r="D103" s="2" t="s">
        <v>1226</v>
      </c>
      <c r="E103" s="2" t="s">
        <v>1348</v>
      </c>
      <c r="F103" s="2" t="s">
        <v>1349</v>
      </c>
      <c r="G103" s="2" t="s">
        <v>1195</v>
      </c>
      <c r="H103" s="2" t="s">
        <v>1298</v>
      </c>
      <c r="I103" s="2" t="s">
        <v>1197</v>
      </c>
      <c r="J103" s="2" t="s">
        <v>1198</v>
      </c>
      <c r="K103" s="2" t="s">
        <v>1254</v>
      </c>
      <c r="L103" s="1">
        <v>5000</v>
      </c>
      <c r="M103" s="1">
        <f t="shared" si="1"/>
        <v>5.0000000000000001E-3</v>
      </c>
      <c r="N103" s="2" t="s">
        <v>1231</v>
      </c>
      <c r="O103" s="2" t="s">
        <v>1209</v>
      </c>
      <c r="P103" s="2" t="s">
        <v>1249</v>
      </c>
      <c r="S103" s="4">
        <v>43907.454764814815</v>
      </c>
      <c r="T103" s="2" t="s">
        <v>1240</v>
      </c>
      <c r="U103" s="2" t="s">
        <v>1241</v>
      </c>
      <c r="V103" s="2" t="s">
        <v>1242</v>
      </c>
      <c r="W103" s="2" t="s">
        <v>1243</v>
      </c>
      <c r="X103" s="2" t="s">
        <v>1244</v>
      </c>
      <c r="Y103" s="2" t="s">
        <v>1208</v>
      </c>
    </row>
    <row r="104" spans="2:25" s="2" customFormat="1" hidden="1">
      <c r="B104" s="2" t="s">
        <v>1245</v>
      </c>
      <c r="C104" s="2" t="s">
        <v>1226</v>
      </c>
      <c r="D104" s="2" t="s">
        <v>1226</v>
      </c>
      <c r="E104" s="2" t="s">
        <v>1348</v>
      </c>
      <c r="F104" s="2" t="s">
        <v>1349</v>
      </c>
      <c r="G104" s="2" t="s">
        <v>1195</v>
      </c>
      <c r="H104" s="2" t="s">
        <v>1246</v>
      </c>
      <c r="I104" s="2" t="s">
        <v>1247</v>
      </c>
      <c r="J104" s="2" t="s">
        <v>1198</v>
      </c>
      <c r="K104" s="2" t="s">
        <v>1448</v>
      </c>
      <c r="L104" s="1">
        <v>10000</v>
      </c>
      <c r="M104" s="1">
        <f t="shared" si="1"/>
        <v>0.01</v>
      </c>
      <c r="N104" s="2" t="s">
        <v>1231</v>
      </c>
      <c r="O104" s="2" t="s">
        <v>1209</v>
      </c>
      <c r="P104" s="2" t="s">
        <v>1249</v>
      </c>
      <c r="S104" s="4">
        <v>43511.074157025461</v>
      </c>
      <c r="T104" s="2" t="s">
        <v>1250</v>
      </c>
      <c r="V104" s="2" t="s">
        <v>1242</v>
      </c>
      <c r="W104" s="2" t="s">
        <v>1251</v>
      </c>
      <c r="X104" s="2" t="s">
        <v>1252</v>
      </c>
      <c r="Y104" s="2" t="s">
        <v>1208</v>
      </c>
    </row>
    <row r="105" spans="2:25" s="2" customFormat="1" hidden="1">
      <c r="B105" s="2" t="s">
        <v>1449</v>
      </c>
      <c r="C105" s="2" t="s">
        <v>1226</v>
      </c>
      <c r="D105" s="2" t="s">
        <v>1226</v>
      </c>
      <c r="E105" s="2" t="s">
        <v>1345</v>
      </c>
      <c r="F105" s="2" t="s">
        <v>1450</v>
      </c>
      <c r="G105" s="2" t="s">
        <v>1195</v>
      </c>
      <c r="H105" s="2" t="s">
        <v>1246</v>
      </c>
      <c r="I105" s="2" t="s">
        <v>1247</v>
      </c>
      <c r="J105" s="2" t="s">
        <v>1198</v>
      </c>
      <c r="K105" s="2" t="s">
        <v>1451</v>
      </c>
      <c r="L105" s="1">
        <v>10000</v>
      </c>
      <c r="M105" s="1">
        <f t="shared" si="1"/>
        <v>0.01</v>
      </c>
      <c r="N105" s="2" t="s">
        <v>1452</v>
      </c>
      <c r="O105" s="2" t="s">
        <v>1209</v>
      </c>
      <c r="P105" s="2" t="s">
        <v>1249</v>
      </c>
      <c r="S105" s="4">
        <v>43509.265953275462</v>
      </c>
      <c r="T105" s="2" t="s">
        <v>1453</v>
      </c>
      <c r="V105" s="2" t="s">
        <v>1454</v>
      </c>
      <c r="W105" s="2" t="s">
        <v>1455</v>
      </c>
      <c r="X105" s="2" t="s">
        <v>1456</v>
      </c>
      <c r="Y105" s="2" t="s">
        <v>1457</v>
      </c>
    </row>
  </sheetData>
  <sheetProtection sheet="1" objects="1" scenarios="1" formatCells="0" formatColumns="0" formatRows="0" sort="0" autoFilter="0"/>
  <autoFilter ref="A1:Y105" xr:uid="{557E1C75-307D-4C00-A2BE-8D4E7750AD86}">
    <filterColumn colId="3">
      <filters>
        <filter val="Clothing"/>
      </filters>
    </filterColumn>
  </autoFilter>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B6820-BF31-4005-AB23-394D1FBFB5BC}">
  <sheetPr codeName="Sheet7">
    <tabColor theme="6" tint="0.39997558519241921"/>
  </sheetPr>
  <dimension ref="A1:R12"/>
  <sheetViews>
    <sheetView workbookViewId="0"/>
  </sheetViews>
  <sheetFormatPr defaultRowHeight="14.5"/>
  <cols>
    <col min="1" max="1" width="43.453125" style="30" bestFit="1" customWidth="1"/>
    <col min="2" max="4" width="8.81640625" style="30" bestFit="1" customWidth="1"/>
    <col min="5" max="5" width="14.1796875" style="30" bestFit="1" customWidth="1"/>
    <col min="6" max="7" width="8.54296875" style="30" bestFit="1" customWidth="1"/>
    <col min="8" max="8" width="6.81640625" style="30" bestFit="1" customWidth="1"/>
    <col min="9" max="10" width="8.7265625" style="30"/>
    <col min="11" max="11" width="80.26953125" style="30" bestFit="1" customWidth="1"/>
    <col min="12" max="14" width="8.81640625" style="30" bestFit="1" customWidth="1"/>
    <col min="15" max="15" width="14.1796875" style="30" bestFit="1" customWidth="1"/>
    <col min="16" max="17" width="8.54296875" style="30" bestFit="1" customWidth="1"/>
    <col min="18" max="18" width="6.81640625" style="30" bestFit="1" customWidth="1"/>
    <col min="19" max="16384" width="8.7265625" style="30"/>
  </cols>
  <sheetData>
    <row r="1" spans="1:18">
      <c r="A1" s="178" t="s">
        <v>1458</v>
      </c>
    </row>
    <row r="2" spans="1:18">
      <c r="A2" s="178"/>
    </row>
    <row r="3" spans="1:18" s="74" customFormat="1" ht="130.5">
      <c r="A3" s="179" t="s">
        <v>1167</v>
      </c>
      <c r="B3" s="179" t="s">
        <v>1199</v>
      </c>
      <c r="C3" s="179" t="s">
        <v>1230</v>
      </c>
      <c r="D3" s="179" t="s">
        <v>1248</v>
      </c>
      <c r="E3" s="179" t="s">
        <v>1254</v>
      </c>
      <c r="F3" s="179" t="s">
        <v>1448</v>
      </c>
      <c r="G3" s="179" t="s">
        <v>1451</v>
      </c>
      <c r="H3" s="179" t="s">
        <v>1459</v>
      </c>
      <c r="I3" s="179"/>
      <c r="J3" s="179"/>
      <c r="K3" s="179" t="s">
        <v>1171</v>
      </c>
      <c r="L3" s="179" t="s">
        <v>1199</v>
      </c>
      <c r="M3" s="179" t="s">
        <v>1230</v>
      </c>
      <c r="N3" s="179" t="s">
        <v>1248</v>
      </c>
      <c r="O3" s="179" t="s">
        <v>1254</v>
      </c>
      <c r="P3" s="179" t="s">
        <v>1448</v>
      </c>
      <c r="Q3" s="179" t="s">
        <v>1451</v>
      </c>
      <c r="R3" s="179" t="s">
        <v>1459</v>
      </c>
    </row>
    <row r="4" spans="1:18">
      <c r="A4" s="30" t="s">
        <v>1191</v>
      </c>
      <c r="B4" s="30">
        <v>6</v>
      </c>
      <c r="C4" s="30">
        <v>4</v>
      </c>
      <c r="D4" s="30">
        <v>2</v>
      </c>
      <c r="E4" s="30">
        <v>3</v>
      </c>
      <c r="H4" s="30">
        <v>15</v>
      </c>
      <c r="K4" s="30" t="s">
        <v>1280</v>
      </c>
      <c r="L4" s="30">
        <v>1</v>
      </c>
      <c r="M4" s="30">
        <v>2</v>
      </c>
      <c r="R4" s="30">
        <v>3</v>
      </c>
    </row>
    <row r="5" spans="1:18">
      <c r="A5" s="180" t="s">
        <v>1102</v>
      </c>
      <c r="B5" s="180">
        <v>9</v>
      </c>
      <c r="C5" s="180">
        <v>1</v>
      </c>
      <c r="D5" s="180">
        <v>1</v>
      </c>
      <c r="E5" s="180">
        <v>1</v>
      </c>
      <c r="F5" s="180"/>
      <c r="G5" s="180"/>
      <c r="H5" s="180">
        <v>12</v>
      </c>
      <c r="K5" s="30" t="s">
        <v>1347</v>
      </c>
      <c r="L5" s="30">
        <v>3</v>
      </c>
      <c r="R5" s="30">
        <v>3</v>
      </c>
    </row>
    <row r="6" spans="1:18">
      <c r="A6" s="180" t="s">
        <v>260</v>
      </c>
      <c r="B6" s="180">
        <v>4</v>
      </c>
      <c r="C6" s="180"/>
      <c r="D6" s="180"/>
      <c r="E6" s="180"/>
      <c r="F6" s="180"/>
      <c r="G6" s="180"/>
      <c r="H6" s="180">
        <v>4</v>
      </c>
      <c r="K6" s="30" t="s">
        <v>1236</v>
      </c>
      <c r="M6" s="30">
        <v>6</v>
      </c>
      <c r="R6" s="30">
        <v>6</v>
      </c>
    </row>
    <row r="7" spans="1:18">
      <c r="A7" s="30" t="s">
        <v>1223</v>
      </c>
      <c r="B7" s="30">
        <v>3</v>
      </c>
      <c r="C7" s="30">
        <v>1</v>
      </c>
      <c r="H7" s="30">
        <v>4</v>
      </c>
      <c r="K7" s="30" t="s">
        <v>1264</v>
      </c>
      <c r="L7" s="30">
        <v>8</v>
      </c>
      <c r="R7" s="30">
        <v>8</v>
      </c>
    </row>
    <row r="8" spans="1:18">
      <c r="A8" s="30" t="s">
        <v>1225</v>
      </c>
      <c r="C8" s="30">
        <v>5</v>
      </c>
      <c r="H8" s="30">
        <v>5</v>
      </c>
      <c r="K8" s="30" t="s">
        <v>25</v>
      </c>
      <c r="L8" s="30">
        <v>1</v>
      </c>
      <c r="R8" s="30">
        <v>1</v>
      </c>
    </row>
    <row r="9" spans="1:18">
      <c r="A9" s="180" t="s">
        <v>1226</v>
      </c>
      <c r="B9" s="180">
        <v>26</v>
      </c>
      <c r="C9" s="180">
        <v>33</v>
      </c>
      <c r="D9" s="180">
        <v>2</v>
      </c>
      <c r="E9" s="180">
        <v>1</v>
      </c>
      <c r="F9" s="180">
        <v>1</v>
      </c>
      <c r="G9" s="180">
        <v>1</v>
      </c>
      <c r="H9" s="180">
        <v>64</v>
      </c>
      <c r="K9" s="30" t="s">
        <v>1214</v>
      </c>
      <c r="L9" s="30">
        <v>6</v>
      </c>
      <c r="M9" s="30">
        <v>11</v>
      </c>
      <c r="R9" s="30">
        <v>17</v>
      </c>
    </row>
    <row r="10" spans="1:18">
      <c r="A10" s="30" t="s">
        <v>1459</v>
      </c>
      <c r="B10" s="30">
        <v>48</v>
      </c>
      <c r="C10" s="30">
        <v>44</v>
      </c>
      <c r="D10" s="30">
        <v>5</v>
      </c>
      <c r="E10" s="30">
        <v>5</v>
      </c>
      <c r="F10" s="30">
        <v>1</v>
      </c>
      <c r="G10" s="30">
        <v>1</v>
      </c>
      <c r="H10" s="30">
        <v>104</v>
      </c>
      <c r="K10" s="30" t="s">
        <v>1195</v>
      </c>
      <c r="L10" s="30">
        <v>26</v>
      </c>
      <c r="M10" s="30">
        <v>16</v>
      </c>
      <c r="N10" s="30">
        <v>3</v>
      </c>
      <c r="O10" s="30">
        <v>4</v>
      </c>
      <c r="P10" s="30">
        <v>1</v>
      </c>
      <c r="Q10" s="30">
        <v>1</v>
      </c>
      <c r="R10" s="30">
        <v>51</v>
      </c>
    </row>
    <row r="11" spans="1:18">
      <c r="K11" s="30" t="s">
        <v>1272</v>
      </c>
      <c r="L11" s="30">
        <v>3</v>
      </c>
      <c r="M11" s="30">
        <v>9</v>
      </c>
      <c r="N11" s="30">
        <v>2</v>
      </c>
      <c r="O11" s="30">
        <v>1</v>
      </c>
      <c r="R11" s="30">
        <v>15</v>
      </c>
    </row>
    <row r="12" spans="1:18">
      <c r="K12" s="30" t="s">
        <v>1459</v>
      </c>
      <c r="L12" s="30">
        <v>48</v>
      </c>
      <c r="M12" s="30">
        <v>44</v>
      </c>
      <c r="N12" s="30">
        <v>5</v>
      </c>
      <c r="O12" s="30">
        <v>5</v>
      </c>
      <c r="P12" s="30">
        <v>1</v>
      </c>
      <c r="Q12" s="30">
        <v>1</v>
      </c>
      <c r="R12" s="30">
        <v>104</v>
      </c>
    </row>
  </sheetData>
  <sheetProtection sheet="1" objects="1" scenarios="1" formatCells="0" formatColumns="0" formatRows="0" sort="0" autoFilter="0"/>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9AC640-513B-4A23-A695-911D79E34221}">
  <sheetPr codeName="Sheet8">
    <tabColor theme="8"/>
  </sheetPr>
  <dimension ref="A1:AN33"/>
  <sheetViews>
    <sheetView zoomScale="71" workbookViewId="0">
      <pane ySplit="2" topLeftCell="A3" activePane="bottomLeft" state="frozen"/>
      <selection activeCell="O16" sqref="O16:O17"/>
      <selection pane="bottomLeft" sqref="A1:A2"/>
    </sheetView>
  </sheetViews>
  <sheetFormatPr defaultColWidth="8.7265625" defaultRowHeight="14.5"/>
  <cols>
    <col min="1" max="1" width="25.26953125" style="74" customWidth="1"/>
    <col min="2" max="2" width="30" style="74" customWidth="1"/>
    <col min="3" max="3" width="29" style="209" customWidth="1"/>
    <col min="4" max="4" width="10.453125" style="74" customWidth="1"/>
    <col min="5" max="5" width="12.7265625" style="74" customWidth="1"/>
    <col min="6" max="6" width="14.54296875" style="74" customWidth="1"/>
    <col min="7" max="7" width="26.453125" style="74" customWidth="1"/>
    <col min="8" max="9" width="14.54296875" style="209" customWidth="1"/>
    <col min="10" max="10" width="15.7265625" style="209" customWidth="1"/>
    <col min="11" max="11" width="14.7265625" style="209" customWidth="1"/>
    <col min="12" max="12" width="14.54296875" style="74" customWidth="1"/>
    <col min="13" max="13" width="15.26953125" style="74" customWidth="1"/>
    <col min="14" max="14" width="27.26953125" style="74" customWidth="1"/>
    <col min="15" max="15" width="41.54296875" style="74" customWidth="1"/>
    <col min="16" max="16" width="8.7265625" style="74"/>
    <col min="17" max="17" width="10.7265625" style="74" bestFit="1" customWidth="1"/>
    <col min="18" max="18" width="10.26953125" style="74" bestFit="1" customWidth="1"/>
    <col min="19" max="20" width="12.26953125" style="74" bestFit="1" customWidth="1"/>
    <col min="21" max="21" width="9.26953125" style="74" bestFit="1" customWidth="1"/>
    <col min="22" max="22" width="9.54296875" style="74" customWidth="1"/>
    <col min="23" max="24" width="9.26953125" style="74" customWidth="1"/>
    <col min="25" max="25" width="11.453125" style="74" bestFit="1" customWidth="1"/>
    <col min="26" max="26" width="10.26953125" style="74" bestFit="1" customWidth="1"/>
    <col min="27" max="28" width="12.26953125" style="74" bestFit="1" customWidth="1"/>
    <col min="29" max="29" width="11.453125" style="74" bestFit="1" customWidth="1"/>
    <col min="30" max="30" width="13.7265625" style="74" customWidth="1"/>
    <col min="31" max="31" width="11.54296875" style="74" customWidth="1"/>
    <col min="32" max="32" width="12.7265625" style="74" customWidth="1"/>
    <col min="33" max="33" width="11.26953125" style="74" customWidth="1"/>
    <col min="34" max="34" width="8.7265625" style="74"/>
    <col min="35" max="35" width="20.26953125" style="74" customWidth="1"/>
    <col min="36" max="16384" width="8.7265625" style="74"/>
  </cols>
  <sheetData>
    <row r="1" spans="1:40" ht="35.15" customHeight="1" thickBot="1">
      <c r="A1" s="181" t="s">
        <v>180</v>
      </c>
      <c r="B1" s="181" t="s">
        <v>181</v>
      </c>
      <c r="C1" s="182" t="s">
        <v>182</v>
      </c>
      <c r="D1" s="183" t="s">
        <v>183</v>
      </c>
      <c r="E1" s="184" t="s">
        <v>184</v>
      </c>
      <c r="F1" s="183" t="s">
        <v>185</v>
      </c>
      <c r="G1" s="185" t="s">
        <v>186</v>
      </c>
      <c r="H1" s="186" t="s">
        <v>187</v>
      </c>
      <c r="I1" s="187" t="s">
        <v>188</v>
      </c>
      <c r="J1" s="187"/>
      <c r="K1" s="187"/>
      <c r="L1" s="188" t="s">
        <v>1470</v>
      </c>
      <c r="M1" s="188" t="s">
        <v>189</v>
      </c>
      <c r="N1" s="188" t="s">
        <v>190</v>
      </c>
      <c r="O1" s="68" t="s">
        <v>191</v>
      </c>
      <c r="R1" s="189"/>
      <c r="S1" s="189"/>
      <c r="T1" s="189"/>
      <c r="U1" s="189"/>
      <c r="V1" s="189"/>
      <c r="W1" s="189"/>
      <c r="X1" s="189"/>
      <c r="Y1" s="189"/>
      <c r="Z1" s="189"/>
      <c r="AA1" s="189"/>
      <c r="AB1" s="189"/>
      <c r="AC1" s="190"/>
      <c r="AE1" s="191" t="s">
        <v>192</v>
      </c>
      <c r="AF1" s="192"/>
      <c r="AG1" s="193"/>
      <c r="AI1" s="194" t="s">
        <v>193</v>
      </c>
      <c r="AJ1" s="195"/>
      <c r="AK1" s="195"/>
      <c r="AL1" s="195"/>
      <c r="AM1" s="195"/>
      <c r="AN1" s="196"/>
    </row>
    <row r="2" spans="1:40" ht="42" customHeight="1">
      <c r="A2" s="197"/>
      <c r="B2" s="197"/>
      <c r="C2" s="198"/>
      <c r="D2" s="199"/>
      <c r="E2" s="200"/>
      <c r="F2" s="201"/>
      <c r="G2" s="202"/>
      <c r="H2" s="203"/>
      <c r="I2" s="149" t="s">
        <v>194</v>
      </c>
      <c r="J2" s="149" t="s">
        <v>195</v>
      </c>
      <c r="K2" s="149" t="s">
        <v>196</v>
      </c>
      <c r="O2" s="68"/>
      <c r="R2" s="204" t="s">
        <v>197</v>
      </c>
      <c r="S2" s="205" t="s">
        <v>198</v>
      </c>
      <c r="T2" s="206" t="s">
        <v>199</v>
      </c>
      <c r="U2" s="205" t="s">
        <v>200</v>
      </c>
      <c r="V2" s="205" t="s">
        <v>201</v>
      </c>
      <c r="W2" s="205" t="s">
        <v>202</v>
      </c>
      <c r="X2" s="205" t="s">
        <v>203</v>
      </c>
      <c r="Y2" s="206" t="s">
        <v>204</v>
      </c>
      <c r="Z2" s="205" t="s">
        <v>205</v>
      </c>
      <c r="AA2" s="205" t="s">
        <v>16</v>
      </c>
      <c r="AB2" s="205" t="s">
        <v>37</v>
      </c>
      <c r="AC2" s="207" t="s">
        <v>18</v>
      </c>
      <c r="AE2" s="204" t="s">
        <v>206</v>
      </c>
      <c r="AF2" s="205" t="s">
        <v>207</v>
      </c>
      <c r="AG2" s="207" t="s">
        <v>208</v>
      </c>
      <c r="AI2" s="208" t="s">
        <v>209</v>
      </c>
      <c r="AJ2" s="209" t="s">
        <v>210</v>
      </c>
      <c r="AK2" s="209" t="s">
        <v>36</v>
      </c>
      <c r="AL2" s="209" t="s">
        <v>211</v>
      </c>
      <c r="AM2" s="209" t="s">
        <v>189</v>
      </c>
      <c r="AN2" s="210" t="s">
        <v>212</v>
      </c>
    </row>
    <row r="3" spans="1:40" ht="43.15" customHeight="1">
      <c r="A3" s="211" t="s">
        <v>213</v>
      </c>
      <c r="B3" s="211" t="s">
        <v>213</v>
      </c>
      <c r="C3" s="212" t="s">
        <v>214</v>
      </c>
      <c r="D3" s="213" t="s">
        <v>215</v>
      </c>
      <c r="E3" s="214" t="s">
        <v>216</v>
      </c>
      <c r="F3" s="215" t="s">
        <v>217</v>
      </c>
      <c r="G3" s="158" t="s">
        <v>218</v>
      </c>
      <c r="H3" s="161" t="s">
        <v>219</v>
      </c>
      <c r="I3" s="158">
        <f>15/100</f>
        <v>0.15</v>
      </c>
      <c r="J3" s="158">
        <f>AVERAGE(I3,K3)</f>
        <v>0.27500000000000002</v>
      </c>
      <c r="K3" s="158">
        <f>40/100</f>
        <v>0.4</v>
      </c>
      <c r="L3" s="214" t="s">
        <v>220</v>
      </c>
      <c r="M3" s="214">
        <v>8.25</v>
      </c>
      <c r="N3" s="214" t="s">
        <v>221</v>
      </c>
      <c r="O3" s="216" t="s">
        <v>222</v>
      </c>
      <c r="R3" s="208">
        <f>MAX(K15:K15)</f>
        <v>1.1E-5</v>
      </c>
      <c r="S3" s="209">
        <f>K16</f>
        <v>3.0000000000000001E-5</v>
      </c>
      <c r="T3" s="209">
        <f>K11</f>
        <v>2.3000000000000001E-4</v>
      </c>
      <c r="U3" s="209">
        <f>K18</f>
        <v>0.01</v>
      </c>
      <c r="V3" s="209">
        <f>K19</f>
        <v>1E-3</v>
      </c>
      <c r="W3" s="209">
        <f>K8</f>
        <v>1.6250000000000001E-2</v>
      </c>
      <c r="X3" s="209">
        <f>K7</f>
        <v>5.0000000000000001E-3</v>
      </c>
      <c r="Y3" s="209">
        <f>MAX(K13:K14)</f>
        <v>0.17799999999999999</v>
      </c>
      <c r="Z3" s="209">
        <f>K9</f>
        <v>1.6250000000000001E-2</v>
      </c>
      <c r="AA3" s="209">
        <f>K17</f>
        <v>1.73E-4</v>
      </c>
      <c r="AB3" s="217">
        <f>K10</f>
        <v>7.3649999999999993E-2</v>
      </c>
      <c r="AC3" s="210">
        <f>K12</f>
        <v>6.2600000000000004E-4</v>
      </c>
      <c r="AE3" s="218">
        <f>MAX(K3:K4)</f>
        <v>0.4</v>
      </c>
      <c r="AF3" s="80">
        <f>K5</f>
        <v>0.3</v>
      </c>
      <c r="AG3" s="78">
        <f>K6</f>
        <v>0.05</v>
      </c>
      <c r="AI3" s="218" t="s">
        <v>218</v>
      </c>
      <c r="AJ3" s="209">
        <v>250</v>
      </c>
      <c r="AK3" s="209" t="s">
        <v>223</v>
      </c>
      <c r="AL3" s="209">
        <v>1</v>
      </c>
      <c r="AM3" s="219">
        <v>8.25</v>
      </c>
      <c r="AN3" s="210">
        <f>AJ3*AL3*AM3</f>
        <v>2062.5</v>
      </c>
    </row>
    <row r="4" spans="1:40" ht="39" customHeight="1">
      <c r="A4" s="211" t="s">
        <v>213</v>
      </c>
      <c r="B4" s="211" t="s">
        <v>213</v>
      </c>
      <c r="C4" s="199"/>
      <c r="D4" s="220"/>
      <c r="E4" s="214" t="s">
        <v>216</v>
      </c>
      <c r="F4" s="215" t="s">
        <v>217</v>
      </c>
      <c r="G4" s="158" t="s">
        <v>224</v>
      </c>
      <c r="H4" s="221" t="s">
        <v>225</v>
      </c>
      <c r="I4" s="158">
        <f>5/100</f>
        <v>0.05</v>
      </c>
      <c r="J4" s="158">
        <f>AVERAGE(I4,K4)</f>
        <v>7.5000000000000011E-2</v>
      </c>
      <c r="K4" s="158">
        <f>10/100</f>
        <v>0.1</v>
      </c>
      <c r="L4" s="214" t="s">
        <v>220</v>
      </c>
      <c r="M4" s="214">
        <v>1.64</v>
      </c>
      <c r="N4" s="214" t="s">
        <v>226</v>
      </c>
      <c r="O4" s="222" t="s">
        <v>227</v>
      </c>
      <c r="R4" s="208">
        <f>AVERAGE(J15:J15)</f>
        <v>1.1E-5</v>
      </c>
      <c r="S4" s="209">
        <f>J16</f>
        <v>2.0000000000000002E-5</v>
      </c>
      <c r="T4" s="209">
        <f>J11</f>
        <v>1.9866666666666665E-4</v>
      </c>
      <c r="U4" s="209">
        <f>J18</f>
        <v>2.9999999999999997E-4</v>
      </c>
      <c r="V4" s="209">
        <f>J19</f>
        <v>1E-3</v>
      </c>
      <c r="W4" s="209">
        <f>J8</f>
        <v>1.4247692307692308E-3</v>
      </c>
      <c r="X4" s="209">
        <f>J7</f>
        <v>6.1666666666666673E-4</v>
      </c>
      <c r="Y4" s="223">
        <f>AVERAGE(J13:J14)</f>
        <v>1.1486249999999996E-2</v>
      </c>
      <c r="Z4" s="209">
        <f>J9</f>
        <v>1.4247692307692308E-3</v>
      </c>
      <c r="AA4" s="209">
        <f>J17</f>
        <v>1.0970000000000001E-4</v>
      </c>
      <c r="AB4" s="209">
        <f>J10</f>
        <v>2.5669833333333333E-2</v>
      </c>
      <c r="AC4" s="210">
        <f>J12</f>
        <v>8.7666666666666679E-5</v>
      </c>
      <c r="AE4" s="218">
        <f>AVERAGE(J3:J4)</f>
        <v>0.17500000000000002</v>
      </c>
      <c r="AF4" s="80">
        <f>J5</f>
        <v>0.25</v>
      </c>
      <c r="AG4" s="78">
        <f>J6</f>
        <v>3.7500000000000006E-2</v>
      </c>
      <c r="AI4" s="218" t="s">
        <v>228</v>
      </c>
      <c r="AJ4" s="209">
        <v>5</v>
      </c>
      <c r="AK4" s="209" t="s">
        <v>229</v>
      </c>
      <c r="AL4" s="209">
        <v>3785.41</v>
      </c>
      <c r="AM4" s="219">
        <v>1.05</v>
      </c>
      <c r="AN4" s="210">
        <f t="shared" ref="AN4:AN6" si="0">AJ4*AL4*AM4</f>
        <v>19873.4025</v>
      </c>
    </row>
    <row r="5" spans="1:40" ht="35.65" customHeight="1" thickBot="1">
      <c r="A5" s="211" t="s">
        <v>213</v>
      </c>
      <c r="B5" s="211" t="s">
        <v>213</v>
      </c>
      <c r="C5" s="221" t="s">
        <v>230</v>
      </c>
      <c r="D5" s="215" t="s">
        <v>231</v>
      </c>
      <c r="E5" s="214" t="s">
        <v>232</v>
      </c>
      <c r="F5" s="215" t="s">
        <v>217</v>
      </c>
      <c r="G5" s="158" t="s">
        <v>233</v>
      </c>
      <c r="H5" s="221" t="s">
        <v>234</v>
      </c>
      <c r="I5" s="158">
        <f>20/100</f>
        <v>0.2</v>
      </c>
      <c r="J5" s="158">
        <f t="shared" ref="J5" si="1">AVERAGE(I5,K5)</f>
        <v>0.25</v>
      </c>
      <c r="K5" s="158">
        <f>30/100</f>
        <v>0.3</v>
      </c>
      <c r="L5" s="214" t="s">
        <v>220</v>
      </c>
      <c r="M5" s="214">
        <v>1.1000000000000001</v>
      </c>
      <c r="N5" s="214" t="s">
        <v>1469</v>
      </c>
      <c r="O5" s="224" t="s">
        <v>235</v>
      </c>
      <c r="R5" s="225">
        <f>MIN(I15:I15)</f>
        <v>1.1E-5</v>
      </c>
      <c r="S5" s="226">
        <f>I16</f>
        <v>1.0000000000000001E-5</v>
      </c>
      <c r="T5" s="226">
        <f>I11</f>
        <v>1.56E-4</v>
      </c>
      <c r="U5" s="226">
        <f>I18</f>
        <v>1E-4</v>
      </c>
      <c r="V5" s="226">
        <f>I19</f>
        <v>1E-3</v>
      </c>
      <c r="W5" s="226">
        <f>I8</f>
        <v>7.9999999999999996E-6</v>
      </c>
      <c r="X5" s="226">
        <f>I7</f>
        <v>1E-4</v>
      </c>
      <c r="Y5" s="226">
        <f>MIN(I13:I14)</f>
        <v>1.0000000000000001E-5</v>
      </c>
      <c r="Z5" s="226">
        <f>I9</f>
        <v>7.9999999999999996E-6</v>
      </c>
      <c r="AA5" s="226">
        <f>I17</f>
        <v>6.4200000000000002E-5</v>
      </c>
      <c r="AB5" s="226">
        <f>I10</f>
        <v>5.5999999999999999E-5</v>
      </c>
      <c r="AC5" s="227">
        <f>I12</f>
        <v>5.0000000000000004E-6</v>
      </c>
      <c r="AE5" s="228">
        <f>MIN(I3:I4)</f>
        <v>0.05</v>
      </c>
      <c r="AF5" s="229">
        <f>I5</f>
        <v>0.2</v>
      </c>
      <c r="AG5" s="230">
        <f>I6</f>
        <v>2.5000000000000001E-2</v>
      </c>
      <c r="AI5" s="218" t="s">
        <v>224</v>
      </c>
      <c r="AJ5" s="209">
        <v>10.5</v>
      </c>
      <c r="AK5" s="209" t="s">
        <v>236</v>
      </c>
      <c r="AL5" s="209">
        <v>29.573499999999999</v>
      </c>
      <c r="AM5" s="219">
        <v>1.64</v>
      </c>
      <c r="AN5" s="210">
        <f t="shared" si="0"/>
        <v>509.25566999999995</v>
      </c>
    </row>
    <row r="6" spans="1:40" ht="41.15" customHeight="1" thickBot="1">
      <c r="A6" s="211" t="s">
        <v>213</v>
      </c>
      <c r="B6" s="211" t="s">
        <v>213</v>
      </c>
      <c r="C6" s="221" t="s">
        <v>237</v>
      </c>
      <c r="D6" s="215" t="s">
        <v>215</v>
      </c>
      <c r="E6" s="214" t="s">
        <v>238</v>
      </c>
      <c r="F6" s="215" t="s">
        <v>217</v>
      </c>
      <c r="G6" s="158" t="s">
        <v>228</v>
      </c>
      <c r="H6" s="221" t="s">
        <v>239</v>
      </c>
      <c r="I6" s="158">
        <f>2.5/100</f>
        <v>2.5000000000000001E-2</v>
      </c>
      <c r="J6" s="158">
        <f>AVERAGE(I6,K6)</f>
        <v>3.7500000000000006E-2</v>
      </c>
      <c r="K6" s="158">
        <f>5/100</f>
        <v>0.05</v>
      </c>
      <c r="L6" s="214" t="s">
        <v>240</v>
      </c>
      <c r="M6" s="214">
        <v>1.05</v>
      </c>
      <c r="N6" s="214" t="s">
        <v>241</v>
      </c>
      <c r="O6" s="231" t="s">
        <v>242</v>
      </c>
      <c r="AI6" s="232" t="s">
        <v>233</v>
      </c>
      <c r="AJ6" s="233">
        <v>12.5</v>
      </c>
      <c r="AK6" s="233" t="s">
        <v>236</v>
      </c>
      <c r="AL6" s="233">
        <v>29.573499999999999</v>
      </c>
      <c r="AM6" s="234">
        <v>1.1000000000000001</v>
      </c>
      <c r="AN6" s="235">
        <f t="shared" si="0"/>
        <v>406.635625</v>
      </c>
    </row>
    <row r="7" spans="1:40" ht="46.5" customHeight="1">
      <c r="A7" s="236" t="s">
        <v>22</v>
      </c>
      <c r="B7" s="237" t="s">
        <v>23</v>
      </c>
      <c r="C7" s="161" t="s">
        <v>243</v>
      </c>
      <c r="D7" s="161" t="s">
        <v>231</v>
      </c>
      <c r="E7" s="238" t="s">
        <v>62</v>
      </c>
      <c r="F7" s="238" t="s">
        <v>244</v>
      </c>
      <c r="G7" s="161" t="s">
        <v>243</v>
      </c>
      <c r="H7" s="161"/>
      <c r="I7" s="161">
        <v>1E-4</v>
      </c>
      <c r="J7" s="161">
        <v>6.1666666666666673E-4</v>
      </c>
      <c r="K7" s="161">
        <v>5.0000000000000001E-3</v>
      </c>
      <c r="L7" s="239"/>
      <c r="M7" s="239"/>
      <c r="N7" s="239"/>
      <c r="O7" s="239"/>
      <c r="AM7" s="240" t="s">
        <v>1471</v>
      </c>
    </row>
    <row r="8" spans="1:40" ht="31.15" customHeight="1">
      <c r="A8" s="236" t="s">
        <v>22</v>
      </c>
      <c r="B8" s="237" t="s">
        <v>23</v>
      </c>
      <c r="C8" s="161" t="s">
        <v>245</v>
      </c>
      <c r="D8" s="161" t="s">
        <v>231</v>
      </c>
      <c r="E8" s="238" t="s">
        <v>62</v>
      </c>
      <c r="F8" s="238" t="s">
        <v>246</v>
      </c>
      <c r="G8" s="238" t="s">
        <v>247</v>
      </c>
      <c r="H8" s="161" t="s">
        <v>248</v>
      </c>
      <c r="I8" s="157">
        <v>7.9999999999999996E-6</v>
      </c>
      <c r="J8" s="161">
        <v>1.4247692307692308E-3</v>
      </c>
      <c r="K8" s="157">
        <v>1.6250000000000001E-2</v>
      </c>
      <c r="L8" s="239"/>
      <c r="M8" s="239"/>
      <c r="N8" s="239"/>
      <c r="O8" s="239"/>
    </row>
    <row r="9" spans="1:40" ht="72.5">
      <c r="A9" s="236" t="s">
        <v>22</v>
      </c>
      <c r="B9" s="237" t="s">
        <v>23</v>
      </c>
      <c r="C9" s="161" t="s">
        <v>17</v>
      </c>
      <c r="D9" s="238" t="s">
        <v>249</v>
      </c>
      <c r="E9" s="238" t="s">
        <v>250</v>
      </c>
      <c r="F9" s="152">
        <v>1062241</v>
      </c>
      <c r="G9" s="238" t="s">
        <v>247</v>
      </c>
      <c r="H9" s="161" t="s">
        <v>248</v>
      </c>
      <c r="I9" s="157">
        <v>7.9999999999999996E-6</v>
      </c>
      <c r="J9" s="161">
        <v>1.4247692307692308E-3</v>
      </c>
      <c r="K9" s="157">
        <v>1.6250000000000001E-2</v>
      </c>
      <c r="L9" s="239"/>
      <c r="M9" s="239"/>
      <c r="N9" s="239"/>
      <c r="O9" s="239"/>
    </row>
    <row r="10" spans="1:40" ht="30.65" customHeight="1">
      <c r="A10" s="152" t="s">
        <v>20</v>
      </c>
      <c r="B10" s="152" t="s">
        <v>20</v>
      </c>
      <c r="C10" s="161" t="s">
        <v>37</v>
      </c>
      <c r="D10" s="215" t="s">
        <v>251</v>
      </c>
      <c r="E10" s="214" t="s">
        <v>252</v>
      </c>
      <c r="F10" s="238" t="s">
        <v>253</v>
      </c>
      <c r="G10" s="238" t="s">
        <v>254</v>
      </c>
      <c r="H10" s="161" t="s">
        <v>248</v>
      </c>
      <c r="I10" s="161">
        <v>5.5999999999999999E-5</v>
      </c>
      <c r="J10" s="161">
        <v>2.5669833333333333E-2</v>
      </c>
      <c r="K10" s="161">
        <v>7.3649999999999993E-2</v>
      </c>
      <c r="L10" s="239"/>
      <c r="M10" s="239"/>
      <c r="N10" s="239"/>
      <c r="O10" s="239"/>
    </row>
    <row r="11" spans="1:40" ht="30.65" customHeight="1">
      <c r="A11" s="152" t="s">
        <v>20</v>
      </c>
      <c r="B11" s="152" t="s">
        <v>20</v>
      </c>
      <c r="C11" s="209" t="s">
        <v>199</v>
      </c>
      <c r="D11" s="215" t="s">
        <v>251</v>
      </c>
      <c r="E11" s="214"/>
      <c r="F11" s="241" t="s">
        <v>255</v>
      </c>
      <c r="G11" s="152" t="s">
        <v>256</v>
      </c>
      <c r="H11" s="161" t="s">
        <v>248</v>
      </c>
      <c r="I11" s="157">
        <v>1.56E-4</v>
      </c>
      <c r="J11" s="157">
        <v>1.9866666666666665E-4</v>
      </c>
      <c r="K11" s="157">
        <v>2.3000000000000001E-4</v>
      </c>
      <c r="L11" s="239"/>
      <c r="M11" s="239"/>
      <c r="N11" s="239"/>
      <c r="O11" s="239"/>
    </row>
    <row r="12" spans="1:40" ht="46.5" customHeight="1">
      <c r="A12" s="236" t="s">
        <v>24</v>
      </c>
      <c r="B12" s="237" t="s">
        <v>24</v>
      </c>
      <c r="C12" s="152" t="s">
        <v>18</v>
      </c>
      <c r="D12" s="238" t="s">
        <v>251</v>
      </c>
      <c r="E12" s="238" t="s">
        <v>252</v>
      </c>
      <c r="F12" s="157">
        <v>1062241</v>
      </c>
      <c r="G12" s="238" t="s">
        <v>257</v>
      </c>
      <c r="H12" s="161" t="s">
        <v>248</v>
      </c>
      <c r="I12" s="157">
        <v>5.0000000000000004E-6</v>
      </c>
      <c r="J12" s="157">
        <v>8.7666666666666679E-5</v>
      </c>
      <c r="K12" s="157">
        <v>6.2600000000000004E-4</v>
      </c>
      <c r="L12" s="239"/>
      <c r="M12" s="239"/>
      <c r="N12" s="239"/>
      <c r="O12" s="239"/>
    </row>
    <row r="13" spans="1:40" ht="31">
      <c r="A13" s="236" t="s">
        <v>24</v>
      </c>
      <c r="B13" s="237" t="s">
        <v>24</v>
      </c>
      <c r="C13" s="242" t="s">
        <v>204</v>
      </c>
      <c r="D13" s="243" t="s">
        <v>258</v>
      </c>
      <c r="E13" s="238" t="s">
        <v>62</v>
      </c>
      <c r="F13" s="161" t="s">
        <v>259</v>
      </c>
      <c r="G13" s="161" t="s">
        <v>260</v>
      </c>
      <c r="H13" s="161" t="s">
        <v>248</v>
      </c>
      <c r="I13" s="161">
        <v>1.0000000000000001E-5</v>
      </c>
      <c r="J13" s="244">
        <v>2.2872499999999994E-2</v>
      </c>
      <c r="K13" s="161">
        <v>0.17799999999999999</v>
      </c>
      <c r="L13" s="239"/>
      <c r="M13" s="239"/>
      <c r="N13" s="239"/>
      <c r="O13" s="239"/>
    </row>
    <row r="14" spans="1:40" ht="31">
      <c r="A14" s="236" t="s">
        <v>24</v>
      </c>
      <c r="B14" s="237" t="s">
        <v>24</v>
      </c>
      <c r="C14" s="199"/>
      <c r="D14" s="245"/>
      <c r="E14" s="238" t="s">
        <v>62</v>
      </c>
      <c r="F14" s="161" t="s">
        <v>244</v>
      </c>
      <c r="G14" s="161" t="s">
        <v>260</v>
      </c>
      <c r="H14" s="161" t="s">
        <v>248</v>
      </c>
      <c r="I14" s="246">
        <f>0.01/100</f>
        <v>1E-4</v>
      </c>
      <c r="J14" s="246">
        <f>0.01/100</f>
        <v>1E-4</v>
      </c>
      <c r="K14" s="246">
        <f>0.01/100</f>
        <v>1E-4</v>
      </c>
      <c r="L14" s="239"/>
      <c r="M14" s="239"/>
      <c r="N14" s="239"/>
      <c r="O14" s="239"/>
    </row>
    <row r="15" spans="1:40" ht="58.15" customHeight="1">
      <c r="A15" s="236" t="s">
        <v>24</v>
      </c>
      <c r="B15" s="237" t="s">
        <v>24</v>
      </c>
      <c r="C15" s="161" t="s">
        <v>261</v>
      </c>
      <c r="D15" s="215" t="s">
        <v>251</v>
      </c>
      <c r="E15" s="238"/>
      <c r="F15" s="238" t="s">
        <v>246</v>
      </c>
      <c r="G15" s="238" t="s">
        <v>262</v>
      </c>
      <c r="H15" s="161" t="s">
        <v>248</v>
      </c>
      <c r="I15" s="157">
        <v>1.1E-5</v>
      </c>
      <c r="J15" s="157">
        <v>1.1E-5</v>
      </c>
      <c r="K15" s="157">
        <v>1.1E-5</v>
      </c>
      <c r="L15" s="239"/>
      <c r="M15" s="239"/>
      <c r="N15" s="239"/>
      <c r="O15" s="239"/>
    </row>
    <row r="16" spans="1:40" ht="46.5" customHeight="1">
      <c r="A16" s="236" t="s">
        <v>24</v>
      </c>
      <c r="B16" s="237" t="s">
        <v>24</v>
      </c>
      <c r="C16" s="161" t="s">
        <v>198</v>
      </c>
      <c r="D16" s="238" t="s">
        <v>263</v>
      </c>
      <c r="E16" s="238" t="s">
        <v>264</v>
      </c>
      <c r="F16" s="238">
        <v>11374030</v>
      </c>
      <c r="G16" s="238" t="s">
        <v>265</v>
      </c>
      <c r="H16" s="161" t="s">
        <v>248</v>
      </c>
      <c r="I16" s="157">
        <v>1.0000000000000001E-5</v>
      </c>
      <c r="J16" s="157">
        <v>2.0000000000000002E-5</v>
      </c>
      <c r="K16" s="157">
        <v>3.0000000000000001E-5</v>
      </c>
      <c r="L16" s="239"/>
      <c r="M16" s="239"/>
      <c r="N16" s="239"/>
      <c r="O16" s="239"/>
    </row>
    <row r="17" spans="1:15" ht="43.5" customHeight="1">
      <c r="A17" s="236" t="s">
        <v>24</v>
      </c>
      <c r="B17" s="237" t="s">
        <v>24</v>
      </c>
      <c r="C17" s="161" t="s">
        <v>266</v>
      </c>
      <c r="D17" s="238" t="s">
        <v>267</v>
      </c>
      <c r="E17" s="238" t="s">
        <v>268</v>
      </c>
      <c r="F17" s="152">
        <v>1062241</v>
      </c>
      <c r="G17" s="238" t="s">
        <v>266</v>
      </c>
      <c r="H17" s="161" t="s">
        <v>248</v>
      </c>
      <c r="I17" s="157">
        <v>6.4200000000000002E-5</v>
      </c>
      <c r="J17" s="157">
        <v>1.0970000000000001E-4</v>
      </c>
      <c r="K17" s="157">
        <v>1.73E-4</v>
      </c>
      <c r="L17" s="239"/>
      <c r="M17" s="239"/>
      <c r="N17" s="239"/>
      <c r="O17" s="239"/>
    </row>
    <row r="18" spans="1:15" ht="43.5" customHeight="1">
      <c r="A18" s="236" t="s">
        <v>21</v>
      </c>
      <c r="B18" s="237" t="s">
        <v>21</v>
      </c>
      <c r="C18" s="247" t="s">
        <v>269</v>
      </c>
      <c r="D18" s="248" t="s">
        <v>249</v>
      </c>
      <c r="E18" s="238" t="s">
        <v>270</v>
      </c>
      <c r="F18" s="248" t="s">
        <v>244</v>
      </c>
      <c r="G18" s="249" t="s">
        <v>269</v>
      </c>
      <c r="H18" s="161" t="s">
        <v>271</v>
      </c>
      <c r="I18" s="246">
        <f>0.01/100</f>
        <v>1E-4</v>
      </c>
      <c r="J18" s="246">
        <f>0.03/100</f>
        <v>2.9999999999999997E-4</v>
      </c>
      <c r="K18" s="246">
        <f>1/100</f>
        <v>0.01</v>
      </c>
      <c r="L18" s="239"/>
      <c r="M18" s="239"/>
      <c r="N18" s="239"/>
      <c r="O18" s="239"/>
    </row>
    <row r="19" spans="1:15" ht="46.5" customHeight="1">
      <c r="A19" s="236" t="s">
        <v>21</v>
      </c>
      <c r="B19" s="237" t="s">
        <v>21</v>
      </c>
      <c r="C19" s="247" t="s">
        <v>272</v>
      </c>
      <c r="D19" s="248" t="s">
        <v>249</v>
      </c>
      <c r="E19" s="238" t="s">
        <v>270</v>
      </c>
      <c r="F19" s="248" t="s">
        <v>273</v>
      </c>
      <c r="G19" s="249" t="s">
        <v>272</v>
      </c>
      <c r="H19" s="161" t="s">
        <v>271</v>
      </c>
      <c r="I19" s="247">
        <f>0.1/100</f>
        <v>1E-3</v>
      </c>
      <c r="J19" s="247">
        <f t="shared" ref="J19:K19" si="2">0.1/100</f>
        <v>1E-3</v>
      </c>
      <c r="K19" s="247">
        <f t="shared" si="2"/>
        <v>1E-3</v>
      </c>
      <c r="L19" s="239"/>
      <c r="M19" s="239"/>
      <c r="N19" s="239"/>
      <c r="O19" s="239"/>
    </row>
    <row r="20" spans="1:15" ht="14.15" customHeight="1">
      <c r="A20" s="250" t="s">
        <v>24</v>
      </c>
      <c r="B20" s="251" t="s">
        <v>24</v>
      </c>
      <c r="C20" s="242" t="s">
        <v>274</v>
      </c>
      <c r="D20" s="242" t="s">
        <v>275</v>
      </c>
      <c r="E20" s="242" t="s">
        <v>62</v>
      </c>
      <c r="F20" s="248">
        <v>11374030</v>
      </c>
      <c r="G20" s="248" t="s">
        <v>276</v>
      </c>
      <c r="H20" s="161" t="s">
        <v>248</v>
      </c>
      <c r="I20" s="152">
        <v>2.3000000000000001E-4</v>
      </c>
      <c r="J20" s="152">
        <v>2.3000000000000001E-4</v>
      </c>
      <c r="K20" s="152">
        <v>2.3000000000000001E-4</v>
      </c>
      <c r="L20" s="239"/>
      <c r="M20" s="239"/>
      <c r="N20" s="239"/>
      <c r="O20" s="239"/>
    </row>
    <row r="21" spans="1:15" ht="31.15" customHeight="1">
      <c r="A21" s="252"/>
      <c r="B21" s="252"/>
      <c r="C21" s="253"/>
      <c r="D21" s="253"/>
      <c r="E21" s="253"/>
      <c r="F21" s="248">
        <v>11374030</v>
      </c>
      <c r="G21" s="248" t="s">
        <v>277</v>
      </c>
      <c r="H21" s="161" t="s">
        <v>248</v>
      </c>
      <c r="I21" s="152">
        <v>2.8E-3</v>
      </c>
      <c r="J21" s="152">
        <v>2.8E-3</v>
      </c>
      <c r="K21" s="152">
        <v>2.8E-3</v>
      </c>
      <c r="L21" s="239"/>
      <c r="M21" s="239"/>
      <c r="N21" s="239"/>
      <c r="O21" s="239"/>
    </row>
    <row r="22" spans="1:15" ht="46.5" customHeight="1">
      <c r="A22" s="252"/>
      <c r="B22" s="252"/>
      <c r="C22" s="253"/>
      <c r="D22" s="253"/>
      <c r="E22" s="253"/>
      <c r="F22" s="248">
        <v>11374030</v>
      </c>
      <c r="G22" s="248" t="s">
        <v>278</v>
      </c>
      <c r="H22" s="161" t="s">
        <v>248</v>
      </c>
      <c r="I22" s="152">
        <v>1.0000000000000001E-5</v>
      </c>
      <c r="J22" s="152">
        <v>2.5000000000000001E-5</v>
      </c>
      <c r="K22" s="152">
        <v>4.0000000000000003E-5</v>
      </c>
      <c r="L22" s="239"/>
      <c r="M22" s="239"/>
      <c r="N22" s="239"/>
      <c r="O22" s="239"/>
    </row>
    <row r="23" spans="1:15" ht="46.5" customHeight="1">
      <c r="A23" s="252"/>
      <c r="B23" s="252"/>
      <c r="C23" s="253"/>
      <c r="D23" s="253"/>
      <c r="E23" s="253"/>
      <c r="F23" s="248">
        <v>11374030</v>
      </c>
      <c r="G23" s="248" t="s">
        <v>279</v>
      </c>
      <c r="H23" s="161" t="s">
        <v>248</v>
      </c>
      <c r="I23" s="152">
        <v>4.0000000000000003E-5</v>
      </c>
      <c r="J23" s="152">
        <v>4.0000000000000003E-5</v>
      </c>
      <c r="K23" s="152">
        <v>4.0000000000000003E-5</v>
      </c>
      <c r="L23" s="239"/>
      <c r="M23" s="239"/>
      <c r="N23" s="239"/>
      <c r="O23" s="239"/>
    </row>
    <row r="24" spans="1:15" ht="46.5" customHeight="1">
      <c r="A24" s="252"/>
      <c r="B24" s="252"/>
      <c r="C24" s="253"/>
      <c r="D24" s="253"/>
      <c r="E24" s="253"/>
      <c r="F24" s="152">
        <v>11374030</v>
      </c>
      <c r="G24" s="248" t="s">
        <v>280</v>
      </c>
      <c r="H24" s="161" t="s">
        <v>248</v>
      </c>
      <c r="I24" s="152">
        <v>5.0000000000000002E-5</v>
      </c>
      <c r="J24" s="152">
        <v>1.075E-3</v>
      </c>
      <c r="K24" s="152">
        <v>2.0999999999999999E-3</v>
      </c>
      <c r="L24" s="239"/>
      <c r="M24" s="239"/>
      <c r="N24" s="239"/>
      <c r="O24" s="239"/>
    </row>
    <row r="25" spans="1:15" ht="44.15" customHeight="1">
      <c r="A25" s="252"/>
      <c r="B25" s="252"/>
      <c r="C25" s="253"/>
      <c r="D25" s="253"/>
      <c r="E25" s="253"/>
      <c r="F25" s="248">
        <v>11374030</v>
      </c>
      <c r="G25" s="248" t="s">
        <v>281</v>
      </c>
      <c r="H25" s="161" t="s">
        <v>248</v>
      </c>
      <c r="I25" s="152">
        <v>0.188968</v>
      </c>
      <c r="J25" s="152">
        <v>0.188968</v>
      </c>
      <c r="K25" s="152">
        <v>0.188968</v>
      </c>
      <c r="L25" s="239"/>
      <c r="M25" s="239"/>
      <c r="N25" s="239"/>
      <c r="O25" s="239"/>
    </row>
    <row r="26" spans="1:15" ht="101.5">
      <c r="A26" s="252"/>
      <c r="B26" s="252"/>
      <c r="C26" s="253"/>
      <c r="D26" s="253"/>
      <c r="E26" s="253"/>
      <c r="F26" s="248" t="s">
        <v>282</v>
      </c>
      <c r="G26" s="248" t="s">
        <v>283</v>
      </c>
      <c r="H26" s="161" t="s">
        <v>248</v>
      </c>
      <c r="I26" s="152">
        <v>0.12261900000000001</v>
      </c>
      <c r="J26" s="152">
        <v>0.12261900000000001</v>
      </c>
      <c r="K26" s="152">
        <v>0.12261900000000001</v>
      </c>
      <c r="L26" s="239"/>
      <c r="M26" s="239"/>
      <c r="N26" s="239"/>
      <c r="O26" s="239"/>
    </row>
    <row r="27" spans="1:15" ht="101.5">
      <c r="A27" s="252"/>
      <c r="B27" s="252"/>
      <c r="C27" s="253"/>
      <c r="D27" s="253"/>
      <c r="E27" s="253"/>
      <c r="F27" s="248" t="s">
        <v>282</v>
      </c>
      <c r="G27" s="248" t="s">
        <v>284</v>
      </c>
      <c r="H27" s="161" t="s">
        <v>248</v>
      </c>
      <c r="I27" s="152">
        <v>2.0240000000000002E-3</v>
      </c>
      <c r="J27" s="152">
        <v>2.0240000000000002E-3</v>
      </c>
      <c r="K27" s="152">
        <v>2.0240000000000002E-3</v>
      </c>
      <c r="L27" s="239"/>
      <c r="M27" s="239"/>
      <c r="N27" s="239"/>
      <c r="O27" s="239"/>
    </row>
    <row r="28" spans="1:15" ht="46.5" customHeight="1">
      <c r="A28" s="254"/>
      <c r="B28" s="254"/>
      <c r="C28" s="253"/>
      <c r="D28" s="253"/>
      <c r="E28" s="253"/>
      <c r="F28" s="248">
        <v>11374030</v>
      </c>
      <c r="G28" s="248" t="s">
        <v>285</v>
      </c>
      <c r="H28" s="161" t="s">
        <v>248</v>
      </c>
      <c r="I28" s="152">
        <v>8.0000000000000007E-5</v>
      </c>
      <c r="J28" s="152">
        <v>8.0000000000000007E-5</v>
      </c>
      <c r="K28" s="152">
        <v>8.0000000000000007E-5</v>
      </c>
      <c r="L28" s="239"/>
      <c r="M28" s="239"/>
      <c r="N28" s="239"/>
      <c r="O28" s="239"/>
    </row>
    <row r="29" spans="1:15" ht="43.5" customHeight="1">
      <c r="A29" s="250" t="s">
        <v>21</v>
      </c>
      <c r="B29" s="251" t="s">
        <v>21</v>
      </c>
      <c r="C29" s="253"/>
      <c r="D29" s="253"/>
      <c r="E29" s="253"/>
      <c r="F29" s="248" t="s">
        <v>246</v>
      </c>
      <c r="G29" s="248" t="s">
        <v>286</v>
      </c>
      <c r="H29" s="161" t="s">
        <v>248</v>
      </c>
      <c r="I29" s="152">
        <v>9.0999999999999993E-6</v>
      </c>
      <c r="J29" s="209">
        <v>0.16613938749999999</v>
      </c>
      <c r="K29" s="152">
        <v>0.44500000000000001</v>
      </c>
      <c r="L29" s="239"/>
      <c r="M29" s="239"/>
      <c r="N29" s="239"/>
      <c r="O29" s="239"/>
    </row>
    <row r="30" spans="1:15">
      <c r="A30" s="252"/>
      <c r="B30" s="252"/>
      <c r="C30" s="253"/>
      <c r="D30" s="253"/>
      <c r="E30" s="253"/>
      <c r="F30" s="248">
        <v>11374030</v>
      </c>
      <c r="G30" s="248" t="s">
        <v>287</v>
      </c>
      <c r="H30" s="161" t="s">
        <v>248</v>
      </c>
      <c r="I30" s="152">
        <v>3.0000000000000001E-5</v>
      </c>
      <c r="J30" s="152">
        <v>3.0000000000000001E-5</v>
      </c>
      <c r="K30" s="152">
        <v>3.0000000000000001E-5</v>
      </c>
      <c r="L30" s="239"/>
      <c r="M30" s="239"/>
      <c r="N30" s="239"/>
      <c r="O30" s="239"/>
    </row>
    <row r="31" spans="1:15">
      <c r="A31" s="252"/>
      <c r="B31" s="252"/>
      <c r="C31" s="253"/>
      <c r="D31" s="253"/>
      <c r="E31" s="253"/>
      <c r="F31" s="248">
        <v>11374030</v>
      </c>
      <c r="G31" s="248" t="s">
        <v>288</v>
      </c>
      <c r="H31" s="161" t="s">
        <v>248</v>
      </c>
      <c r="I31" s="152">
        <v>5.0000000000000004E-6</v>
      </c>
      <c r="J31" s="209">
        <v>2.7500000000000001E-5</v>
      </c>
      <c r="K31" s="152">
        <v>5.0000000000000002E-5</v>
      </c>
      <c r="L31" s="239"/>
      <c r="M31" s="239"/>
      <c r="N31" s="239"/>
      <c r="O31" s="239"/>
    </row>
    <row r="32" spans="1:15" ht="43.5" customHeight="1">
      <c r="A32" s="254"/>
      <c r="B32" s="254"/>
      <c r="C32" s="199"/>
      <c r="D32" s="199"/>
      <c r="E32" s="199"/>
      <c r="F32" s="248">
        <v>11374030</v>
      </c>
      <c r="G32" s="248" t="s">
        <v>289</v>
      </c>
      <c r="H32" s="161" t="s">
        <v>248</v>
      </c>
      <c r="I32" s="152">
        <v>9.0000000000000006E-5</v>
      </c>
      <c r="J32" s="209">
        <v>2.1500000000000002E-4</v>
      </c>
      <c r="K32" s="152">
        <v>3.4000000000000002E-4</v>
      </c>
      <c r="L32" s="239"/>
      <c r="M32" s="239"/>
      <c r="N32" s="239"/>
      <c r="O32" s="239"/>
    </row>
    <row r="33" spans="1:12" ht="31">
      <c r="A33" s="236" t="s">
        <v>21</v>
      </c>
      <c r="B33" s="237" t="s">
        <v>21</v>
      </c>
      <c r="C33" s="152" t="s">
        <v>290</v>
      </c>
      <c r="D33" s="152"/>
      <c r="E33" s="152"/>
      <c r="F33" s="152">
        <v>1597738</v>
      </c>
      <c r="G33" s="152" t="s">
        <v>291</v>
      </c>
      <c r="H33" s="209" t="s">
        <v>248</v>
      </c>
      <c r="I33" s="152">
        <v>0.4</v>
      </c>
      <c r="J33" s="152">
        <v>1.145E-6</v>
      </c>
      <c r="K33" s="152">
        <v>2.4500000000000002</v>
      </c>
      <c r="L33" s="255"/>
    </row>
  </sheetData>
  <sheetProtection sheet="1" objects="1" scenarios="1" formatCells="0" formatColumns="0" formatRows="0" sort="0" autoFilter="0"/>
  <autoFilter ref="A2:N6" xr:uid="{4EFD73A6-EDA1-4ACD-A097-DB114CC60125}"/>
  <mergeCells count="24">
    <mergeCell ref="A29:A32"/>
    <mergeCell ref="B29:B32"/>
    <mergeCell ref="C20:C32"/>
    <mergeCell ref="D20:D32"/>
    <mergeCell ref="E20:E32"/>
    <mergeCell ref="A20:A28"/>
    <mergeCell ref="B20:B28"/>
    <mergeCell ref="C3:C4"/>
    <mergeCell ref="C13:C14"/>
    <mergeCell ref="AI1:AN1"/>
    <mergeCell ref="D3:D4"/>
    <mergeCell ref="D13:D14"/>
    <mergeCell ref="AE1:AG1"/>
    <mergeCell ref="G1:G2"/>
    <mergeCell ref="H1:H2"/>
    <mergeCell ref="I1:K1"/>
    <mergeCell ref="O1:O2"/>
    <mergeCell ref="R1:AC1"/>
    <mergeCell ref="F1:F2"/>
    <mergeCell ref="A1:A2"/>
    <mergeCell ref="B1:B2"/>
    <mergeCell ref="C1:C2"/>
    <mergeCell ref="D1:D2"/>
    <mergeCell ref="E1:E2"/>
  </mergeCells>
  <dataValidations count="1">
    <dataValidation type="list" allowBlank="1" showInputMessage="1" showErrorMessage="1" sqref="L3:L11" xr:uid="{51D31DD6-01DA-4812-8462-4B834760B09D}">
      <formula1>"Paste (caulk gun), Paste (putty knife or hand application), Liquid (rolled or brushed on), Liquid (sprayed on), Liquid (added to water), Liquid (poured), Solid, Other"</formula1>
    </dataValidation>
  </dataValidations>
  <hyperlinks>
    <hyperlink ref="AM7" r:id="rId1" display="https://www.quikrete.com/pdfs/msds-a1-concretebonding.pdf" xr:uid="{B4719BD4-6C80-4EFF-8E97-3838F0679181}"/>
  </hyperlinks>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BE777C-5746-438A-8B53-EDAA7CE8B24F}">
  <sheetPr codeName="Sheet10"/>
  <dimension ref="A1:DR158"/>
  <sheetViews>
    <sheetView zoomScale="91" zoomScaleNormal="100" workbookViewId="0"/>
  </sheetViews>
  <sheetFormatPr defaultColWidth="8.7265625" defaultRowHeight="14.5"/>
  <cols>
    <col min="1" max="1" width="22.453125" style="30" customWidth="1"/>
    <col min="2" max="3" width="12.26953125" style="30" customWidth="1"/>
    <col min="4" max="4" width="12.54296875" style="30" customWidth="1"/>
    <col min="5" max="5" width="14.7265625" style="30" customWidth="1"/>
    <col min="6" max="6" width="13.26953125" style="30" customWidth="1"/>
    <col min="7" max="7" width="13.7265625" style="30" customWidth="1"/>
    <col min="8" max="8" width="14.26953125" style="30" customWidth="1"/>
    <col min="9" max="9" width="11.7265625" style="30" customWidth="1"/>
    <col min="10" max="10" width="12.26953125" style="30" customWidth="1"/>
    <col min="11" max="11" width="13.26953125" style="30" customWidth="1"/>
    <col min="12" max="12" width="9.453125" style="30" customWidth="1"/>
    <col min="13" max="13" width="31.54296875" style="30" customWidth="1"/>
    <col min="14" max="14" width="8.7265625" style="30"/>
    <col min="15" max="16384" width="8.7265625" style="258"/>
  </cols>
  <sheetData>
    <row r="1" spans="1:25" ht="21">
      <c r="A1" s="256" t="s">
        <v>9</v>
      </c>
      <c r="B1" s="257"/>
    </row>
    <row r="2" spans="1:25" ht="18.5">
      <c r="A2" s="259" t="s">
        <v>521</v>
      </c>
      <c r="B2" s="257"/>
    </row>
    <row r="3" spans="1:25" s="261" customFormat="1" ht="15.5">
      <c r="A3" s="240" t="s">
        <v>522</v>
      </c>
      <c r="B3" s="260"/>
      <c r="C3" s="259"/>
      <c r="D3" s="259"/>
      <c r="E3" s="259"/>
      <c r="F3" s="259"/>
      <c r="G3" s="259"/>
      <c r="H3" s="259"/>
      <c r="I3" s="259"/>
      <c r="J3" s="259"/>
      <c r="K3" s="259"/>
      <c r="L3" s="259"/>
      <c r="M3" s="259"/>
      <c r="N3" s="259"/>
    </row>
    <row r="4" spans="1:25" s="261" customFormat="1" ht="15.5">
      <c r="A4" s="262" t="s">
        <v>523</v>
      </c>
      <c r="B4" s="260"/>
      <c r="C4" s="259"/>
      <c r="D4" s="259"/>
      <c r="E4" s="259"/>
      <c r="F4" s="259"/>
      <c r="G4" s="259"/>
      <c r="H4" s="259"/>
      <c r="I4" s="259"/>
      <c r="J4" s="259"/>
      <c r="K4" s="259"/>
      <c r="L4" s="259"/>
      <c r="M4" s="259"/>
      <c r="N4" s="259"/>
    </row>
    <row r="5" spans="1:25" s="261" customFormat="1" ht="15.5">
      <c r="A5" s="262" t="s">
        <v>524</v>
      </c>
      <c r="B5" s="260"/>
      <c r="C5" s="259"/>
      <c r="D5" s="259"/>
      <c r="E5" s="259"/>
      <c r="F5" s="259"/>
      <c r="G5" s="259"/>
      <c r="H5" s="259"/>
      <c r="I5" s="259"/>
      <c r="J5" s="259"/>
      <c r="K5" s="259"/>
      <c r="L5" s="259"/>
      <c r="M5" s="259"/>
      <c r="N5" s="259"/>
    </row>
    <row r="6" spans="1:25" s="261" customFormat="1" ht="15.5">
      <c r="A6" s="240" t="s">
        <v>525</v>
      </c>
      <c r="B6" s="260"/>
      <c r="C6" s="259"/>
      <c r="D6" s="259"/>
      <c r="E6" s="259"/>
      <c r="F6" s="259"/>
      <c r="G6" s="259"/>
      <c r="H6" s="259"/>
      <c r="I6" s="259"/>
      <c r="J6" s="259"/>
      <c r="K6" s="259"/>
      <c r="L6" s="259"/>
      <c r="M6" s="259"/>
      <c r="N6" s="259"/>
    </row>
    <row r="7" spans="1:25" s="261" customFormat="1" ht="15.5">
      <c r="A7" s="240" t="s">
        <v>526</v>
      </c>
      <c r="B7" s="260"/>
      <c r="C7" s="259"/>
      <c r="D7" s="259"/>
      <c r="E7" s="259"/>
      <c r="F7" s="259"/>
      <c r="G7" s="259"/>
      <c r="H7" s="259"/>
      <c r="I7" s="259"/>
      <c r="J7" s="259"/>
      <c r="K7" s="259"/>
      <c r="L7" s="259"/>
      <c r="M7" s="259"/>
      <c r="N7" s="259"/>
    </row>
    <row r="8" spans="1:25" s="261" customFormat="1" ht="21">
      <c r="A8" s="256"/>
      <c r="B8" s="260"/>
      <c r="C8" s="259"/>
      <c r="D8" s="259"/>
      <c r="E8" s="259"/>
      <c r="F8" s="259"/>
      <c r="G8" s="259"/>
      <c r="H8" s="259"/>
      <c r="I8" s="259"/>
      <c r="J8" s="259"/>
      <c r="K8" s="259"/>
      <c r="L8" s="259"/>
      <c r="M8" s="259"/>
      <c r="N8" s="259"/>
    </row>
    <row r="10" spans="1:25" s="265" customFormat="1" ht="15" customHeight="1">
      <c r="A10" s="263" t="s">
        <v>527</v>
      </c>
      <c r="B10" s="264"/>
      <c r="C10" s="264"/>
      <c r="D10" s="264"/>
      <c r="E10" s="264"/>
      <c r="F10" s="264"/>
      <c r="G10" s="264"/>
      <c r="H10" s="264"/>
      <c r="I10" s="264"/>
      <c r="J10" s="264"/>
      <c r="K10" s="264"/>
      <c r="L10" s="264"/>
      <c r="M10" s="264"/>
      <c r="N10" s="264"/>
    </row>
    <row r="11" spans="1:25" s="266" customFormat="1" ht="15" customHeight="1">
      <c r="A11" s="178"/>
      <c r="B11" s="178"/>
      <c r="C11" s="178"/>
      <c r="D11" s="178"/>
      <c r="E11" s="178"/>
      <c r="F11" s="178"/>
      <c r="G11" s="178"/>
      <c r="H11" s="178"/>
      <c r="I11" s="178"/>
      <c r="J11" s="178"/>
      <c r="K11" s="178"/>
      <c r="L11" s="178"/>
      <c r="M11" s="178"/>
      <c r="N11" s="178"/>
    </row>
    <row r="12" spans="1:25" ht="18" customHeight="1">
      <c r="A12" s="267" t="s">
        <v>294</v>
      </c>
      <c r="B12" s="267" t="s">
        <v>528</v>
      </c>
      <c r="C12" s="268" t="s">
        <v>529</v>
      </c>
      <c r="D12" s="269"/>
      <c r="E12" s="269"/>
      <c r="F12" s="270"/>
      <c r="G12" s="271" t="s">
        <v>530</v>
      </c>
      <c r="H12" s="271"/>
      <c r="I12" s="271"/>
      <c r="J12" s="271"/>
      <c r="K12" s="271" t="s">
        <v>185</v>
      </c>
    </row>
    <row r="13" spans="1:25" ht="16.5" customHeight="1">
      <c r="A13" s="272"/>
      <c r="B13" s="272"/>
      <c r="C13" s="273" t="s">
        <v>531</v>
      </c>
      <c r="D13" s="273" t="s">
        <v>532</v>
      </c>
      <c r="E13" s="273" t="s">
        <v>533</v>
      </c>
      <c r="F13" s="273" t="s">
        <v>534</v>
      </c>
      <c r="G13" s="273" t="s">
        <v>531</v>
      </c>
      <c r="H13" s="273" t="s">
        <v>532</v>
      </c>
      <c r="I13" s="273" t="s">
        <v>533</v>
      </c>
      <c r="J13" s="273" t="s">
        <v>534</v>
      </c>
      <c r="K13" s="271"/>
      <c r="N13" s="274"/>
      <c r="O13" s="275"/>
      <c r="P13" s="275"/>
      <c r="Q13" s="275"/>
      <c r="R13" s="275"/>
      <c r="S13" s="275"/>
      <c r="T13" s="275"/>
      <c r="U13" s="275"/>
      <c r="V13" s="275"/>
      <c r="W13" s="275"/>
      <c r="X13" s="275"/>
      <c r="Y13" s="275"/>
    </row>
    <row r="14" spans="1:25" ht="14.65" customHeight="1">
      <c r="A14" s="276" t="s">
        <v>295</v>
      </c>
      <c r="B14" s="277" t="s">
        <v>296</v>
      </c>
      <c r="C14" s="278" t="s">
        <v>535</v>
      </c>
      <c r="D14" s="278" t="s">
        <v>535</v>
      </c>
      <c r="E14" s="278" t="s">
        <v>535</v>
      </c>
      <c r="F14" s="279">
        <v>60</v>
      </c>
      <c r="G14" s="278" t="s">
        <v>535</v>
      </c>
      <c r="H14" s="278" t="s">
        <v>535</v>
      </c>
      <c r="I14" s="278" t="s">
        <v>535</v>
      </c>
      <c r="J14" s="279">
        <f>F14/24</f>
        <v>2.5</v>
      </c>
      <c r="K14" s="280" t="s">
        <v>536</v>
      </c>
      <c r="N14" s="86"/>
      <c r="O14" s="275"/>
      <c r="P14" s="275"/>
      <c r="Q14" s="275"/>
      <c r="R14" s="275"/>
      <c r="S14" s="275"/>
      <c r="T14" s="275"/>
      <c r="U14" s="275"/>
      <c r="V14" s="275"/>
      <c r="W14" s="275"/>
      <c r="X14" s="275"/>
      <c r="Y14" s="275"/>
    </row>
    <row r="15" spans="1:25">
      <c r="A15" s="281"/>
      <c r="B15" s="277" t="s">
        <v>302</v>
      </c>
      <c r="C15" s="278" t="s">
        <v>535</v>
      </c>
      <c r="D15" s="278" t="s">
        <v>535</v>
      </c>
      <c r="E15" s="278" t="s">
        <v>535</v>
      </c>
      <c r="F15" s="279">
        <v>30</v>
      </c>
      <c r="G15" s="278" t="s">
        <v>535</v>
      </c>
      <c r="H15" s="278" t="s">
        <v>535</v>
      </c>
      <c r="I15" s="278" t="s">
        <v>535</v>
      </c>
      <c r="J15" s="282">
        <f>F15/24</f>
        <v>1.25</v>
      </c>
      <c r="K15" s="283"/>
    </row>
    <row r="16" spans="1:25" ht="26.15" customHeight="1">
      <c r="A16" s="284"/>
      <c r="B16" s="277" t="s">
        <v>298</v>
      </c>
      <c r="C16" s="278" t="s">
        <v>535</v>
      </c>
      <c r="D16" s="278" t="s">
        <v>535</v>
      </c>
      <c r="E16" s="278" t="s">
        <v>535</v>
      </c>
      <c r="F16" s="279">
        <v>15</v>
      </c>
      <c r="G16" s="278" t="s">
        <v>535</v>
      </c>
      <c r="H16" s="278" t="s">
        <v>535</v>
      </c>
      <c r="I16" s="278" t="s">
        <v>535</v>
      </c>
      <c r="J16" s="282">
        <f>F16/24</f>
        <v>0.625</v>
      </c>
      <c r="K16" s="285"/>
    </row>
    <row r="17" spans="1:16" ht="14.15" customHeight="1">
      <c r="A17" s="286" t="s">
        <v>537</v>
      </c>
      <c r="B17" s="277" t="s">
        <v>296</v>
      </c>
      <c r="C17" s="287">
        <f>G37</f>
        <v>39.166666666666664</v>
      </c>
      <c r="D17" s="287">
        <f>G41</f>
        <v>16.566666666666666</v>
      </c>
      <c r="E17" s="287">
        <f>G45</f>
        <v>12.383333333333333</v>
      </c>
      <c r="F17" s="278" t="s">
        <v>535</v>
      </c>
      <c r="G17" s="282">
        <f t="shared" ref="G17:I31" si="0">C17/24</f>
        <v>1.6319444444444444</v>
      </c>
      <c r="H17" s="282">
        <f t="shared" si="0"/>
        <v>0.69027777777777777</v>
      </c>
      <c r="I17" s="282">
        <f t="shared" si="0"/>
        <v>0.51597222222222217</v>
      </c>
      <c r="J17" s="278" t="s">
        <v>535</v>
      </c>
      <c r="K17" s="288" t="s">
        <v>538</v>
      </c>
      <c r="N17" s="187"/>
      <c r="O17" s="187"/>
      <c r="P17" s="187"/>
    </row>
    <row r="18" spans="1:16" ht="14">
      <c r="A18" s="289"/>
      <c r="B18" s="277" t="s">
        <v>302</v>
      </c>
      <c r="C18" s="287">
        <f>H37</f>
        <v>22.891666666666666</v>
      </c>
      <c r="D18" s="287">
        <f>H41</f>
        <v>14.6875</v>
      </c>
      <c r="E18" s="287">
        <f>H45</f>
        <v>7.2666666666666666</v>
      </c>
      <c r="F18" s="278" t="s">
        <v>535</v>
      </c>
      <c r="G18" s="282">
        <f t="shared" si="0"/>
        <v>0.95381944444444444</v>
      </c>
      <c r="H18" s="282">
        <f t="shared" si="0"/>
        <v>0.61197916666666663</v>
      </c>
      <c r="I18" s="282">
        <f t="shared" si="0"/>
        <v>0.30277777777777776</v>
      </c>
      <c r="J18" s="278" t="s">
        <v>535</v>
      </c>
      <c r="K18" s="288"/>
      <c r="L18" s="290"/>
      <c r="M18" s="291"/>
      <c r="N18" s="292"/>
      <c r="O18" s="292"/>
      <c r="P18" s="292"/>
    </row>
    <row r="19" spans="1:16" thickBot="1">
      <c r="A19" s="289"/>
      <c r="B19" s="293" t="s">
        <v>298</v>
      </c>
      <c r="C19" s="294">
        <f>I37</f>
        <v>1</v>
      </c>
      <c r="D19" s="294">
        <f>I37</f>
        <v>1</v>
      </c>
      <c r="E19" s="294">
        <f>I45</f>
        <v>1.8833333333333333</v>
      </c>
      <c r="F19" s="295" t="s">
        <v>535</v>
      </c>
      <c r="G19" s="296">
        <f t="shared" si="0"/>
        <v>4.1666666666666664E-2</v>
      </c>
      <c r="H19" s="296">
        <f t="shared" si="0"/>
        <v>4.1666666666666664E-2</v>
      </c>
      <c r="I19" s="296">
        <f t="shared" si="0"/>
        <v>7.8472222222222221E-2</v>
      </c>
      <c r="J19" s="297" t="s">
        <v>535</v>
      </c>
      <c r="K19" s="288"/>
      <c r="L19" s="290"/>
      <c r="M19" s="291"/>
      <c r="N19" s="298"/>
      <c r="O19" s="298"/>
      <c r="P19" s="298"/>
    </row>
    <row r="20" spans="1:16" thickTop="1">
      <c r="A20" s="299" t="s">
        <v>539</v>
      </c>
      <c r="B20" s="277" t="s">
        <v>296</v>
      </c>
      <c r="C20" s="287">
        <f>G37</f>
        <v>39.166666666666664</v>
      </c>
      <c r="D20" s="287">
        <f>G41</f>
        <v>16.566666666666666</v>
      </c>
      <c r="E20" s="287">
        <f>G45</f>
        <v>12.383333333333333</v>
      </c>
      <c r="F20" s="278" t="s">
        <v>535</v>
      </c>
      <c r="G20" s="282">
        <f t="shared" si="0"/>
        <v>1.6319444444444444</v>
      </c>
      <c r="H20" s="282">
        <f t="shared" si="0"/>
        <v>0.69027777777777777</v>
      </c>
      <c r="I20" s="282">
        <f t="shared" si="0"/>
        <v>0.51597222222222217</v>
      </c>
      <c r="J20" s="300" t="s">
        <v>535</v>
      </c>
      <c r="K20" s="288"/>
      <c r="L20" s="301"/>
      <c r="M20" s="301"/>
      <c r="N20" s="302"/>
      <c r="O20" s="302"/>
      <c r="P20" s="302"/>
    </row>
    <row r="21" spans="1:16" ht="14.15" customHeight="1">
      <c r="A21" s="299"/>
      <c r="B21" s="277" t="s">
        <v>302</v>
      </c>
      <c r="C21" s="287">
        <f>H37</f>
        <v>22.891666666666666</v>
      </c>
      <c r="D21" s="287">
        <f>H41</f>
        <v>14.6875</v>
      </c>
      <c r="E21" s="287">
        <f>H45</f>
        <v>7.2666666666666666</v>
      </c>
      <c r="F21" s="278" t="s">
        <v>535</v>
      </c>
      <c r="G21" s="282">
        <f t="shared" si="0"/>
        <v>0.95381944444444444</v>
      </c>
      <c r="H21" s="282">
        <f t="shared" si="0"/>
        <v>0.61197916666666663</v>
      </c>
      <c r="I21" s="282">
        <f t="shared" si="0"/>
        <v>0.30277777777777776</v>
      </c>
      <c r="J21" s="278" t="s">
        <v>535</v>
      </c>
      <c r="K21" s="288"/>
      <c r="L21" s="301"/>
      <c r="M21" s="301"/>
      <c r="N21" s="302"/>
      <c r="O21" s="302"/>
      <c r="P21" s="303"/>
    </row>
    <row r="22" spans="1:16" thickBot="1">
      <c r="A22" s="304"/>
      <c r="B22" s="305" t="s">
        <v>298</v>
      </c>
      <c r="C22" s="306">
        <f>I37</f>
        <v>1</v>
      </c>
      <c r="D22" s="306">
        <f>I41</f>
        <v>11.116666666666667</v>
      </c>
      <c r="E22" s="306">
        <f>I45</f>
        <v>1.8833333333333333</v>
      </c>
      <c r="F22" s="297" t="s">
        <v>535</v>
      </c>
      <c r="G22" s="307">
        <f t="shared" si="0"/>
        <v>4.1666666666666664E-2</v>
      </c>
      <c r="H22" s="307">
        <f t="shared" si="0"/>
        <v>0.46319444444444446</v>
      </c>
      <c r="I22" s="307">
        <f t="shared" si="0"/>
        <v>7.8472222222222221E-2</v>
      </c>
      <c r="J22" s="278" t="s">
        <v>535</v>
      </c>
      <c r="K22" s="288"/>
      <c r="L22" s="290"/>
      <c r="M22" s="291"/>
      <c r="N22" s="292"/>
      <c r="O22" s="292"/>
      <c r="P22" s="292"/>
    </row>
    <row r="23" spans="1:16" thickTop="1">
      <c r="A23" s="284" t="s">
        <v>299</v>
      </c>
      <c r="B23" s="308" t="s">
        <v>296</v>
      </c>
      <c r="C23" s="309">
        <f>G38</f>
        <v>24.5</v>
      </c>
      <c r="D23" s="309">
        <f>G42</f>
        <v>23.016666666666666</v>
      </c>
      <c r="E23" s="309">
        <f>G46</f>
        <v>21.766666666666666</v>
      </c>
      <c r="F23" s="300" t="s">
        <v>535</v>
      </c>
      <c r="G23" s="278" t="s">
        <v>535</v>
      </c>
      <c r="H23" s="310">
        <f t="shared" si="0"/>
        <v>0.9590277777777777</v>
      </c>
      <c r="I23" s="310">
        <f t="shared" si="0"/>
        <v>0.90694444444444444</v>
      </c>
      <c r="J23" s="278" t="s">
        <v>535</v>
      </c>
      <c r="K23" s="288" t="s">
        <v>540</v>
      </c>
      <c r="L23" s="290"/>
      <c r="M23" s="291"/>
      <c r="N23" s="298"/>
      <c r="O23" s="298"/>
      <c r="P23" s="298"/>
    </row>
    <row r="24" spans="1:16" ht="14">
      <c r="A24" s="311"/>
      <c r="B24" s="277" t="s">
        <v>302</v>
      </c>
      <c r="C24" s="287">
        <f>H38</f>
        <v>14.658333333333335</v>
      </c>
      <c r="D24" s="287">
        <f>H42</f>
        <v>16.9375</v>
      </c>
      <c r="E24" s="287">
        <f>H46</f>
        <v>14.441666666666666</v>
      </c>
      <c r="F24" s="278" t="s">
        <v>535</v>
      </c>
      <c r="G24" s="278" t="s">
        <v>535</v>
      </c>
      <c r="H24" s="282">
        <f t="shared" si="0"/>
        <v>0.70572916666666663</v>
      </c>
      <c r="I24" s="282">
        <f t="shared" si="0"/>
        <v>0.60173611111111114</v>
      </c>
      <c r="J24" s="278" t="s">
        <v>535</v>
      </c>
      <c r="K24" s="288"/>
      <c r="L24" s="301"/>
      <c r="M24" s="301"/>
      <c r="N24" s="302"/>
      <c r="O24" s="302"/>
      <c r="P24" s="302"/>
    </row>
    <row r="25" spans="1:16" ht="14.15" customHeight="1">
      <c r="A25" s="311"/>
      <c r="B25" s="277" t="s">
        <v>298</v>
      </c>
      <c r="C25" s="282">
        <f>I38</f>
        <v>5.2333333333333334</v>
      </c>
      <c r="D25" s="287">
        <f>I42</f>
        <v>12.033333333333333</v>
      </c>
      <c r="E25" s="287">
        <f>I46</f>
        <v>10</v>
      </c>
      <c r="F25" s="278" t="s">
        <v>535</v>
      </c>
      <c r="G25" s="278" t="s">
        <v>535</v>
      </c>
      <c r="H25" s="282">
        <f t="shared" si="0"/>
        <v>0.50138888888888888</v>
      </c>
      <c r="I25" s="282">
        <f t="shared" si="0"/>
        <v>0.41666666666666669</v>
      </c>
      <c r="J25" s="278" t="s">
        <v>535</v>
      </c>
      <c r="K25" s="288"/>
      <c r="L25" s="301"/>
      <c r="M25" s="301"/>
      <c r="N25" s="302"/>
      <c r="O25" s="302"/>
      <c r="P25" s="303"/>
    </row>
    <row r="26" spans="1:16" ht="14">
      <c r="A26" s="288" t="s">
        <v>17</v>
      </c>
      <c r="B26" s="277" t="s">
        <v>296</v>
      </c>
      <c r="C26" s="287">
        <f>G38</f>
        <v>24.5</v>
      </c>
      <c r="D26" s="287">
        <f>G42</f>
        <v>23.016666666666666</v>
      </c>
      <c r="E26" s="287">
        <f>G46</f>
        <v>21.766666666666666</v>
      </c>
      <c r="F26" s="278" t="s">
        <v>535</v>
      </c>
      <c r="G26" s="282">
        <f t="shared" si="0"/>
        <v>1.0208333333333333</v>
      </c>
      <c r="H26" s="282">
        <f t="shared" si="0"/>
        <v>0.9590277777777777</v>
      </c>
      <c r="I26" s="282">
        <f t="shared" si="0"/>
        <v>0.90694444444444444</v>
      </c>
      <c r="J26" s="278" t="s">
        <v>535</v>
      </c>
      <c r="K26" s="288"/>
      <c r="L26" s="290"/>
      <c r="M26" s="291"/>
      <c r="N26" s="292"/>
      <c r="O26" s="292"/>
      <c r="P26" s="292"/>
    </row>
    <row r="27" spans="1:16" ht="14">
      <c r="A27" s="288"/>
      <c r="B27" s="277" t="s">
        <v>302</v>
      </c>
      <c r="C27" s="287">
        <f>H38</f>
        <v>14.658333333333335</v>
      </c>
      <c r="D27" s="287">
        <f>H42</f>
        <v>16.9375</v>
      </c>
      <c r="E27" s="287">
        <f>H46</f>
        <v>14.441666666666666</v>
      </c>
      <c r="F27" s="278" t="s">
        <v>535</v>
      </c>
      <c r="G27" s="282">
        <f t="shared" si="0"/>
        <v>0.61076388888888899</v>
      </c>
      <c r="H27" s="282">
        <f t="shared" si="0"/>
        <v>0.70572916666666663</v>
      </c>
      <c r="I27" s="282">
        <f t="shared" si="0"/>
        <v>0.60173611111111114</v>
      </c>
      <c r="J27" s="278" t="s">
        <v>535</v>
      </c>
      <c r="K27" s="288"/>
      <c r="L27" s="290"/>
      <c r="M27" s="291"/>
      <c r="N27" s="298"/>
      <c r="O27" s="298"/>
      <c r="P27" s="298"/>
    </row>
    <row r="28" spans="1:16">
      <c r="A28" s="288"/>
      <c r="B28" s="277" t="s">
        <v>298</v>
      </c>
      <c r="C28" s="282">
        <f>I38</f>
        <v>5.2333333333333334</v>
      </c>
      <c r="D28" s="287">
        <f>I42</f>
        <v>12.033333333333333</v>
      </c>
      <c r="E28" s="282">
        <f>I46</f>
        <v>10</v>
      </c>
      <c r="F28" s="278" t="s">
        <v>535</v>
      </c>
      <c r="G28" s="282">
        <f t="shared" si="0"/>
        <v>0.21805555555555556</v>
      </c>
      <c r="H28" s="282">
        <f t="shared" si="0"/>
        <v>0.50138888888888888</v>
      </c>
      <c r="I28" s="282">
        <f t="shared" si="0"/>
        <v>0.41666666666666669</v>
      </c>
      <c r="J28" s="278" t="s">
        <v>535</v>
      </c>
      <c r="K28" s="288"/>
      <c r="L28" s="301"/>
      <c r="M28" s="301"/>
      <c r="P28" s="302"/>
    </row>
    <row r="29" spans="1:16" ht="14.15" customHeight="1">
      <c r="A29" s="288" t="s">
        <v>19</v>
      </c>
      <c r="B29" s="277" t="s">
        <v>296</v>
      </c>
      <c r="C29" s="287">
        <f>G38</f>
        <v>24.5</v>
      </c>
      <c r="D29" s="287">
        <f>G42</f>
        <v>23.016666666666666</v>
      </c>
      <c r="E29" s="287">
        <f>G46</f>
        <v>21.766666666666666</v>
      </c>
      <c r="F29" s="278" t="s">
        <v>535</v>
      </c>
      <c r="G29" s="282">
        <f t="shared" si="0"/>
        <v>1.0208333333333333</v>
      </c>
      <c r="H29" s="282">
        <f t="shared" si="0"/>
        <v>0.9590277777777777</v>
      </c>
      <c r="I29" s="282">
        <f t="shared" si="0"/>
        <v>0.90694444444444444</v>
      </c>
      <c r="J29" s="278" t="s">
        <v>535</v>
      </c>
      <c r="K29" s="288"/>
      <c r="L29" s="301"/>
      <c r="M29" s="301"/>
      <c r="P29" s="303"/>
    </row>
    <row r="30" spans="1:16">
      <c r="A30" s="288"/>
      <c r="B30" s="277" t="s">
        <v>302</v>
      </c>
      <c r="C30" s="287">
        <f>H38</f>
        <v>14.658333333333335</v>
      </c>
      <c r="D30" s="287">
        <f>H42</f>
        <v>16.9375</v>
      </c>
      <c r="E30" s="287">
        <f>H46</f>
        <v>14.441666666666666</v>
      </c>
      <c r="F30" s="278" t="s">
        <v>535</v>
      </c>
      <c r="G30" s="282">
        <f t="shared" si="0"/>
        <v>0.61076388888888899</v>
      </c>
      <c r="H30" s="282">
        <f t="shared" si="0"/>
        <v>0.70572916666666663</v>
      </c>
      <c r="I30" s="282">
        <f t="shared" si="0"/>
        <v>0.60173611111111114</v>
      </c>
      <c r="J30" s="278" t="s">
        <v>535</v>
      </c>
      <c r="K30" s="288"/>
    </row>
    <row r="31" spans="1:16" ht="14.15" customHeight="1">
      <c r="A31" s="288"/>
      <c r="B31" s="277" t="s">
        <v>298</v>
      </c>
      <c r="C31" s="282">
        <f>I38</f>
        <v>5.2333333333333334</v>
      </c>
      <c r="D31" s="287">
        <f>I42</f>
        <v>12.033333333333333</v>
      </c>
      <c r="E31" s="287">
        <f>I46</f>
        <v>10</v>
      </c>
      <c r="F31" s="278" t="s">
        <v>535</v>
      </c>
      <c r="G31" s="282">
        <f t="shared" si="0"/>
        <v>0.21805555555555556</v>
      </c>
      <c r="H31" s="282">
        <f t="shared" si="0"/>
        <v>0.50138888888888888</v>
      </c>
      <c r="I31" s="282">
        <f t="shared" si="0"/>
        <v>0.41666666666666669</v>
      </c>
      <c r="J31" s="278" t="s">
        <v>535</v>
      </c>
      <c r="K31" s="288"/>
    </row>
    <row r="34" spans="1:15" s="314" customFormat="1" ht="46.5" customHeight="1">
      <c r="A34" s="312" t="s">
        <v>541</v>
      </c>
      <c r="B34" s="312"/>
      <c r="C34" s="312"/>
      <c r="D34" s="312"/>
      <c r="E34" s="312"/>
      <c r="F34" s="312"/>
      <c r="G34" s="312" t="s">
        <v>542</v>
      </c>
      <c r="H34" s="312"/>
      <c r="I34" s="312"/>
      <c r="J34" s="30"/>
      <c r="K34" s="12"/>
      <c r="L34" s="12"/>
      <c r="M34" s="12"/>
      <c r="N34" s="12"/>
      <c r="O34" s="313"/>
    </row>
    <row r="35" spans="1:15" s="314" customFormat="1">
      <c r="A35" s="315" t="s">
        <v>543</v>
      </c>
      <c r="B35" s="316" t="s">
        <v>544</v>
      </c>
      <c r="C35" s="268" t="s">
        <v>545</v>
      </c>
      <c r="D35" s="269"/>
      <c r="E35" s="269"/>
      <c r="F35" s="270"/>
      <c r="G35" s="317" t="s">
        <v>546</v>
      </c>
      <c r="H35" s="318"/>
      <c r="I35" s="319"/>
      <c r="J35" s="30"/>
      <c r="K35" s="12"/>
      <c r="L35" s="12"/>
      <c r="M35" s="12"/>
      <c r="N35" s="12"/>
      <c r="O35" s="313"/>
    </row>
    <row r="36" spans="1:15" s="314" customFormat="1" ht="18" customHeight="1">
      <c r="A36" s="320"/>
      <c r="B36" s="321"/>
      <c r="C36" s="322" t="s">
        <v>547</v>
      </c>
      <c r="D36" s="322" t="s">
        <v>548</v>
      </c>
      <c r="E36" s="322" t="s">
        <v>549</v>
      </c>
      <c r="F36" s="322" t="s">
        <v>550</v>
      </c>
      <c r="G36" s="323" t="s">
        <v>551</v>
      </c>
      <c r="H36" s="323" t="s">
        <v>552</v>
      </c>
      <c r="I36" s="323" t="s">
        <v>553</v>
      </c>
      <c r="J36" s="30"/>
      <c r="K36" s="12"/>
      <c r="L36" s="12"/>
      <c r="M36" s="12"/>
      <c r="N36" s="12"/>
      <c r="O36" s="313"/>
    </row>
    <row r="37" spans="1:15" s="314" customFormat="1">
      <c r="A37" s="324" t="s">
        <v>554</v>
      </c>
      <c r="B37" s="324" t="s">
        <v>385</v>
      </c>
      <c r="C37" s="282">
        <v>1</v>
      </c>
      <c r="D37" s="282">
        <f>28+(20/60)</f>
        <v>28.333333333333332</v>
      </c>
      <c r="E37" s="282">
        <f>39+10/60</f>
        <v>39.166666666666664</v>
      </c>
      <c r="F37" s="282">
        <f>23+(4/60)</f>
        <v>23.066666666666666</v>
      </c>
      <c r="G37" s="287">
        <f>MAX(C37:F37)</f>
        <v>39.166666666666664</v>
      </c>
      <c r="H37" s="287">
        <f>AVERAGE(C37:F37)</f>
        <v>22.891666666666666</v>
      </c>
      <c r="I37" s="287">
        <f>MIN(C37:F37)</f>
        <v>1</v>
      </c>
      <c r="J37" s="30"/>
      <c r="K37" s="12"/>
      <c r="L37" s="12"/>
      <c r="M37" s="12"/>
      <c r="N37" s="12"/>
      <c r="O37" s="313"/>
    </row>
    <row r="38" spans="1:15" s="314" customFormat="1">
      <c r="A38" s="324" t="s">
        <v>555</v>
      </c>
      <c r="B38" s="324" t="s">
        <v>385</v>
      </c>
      <c r="C38" s="282">
        <f>5+(14/60)</f>
        <v>5.2333333333333334</v>
      </c>
      <c r="D38" s="282">
        <f>12+(29/60)</f>
        <v>12.483333333333333</v>
      </c>
      <c r="E38" s="282">
        <f>24+(30/60)</f>
        <v>24.5</v>
      </c>
      <c r="F38" s="282">
        <f>16+25/60</f>
        <v>16.416666666666668</v>
      </c>
      <c r="G38" s="287">
        <f>MAX(C38:F38)</f>
        <v>24.5</v>
      </c>
      <c r="H38" s="287">
        <f>AVERAGE(C38:F38)</f>
        <v>14.658333333333335</v>
      </c>
      <c r="I38" s="282">
        <f>MIN(C38:F38)</f>
        <v>5.2333333333333334</v>
      </c>
      <c r="J38" s="30"/>
      <c r="K38" s="12"/>
      <c r="L38" s="12"/>
      <c r="M38" s="12"/>
      <c r="N38" s="12"/>
      <c r="O38" s="313"/>
    </row>
    <row r="39" spans="1:15" s="314" customFormat="1">
      <c r="A39" s="315" t="s">
        <v>543</v>
      </c>
      <c r="B39" s="316" t="s">
        <v>544</v>
      </c>
      <c r="C39" s="268" t="s">
        <v>545</v>
      </c>
      <c r="D39" s="269"/>
      <c r="E39" s="269"/>
      <c r="F39" s="270"/>
      <c r="G39" s="317" t="s">
        <v>556</v>
      </c>
      <c r="H39" s="318"/>
      <c r="I39" s="319"/>
      <c r="J39" s="30"/>
      <c r="K39" s="12"/>
      <c r="L39" s="12"/>
      <c r="M39" s="12"/>
      <c r="N39" s="12"/>
    </row>
    <row r="40" spans="1:15" s="314" customFormat="1">
      <c r="A40" s="320"/>
      <c r="B40" s="321"/>
      <c r="C40" s="322" t="s">
        <v>557</v>
      </c>
      <c r="D40" s="322" t="s">
        <v>558</v>
      </c>
      <c r="E40" s="322" t="s">
        <v>559</v>
      </c>
      <c r="F40" s="322" t="s">
        <v>560</v>
      </c>
      <c r="G40" s="323" t="s">
        <v>551</v>
      </c>
      <c r="H40" s="323" t="s">
        <v>552</v>
      </c>
      <c r="I40" s="323" t="s">
        <v>553</v>
      </c>
      <c r="J40" s="30"/>
      <c r="K40" s="12"/>
      <c r="L40" s="12"/>
      <c r="M40" s="12"/>
      <c r="N40" s="12"/>
    </row>
    <row r="41" spans="1:15" s="314" customFormat="1">
      <c r="A41" s="324" t="s">
        <v>554</v>
      </c>
      <c r="B41" s="324" t="s">
        <v>385</v>
      </c>
      <c r="C41" s="282">
        <f>15+(18/60)</f>
        <v>15.3</v>
      </c>
      <c r="D41" s="282">
        <f>16+34/60</f>
        <v>16.566666666666666</v>
      </c>
      <c r="E41" s="282">
        <f>11+(7/60)</f>
        <v>11.116666666666667</v>
      </c>
      <c r="F41" s="282">
        <f>15+(46/60)</f>
        <v>15.766666666666667</v>
      </c>
      <c r="G41" s="287">
        <f>MAX(C41:F41)</f>
        <v>16.566666666666666</v>
      </c>
      <c r="H41" s="287">
        <f>AVERAGE(C41:F41)</f>
        <v>14.6875</v>
      </c>
      <c r="I41" s="287">
        <f>MIN(C41:F41)</f>
        <v>11.116666666666667</v>
      </c>
      <c r="J41" s="30"/>
      <c r="K41" s="12"/>
      <c r="L41" s="12"/>
      <c r="M41" s="12"/>
      <c r="N41" s="12"/>
    </row>
    <row r="42" spans="1:15" s="314" customFormat="1">
      <c r="A42" s="324" t="s">
        <v>555</v>
      </c>
      <c r="B42" s="324" t="s">
        <v>385</v>
      </c>
      <c r="C42" s="282">
        <f>12+2/60</f>
        <v>12.033333333333333</v>
      </c>
      <c r="D42" s="282">
        <f>23+1/60</f>
        <v>23.016666666666666</v>
      </c>
      <c r="E42" s="282">
        <f>19+49/60</f>
        <v>19.816666666666666</v>
      </c>
      <c r="F42" s="282">
        <f>12+53/60</f>
        <v>12.883333333333333</v>
      </c>
      <c r="G42" s="287">
        <f>MAX(C42:F42)</f>
        <v>23.016666666666666</v>
      </c>
      <c r="H42" s="287">
        <f>AVERAGE(C42:F42)</f>
        <v>16.9375</v>
      </c>
      <c r="I42" s="282">
        <f>MIN(C42:F42)</f>
        <v>12.033333333333333</v>
      </c>
      <c r="J42" s="30"/>
      <c r="K42" s="12"/>
      <c r="L42" s="12"/>
      <c r="M42" s="12"/>
      <c r="N42" s="12"/>
    </row>
    <row r="43" spans="1:15" s="314" customFormat="1">
      <c r="A43" s="315" t="s">
        <v>543</v>
      </c>
      <c r="B43" s="316" t="s">
        <v>544</v>
      </c>
      <c r="C43" s="268" t="s">
        <v>545</v>
      </c>
      <c r="D43" s="269"/>
      <c r="E43" s="269"/>
      <c r="F43" s="270"/>
      <c r="G43" s="317" t="s">
        <v>561</v>
      </c>
      <c r="H43" s="318"/>
      <c r="I43" s="319"/>
      <c r="J43" s="30"/>
      <c r="K43" s="12"/>
      <c r="L43" s="12"/>
      <c r="M43" s="12"/>
      <c r="N43" s="12"/>
    </row>
    <row r="44" spans="1:15" s="314" customFormat="1">
      <c r="A44" s="320"/>
      <c r="B44" s="321"/>
      <c r="C44" s="322" t="s">
        <v>562</v>
      </c>
      <c r="D44" s="325" t="s">
        <v>563</v>
      </c>
      <c r="E44" s="325" t="s">
        <v>564</v>
      </c>
      <c r="F44" s="325" t="s">
        <v>565</v>
      </c>
      <c r="G44" s="323" t="s">
        <v>551</v>
      </c>
      <c r="H44" s="323" t="s">
        <v>552</v>
      </c>
      <c r="I44" s="323" t="s">
        <v>553</v>
      </c>
      <c r="J44" s="30"/>
      <c r="K44" s="12"/>
      <c r="L44" s="12"/>
      <c r="M44" s="12"/>
      <c r="N44" s="12"/>
    </row>
    <row r="45" spans="1:15" s="314" customFormat="1">
      <c r="A45" s="324" t="s">
        <v>554</v>
      </c>
      <c r="B45" s="324" t="s">
        <v>385</v>
      </c>
      <c r="C45" s="282">
        <f>12+(23/60)</f>
        <v>12.383333333333333</v>
      </c>
      <c r="D45" s="282">
        <f>11+37/60</f>
        <v>11.616666666666667</v>
      </c>
      <c r="E45" s="282">
        <f>3+11/60</f>
        <v>3.1833333333333331</v>
      </c>
      <c r="F45" s="282">
        <f>1+53/60</f>
        <v>1.8833333333333333</v>
      </c>
      <c r="G45" s="287">
        <f>MAX(C45:F45)</f>
        <v>12.383333333333333</v>
      </c>
      <c r="H45" s="287">
        <f>AVERAGE(C45:F45)</f>
        <v>7.2666666666666666</v>
      </c>
      <c r="I45" s="287">
        <f>MIN(C45:F45)</f>
        <v>1.8833333333333333</v>
      </c>
      <c r="J45" s="30"/>
      <c r="K45" s="12"/>
      <c r="L45" s="12"/>
      <c r="M45" s="12"/>
      <c r="N45" s="12"/>
    </row>
    <row r="46" spans="1:15" s="314" customFormat="1">
      <c r="A46" s="324" t="s">
        <v>555</v>
      </c>
      <c r="B46" s="324" t="s">
        <v>385</v>
      </c>
      <c r="C46" s="282">
        <f>21+46/60</f>
        <v>21.766666666666666</v>
      </c>
      <c r="D46" s="282">
        <f>15+16/60</f>
        <v>15.266666666666667</v>
      </c>
      <c r="E46" s="282">
        <f>10+44/60</f>
        <v>10.733333333333333</v>
      </c>
      <c r="F46" s="282">
        <f>10</f>
        <v>10</v>
      </c>
      <c r="G46" s="287">
        <f>MAX(C46:F46)</f>
        <v>21.766666666666666</v>
      </c>
      <c r="H46" s="287">
        <f>AVERAGE(C46:F46)</f>
        <v>14.441666666666666</v>
      </c>
      <c r="I46" s="282">
        <f>MIN(C46:F46)</f>
        <v>10</v>
      </c>
      <c r="J46" s="30"/>
      <c r="K46" s="12"/>
      <c r="L46" s="12"/>
      <c r="M46" s="12"/>
      <c r="N46" s="12"/>
    </row>
    <row r="47" spans="1:15" s="314" customFormat="1">
      <c r="A47" s="12"/>
      <c r="B47" s="12"/>
      <c r="C47" s="12"/>
      <c r="D47" s="12"/>
      <c r="E47" s="12"/>
      <c r="F47" s="12"/>
      <c r="G47" s="12"/>
      <c r="H47" s="12"/>
      <c r="I47" s="12"/>
      <c r="J47" s="30"/>
      <c r="K47" s="12"/>
      <c r="L47" s="12"/>
      <c r="M47" s="12"/>
      <c r="N47" s="12"/>
    </row>
    <row r="48" spans="1:15" s="314" customFormat="1">
      <c r="A48" s="12"/>
      <c r="B48" s="12"/>
      <c r="C48" s="12"/>
      <c r="D48" s="12"/>
      <c r="E48" s="12"/>
      <c r="F48" s="12"/>
      <c r="G48" s="12"/>
      <c r="H48" s="12"/>
      <c r="I48" s="12"/>
      <c r="J48" s="30"/>
      <c r="K48" s="12"/>
      <c r="L48" s="30"/>
      <c r="M48" s="12"/>
      <c r="N48" s="30"/>
      <c r="O48" s="12"/>
    </row>
    <row r="49" spans="1:15" s="327" customFormat="1" ht="18.649999999999999" customHeight="1">
      <c r="A49" s="263" t="s">
        <v>523</v>
      </c>
      <c r="B49" s="326"/>
      <c r="C49" s="326"/>
      <c r="D49" s="326"/>
      <c r="E49" s="326"/>
      <c r="F49" s="326"/>
      <c r="G49" s="326"/>
      <c r="H49" s="326"/>
      <c r="I49" s="326"/>
      <c r="J49" s="326"/>
      <c r="K49" s="326"/>
      <c r="L49" s="326"/>
      <c r="M49" s="326"/>
      <c r="N49" s="326"/>
      <c r="O49" s="326"/>
    </row>
    <row r="50" spans="1:15" s="328" customFormat="1" ht="14.65" customHeight="1">
      <c r="A50" s="12"/>
      <c r="B50" s="12"/>
      <c r="D50" s="12"/>
      <c r="E50" s="12"/>
      <c r="F50" s="12"/>
      <c r="G50" s="12"/>
      <c r="H50" s="12"/>
      <c r="I50" s="12"/>
      <c r="J50" s="12"/>
      <c r="K50" s="12"/>
      <c r="L50" s="12"/>
      <c r="M50" s="12"/>
      <c r="N50" s="12"/>
      <c r="O50" s="12"/>
    </row>
    <row r="51" spans="1:15" s="328" customFormat="1" ht="14.65" customHeight="1">
      <c r="A51" s="267" t="s">
        <v>294</v>
      </c>
      <c r="B51" s="267" t="s">
        <v>528</v>
      </c>
      <c r="C51" s="329" t="s">
        <v>566</v>
      </c>
      <c r="D51" s="271" t="s">
        <v>185</v>
      </c>
      <c r="E51" s="12"/>
      <c r="F51" s="12"/>
      <c r="G51" s="12"/>
      <c r="H51" s="12"/>
      <c r="I51" s="12"/>
      <c r="J51" s="12"/>
      <c r="K51" s="12"/>
      <c r="L51" s="12"/>
      <c r="M51" s="12"/>
      <c r="N51" s="12"/>
      <c r="O51" s="12"/>
    </row>
    <row r="52" spans="1:15" s="328" customFormat="1">
      <c r="A52" s="272"/>
      <c r="B52" s="272"/>
      <c r="C52" s="329"/>
      <c r="D52" s="271"/>
      <c r="E52" s="12"/>
      <c r="F52" s="12"/>
      <c r="G52" s="12"/>
      <c r="H52" s="12"/>
      <c r="I52" s="12"/>
      <c r="J52" s="12"/>
      <c r="K52" s="12"/>
      <c r="L52" s="12"/>
      <c r="M52" s="12"/>
      <c r="N52" s="12"/>
      <c r="O52" s="12"/>
    </row>
    <row r="53" spans="1:15" s="328" customFormat="1">
      <c r="A53" s="276" t="s">
        <v>295</v>
      </c>
      <c r="B53" s="277" t="s">
        <v>296</v>
      </c>
      <c r="C53" s="330">
        <v>50</v>
      </c>
      <c r="D53" s="288" t="s">
        <v>567</v>
      </c>
      <c r="E53" s="12"/>
      <c r="F53" s="12"/>
      <c r="G53" s="12"/>
      <c r="H53" s="12"/>
      <c r="I53" s="12"/>
      <c r="J53" s="12"/>
      <c r="K53" s="12"/>
      <c r="L53" s="12"/>
      <c r="M53" s="12"/>
      <c r="N53" s="12"/>
      <c r="O53" s="12"/>
    </row>
    <row r="54" spans="1:15" s="328" customFormat="1">
      <c r="A54" s="281"/>
      <c r="B54" s="277" t="s">
        <v>302</v>
      </c>
      <c r="C54" s="330"/>
      <c r="D54" s="288"/>
      <c r="E54" s="12"/>
      <c r="F54" s="12"/>
      <c r="G54" s="12"/>
      <c r="H54" s="12"/>
      <c r="I54" s="12"/>
      <c r="J54" s="12"/>
      <c r="K54" s="12"/>
      <c r="L54" s="12"/>
      <c r="M54" s="12"/>
      <c r="N54" s="12"/>
      <c r="O54" s="12"/>
    </row>
    <row r="55" spans="1:15" s="328" customFormat="1">
      <c r="A55" s="284"/>
      <c r="B55" s="277" t="s">
        <v>298</v>
      </c>
      <c r="C55" s="330"/>
      <c r="D55" s="288"/>
      <c r="E55" s="12"/>
      <c r="F55" s="12"/>
      <c r="G55" s="12"/>
      <c r="H55" s="12"/>
      <c r="I55" s="12"/>
      <c r="J55" s="12"/>
      <c r="K55" s="12"/>
      <c r="L55" s="12"/>
      <c r="M55" s="12"/>
      <c r="N55" s="12"/>
      <c r="O55" s="12"/>
    </row>
    <row r="56" spans="1:15">
      <c r="A56" s="286" t="s">
        <v>537</v>
      </c>
      <c r="B56" s="277" t="s">
        <v>296</v>
      </c>
      <c r="C56" s="330">
        <v>10</v>
      </c>
      <c r="D56" s="280" t="s">
        <v>568</v>
      </c>
      <c r="E56" s="12"/>
      <c r="F56" s="12"/>
      <c r="O56" s="30"/>
    </row>
    <row r="57" spans="1:15">
      <c r="A57" s="289"/>
      <c r="B57" s="277" t="s">
        <v>302</v>
      </c>
      <c r="C57" s="330"/>
      <c r="D57" s="283"/>
      <c r="E57" s="12"/>
      <c r="F57" s="12"/>
      <c r="O57" s="30"/>
    </row>
    <row r="58" spans="1:15">
      <c r="A58" s="331"/>
      <c r="B58" s="277" t="s">
        <v>298</v>
      </c>
      <c r="C58" s="330"/>
      <c r="D58" s="283"/>
      <c r="E58" s="12"/>
      <c r="F58" s="12"/>
      <c r="O58" s="30"/>
    </row>
    <row r="59" spans="1:15">
      <c r="A59" s="299" t="s">
        <v>539</v>
      </c>
      <c r="B59" s="277" t="s">
        <v>296</v>
      </c>
      <c r="C59" s="330">
        <v>10</v>
      </c>
      <c r="D59" s="283"/>
      <c r="E59" s="12"/>
      <c r="F59" s="12"/>
      <c r="O59" s="30"/>
    </row>
    <row r="60" spans="1:15">
      <c r="A60" s="299"/>
      <c r="B60" s="277" t="s">
        <v>302</v>
      </c>
      <c r="C60" s="330"/>
      <c r="D60" s="283"/>
      <c r="E60" s="12"/>
      <c r="F60" s="12"/>
      <c r="O60" s="30"/>
    </row>
    <row r="61" spans="1:15">
      <c r="A61" s="299"/>
      <c r="B61" s="277" t="s">
        <v>298</v>
      </c>
      <c r="C61" s="330"/>
      <c r="D61" s="283"/>
      <c r="E61" s="12"/>
      <c r="F61" s="12"/>
      <c r="O61" s="30"/>
    </row>
    <row r="62" spans="1:15">
      <c r="A62" s="311" t="s">
        <v>299</v>
      </c>
      <c r="B62" s="277" t="s">
        <v>296</v>
      </c>
      <c r="C62" s="330">
        <v>10</v>
      </c>
      <c r="D62" s="283"/>
      <c r="E62" s="12"/>
      <c r="F62" s="12"/>
      <c r="O62" s="30"/>
    </row>
    <row r="63" spans="1:15">
      <c r="A63" s="311"/>
      <c r="B63" s="277" t="s">
        <v>302</v>
      </c>
      <c r="C63" s="330"/>
      <c r="D63" s="283"/>
      <c r="E63" s="12"/>
      <c r="F63" s="12"/>
      <c r="O63" s="30"/>
    </row>
    <row r="64" spans="1:15">
      <c r="A64" s="311"/>
      <c r="B64" s="277" t="s">
        <v>298</v>
      </c>
      <c r="C64" s="330"/>
      <c r="D64" s="283"/>
      <c r="O64" s="30"/>
    </row>
    <row r="65" spans="1:122">
      <c r="A65" s="288" t="s">
        <v>17</v>
      </c>
      <c r="B65" s="277" t="s">
        <v>296</v>
      </c>
      <c r="C65" s="330">
        <v>10</v>
      </c>
      <c r="D65" s="283"/>
      <c r="O65" s="30"/>
    </row>
    <row r="66" spans="1:122">
      <c r="A66" s="288"/>
      <c r="B66" s="277" t="s">
        <v>302</v>
      </c>
      <c r="C66" s="330"/>
      <c r="D66" s="283"/>
      <c r="O66" s="30"/>
    </row>
    <row r="67" spans="1:122">
      <c r="A67" s="288"/>
      <c r="B67" s="277" t="s">
        <v>298</v>
      </c>
      <c r="C67" s="330"/>
      <c r="D67" s="283"/>
      <c r="O67" s="30"/>
    </row>
    <row r="68" spans="1:122">
      <c r="A68" s="288" t="s">
        <v>19</v>
      </c>
      <c r="B68" s="277" t="s">
        <v>296</v>
      </c>
      <c r="C68" s="330">
        <v>10</v>
      </c>
      <c r="D68" s="283"/>
      <c r="O68" s="30"/>
    </row>
    <row r="69" spans="1:122">
      <c r="A69" s="288"/>
      <c r="B69" s="277" t="s">
        <v>302</v>
      </c>
      <c r="C69" s="330"/>
      <c r="D69" s="283"/>
      <c r="O69" s="30"/>
    </row>
    <row r="70" spans="1:122">
      <c r="A70" s="288"/>
      <c r="B70" s="277" t="s">
        <v>298</v>
      </c>
      <c r="C70" s="330"/>
      <c r="D70" s="285"/>
      <c r="O70" s="30"/>
    </row>
    <row r="72" spans="1:122" s="333" customFormat="1" ht="18.5">
      <c r="A72" s="263" t="s">
        <v>569</v>
      </c>
      <c r="B72" s="326"/>
      <c r="C72" s="326"/>
      <c r="D72" s="326"/>
      <c r="E72" s="332"/>
      <c r="F72" s="332"/>
      <c r="G72" s="332"/>
      <c r="H72" s="332"/>
      <c r="I72" s="332"/>
      <c r="J72" s="332"/>
      <c r="K72" s="332"/>
      <c r="L72" s="332"/>
      <c r="M72" s="332"/>
      <c r="N72" s="332"/>
    </row>
    <row r="73" spans="1:122" ht="14.65" customHeight="1">
      <c r="A73" s="12"/>
      <c r="B73" s="12"/>
      <c r="C73" s="328"/>
      <c r="D73" s="12"/>
    </row>
    <row r="74" spans="1:122" s="337" customFormat="1" ht="42" customHeight="1">
      <c r="A74" s="271" t="s">
        <v>320</v>
      </c>
      <c r="B74" s="334" t="s">
        <v>570</v>
      </c>
      <c r="C74" s="335"/>
      <c r="D74" s="335"/>
      <c r="E74" s="335"/>
      <c r="F74" s="336"/>
      <c r="M74" s="338" t="s">
        <v>571</v>
      </c>
      <c r="N74" s="187" t="s">
        <v>188</v>
      </c>
      <c r="O74" s="187"/>
      <c r="P74" s="187"/>
    </row>
    <row r="75" spans="1:122" s="337" customFormat="1" ht="19.149999999999999" customHeight="1">
      <c r="A75" s="271"/>
      <c r="B75" s="339" t="s">
        <v>572</v>
      </c>
      <c r="C75" s="340" t="s">
        <v>573</v>
      </c>
      <c r="D75" s="340"/>
      <c r="E75" s="340"/>
      <c r="F75" s="340"/>
      <c r="N75" s="149" t="s">
        <v>194</v>
      </c>
      <c r="O75" s="149" t="s">
        <v>195</v>
      </c>
      <c r="P75" s="149" t="s">
        <v>196</v>
      </c>
    </row>
    <row r="76" spans="1:122" s="337" customFormat="1" ht="26.65" customHeight="1">
      <c r="A76" s="271"/>
      <c r="B76" s="339"/>
      <c r="C76" s="341" t="s">
        <v>194</v>
      </c>
      <c r="D76" s="341" t="s">
        <v>574</v>
      </c>
      <c r="E76" s="341" t="s">
        <v>575</v>
      </c>
      <c r="F76" s="341" t="s">
        <v>196</v>
      </c>
      <c r="M76" s="337" t="s">
        <v>201</v>
      </c>
      <c r="N76" s="247">
        <f>0.01/100</f>
        <v>1E-4</v>
      </c>
      <c r="O76" s="247">
        <f>0.01/100</f>
        <v>1E-4</v>
      </c>
      <c r="P76" s="247">
        <f>0.01/100</f>
        <v>1E-4</v>
      </c>
    </row>
    <row r="77" spans="1:122" s="337" customFormat="1">
      <c r="A77" s="277" t="s">
        <v>296</v>
      </c>
      <c r="B77" s="342" t="s">
        <v>576</v>
      </c>
      <c r="C77" s="343"/>
      <c r="D77" s="344"/>
      <c r="E77" s="345"/>
      <c r="F77" s="345"/>
      <c r="M77" s="337" t="s">
        <v>200</v>
      </c>
      <c r="N77" s="246">
        <f>0.01/100</f>
        <v>1E-4</v>
      </c>
      <c r="O77" s="246">
        <f>0.03/100</f>
        <v>2.9999999999999997E-4</v>
      </c>
      <c r="P77" s="246">
        <f>1/100</f>
        <v>0.01</v>
      </c>
    </row>
    <row r="78" spans="1:122" s="337" customFormat="1">
      <c r="A78" s="277" t="s">
        <v>302</v>
      </c>
      <c r="B78" s="342" t="s">
        <v>297</v>
      </c>
      <c r="C78" s="343"/>
      <c r="D78" s="346"/>
      <c r="E78" s="345"/>
      <c r="F78" s="345"/>
      <c r="G78" s="165" t="s">
        <v>1468</v>
      </c>
      <c r="M78" s="337" t="s">
        <v>205</v>
      </c>
      <c r="N78" s="157">
        <v>7.9999999999999996E-6</v>
      </c>
      <c r="O78" s="161">
        <v>1.4247692307692308E-3</v>
      </c>
      <c r="P78" s="157">
        <v>1.6250000000000001E-2</v>
      </c>
    </row>
    <row r="79" spans="1:122" s="337" customFormat="1" ht="13">
      <c r="A79" s="277" t="s">
        <v>298</v>
      </c>
      <c r="B79" s="342" t="s">
        <v>577</v>
      </c>
      <c r="C79" s="343">
        <v>0.04</v>
      </c>
      <c r="D79" s="344">
        <v>0.77</v>
      </c>
      <c r="E79" s="345">
        <v>1.39</v>
      </c>
      <c r="F79" s="345">
        <v>5.8</v>
      </c>
    </row>
    <row r="80" spans="1:122">
      <c r="A80" s="258"/>
      <c r="B80" s="258"/>
      <c r="C80" s="258"/>
      <c r="D80" s="258"/>
      <c r="E80" s="258"/>
      <c r="F80" s="86"/>
      <c r="G80" s="86"/>
      <c r="H80" s="86"/>
      <c r="I80" s="86"/>
      <c r="J80" s="337"/>
      <c r="K80" s="337"/>
      <c r="L80" s="337"/>
      <c r="M80" s="337"/>
      <c r="N80" s="337"/>
      <c r="O80" s="337"/>
      <c r="P80" s="337"/>
      <c r="Q80" s="337"/>
      <c r="R80" s="337"/>
      <c r="S80" s="337"/>
      <c r="T80" s="337"/>
      <c r="U80" s="337"/>
      <c r="V80" s="337"/>
      <c r="W80" s="337"/>
      <c r="X80" s="337"/>
      <c r="Y80" s="337"/>
      <c r="Z80" s="337"/>
      <c r="AA80" s="337"/>
      <c r="AB80" s="337"/>
      <c r="AC80" s="337"/>
      <c r="AD80" s="337"/>
      <c r="AE80" s="337"/>
      <c r="AF80" s="337"/>
      <c r="AG80" s="337"/>
      <c r="AH80" s="337"/>
      <c r="AI80" s="337"/>
      <c r="AJ80" s="337"/>
      <c r="AK80" s="337"/>
      <c r="AL80" s="337"/>
      <c r="AM80" s="337"/>
      <c r="AN80" s="337"/>
      <c r="AO80" s="337"/>
      <c r="AP80" s="337"/>
      <c r="AQ80" s="337"/>
      <c r="AR80" s="337"/>
      <c r="AS80" s="337"/>
      <c r="AT80" s="337"/>
      <c r="AU80" s="337"/>
      <c r="AV80" s="337"/>
      <c r="AW80" s="337"/>
      <c r="AX80" s="337"/>
      <c r="AY80" s="337"/>
      <c r="AZ80" s="337"/>
      <c r="BA80" s="337"/>
      <c r="BB80" s="337"/>
      <c r="BC80" s="337"/>
      <c r="BD80" s="337"/>
      <c r="BE80" s="337"/>
      <c r="BF80" s="337"/>
      <c r="BG80" s="337"/>
      <c r="BH80" s="337"/>
      <c r="BI80" s="337"/>
      <c r="BJ80" s="337"/>
      <c r="BK80" s="337"/>
      <c r="BL80" s="337"/>
      <c r="BM80" s="337"/>
      <c r="BN80" s="337"/>
      <c r="BO80" s="337"/>
      <c r="BP80" s="337"/>
      <c r="BQ80" s="337"/>
      <c r="BR80" s="337"/>
      <c r="BS80" s="337"/>
      <c r="BT80" s="337"/>
      <c r="BU80" s="337"/>
      <c r="BV80" s="337"/>
      <c r="BW80" s="337"/>
      <c r="BX80" s="337"/>
      <c r="BY80" s="337"/>
      <c r="BZ80" s="337"/>
      <c r="CA80" s="337"/>
      <c r="CB80" s="337"/>
      <c r="CC80" s="337"/>
      <c r="CD80" s="337"/>
      <c r="CE80" s="337"/>
      <c r="CF80" s="337"/>
      <c r="CG80" s="337"/>
      <c r="CH80" s="337"/>
      <c r="CI80" s="337"/>
      <c r="CJ80" s="337"/>
      <c r="CK80" s="337"/>
      <c r="CL80" s="337"/>
      <c r="CM80" s="337"/>
      <c r="CN80" s="337"/>
      <c r="CO80" s="337"/>
      <c r="CP80" s="337"/>
      <c r="CQ80" s="337"/>
      <c r="CR80" s="337"/>
      <c r="CS80" s="337"/>
      <c r="CT80" s="337"/>
      <c r="CU80" s="337"/>
      <c r="CV80" s="337"/>
      <c r="CW80" s="337"/>
      <c r="CX80" s="337"/>
      <c r="CY80" s="337"/>
      <c r="CZ80" s="337"/>
      <c r="DA80" s="337"/>
      <c r="DB80" s="337"/>
      <c r="DC80" s="337"/>
      <c r="DD80" s="337"/>
      <c r="DE80" s="337"/>
      <c r="DF80" s="337"/>
      <c r="DG80" s="337"/>
      <c r="DH80" s="337"/>
      <c r="DI80" s="337"/>
      <c r="DJ80" s="337"/>
      <c r="DK80" s="337"/>
      <c r="DL80" s="337"/>
      <c r="DM80" s="337"/>
      <c r="DN80" s="337"/>
      <c r="DO80" s="337"/>
      <c r="DP80" s="337"/>
      <c r="DQ80" s="337"/>
      <c r="DR80" s="337"/>
    </row>
    <row r="81" spans="1:18">
      <c r="N81" s="30" t="s">
        <v>578</v>
      </c>
      <c r="P81" s="258" t="s">
        <v>579</v>
      </c>
    </row>
    <row r="82" spans="1:18">
      <c r="N82" s="30">
        <f>MAX(N76:P78)</f>
        <v>1.6250000000000001E-2</v>
      </c>
      <c r="P82" s="347">
        <f>10^(0.92*LOG10(N82*10^6)+'P-Chem'!$J$4)</f>
        <v>0.15421308539648615</v>
      </c>
    </row>
    <row r="83" spans="1:18">
      <c r="A83" s="348"/>
      <c r="N83" s="30">
        <f>AVERAGE(N76:P78)</f>
        <v>3.1536410256410258E-3</v>
      </c>
      <c r="P83" s="347">
        <f>10^(0.92*LOG10(N83*10^6)+'P-Chem'!$J$4)</f>
        <v>3.4122701451825506E-2</v>
      </c>
    </row>
    <row r="84" spans="1:18">
      <c r="N84" s="30">
        <f>MIN(N76:P78)</f>
        <v>7.9999999999999996E-6</v>
      </c>
      <c r="P84" s="347">
        <f>10^(0.92*LOG10(N84*10^6)+'P-Chem'!$J$4)</f>
        <v>1.3963005795546138E-4</v>
      </c>
    </row>
    <row r="95" spans="1:18" s="30" customFormat="1">
      <c r="G95" s="16"/>
      <c r="H95" s="16"/>
      <c r="I95" s="16"/>
      <c r="J95" s="16"/>
      <c r="K95" s="16"/>
      <c r="L95" s="16"/>
      <c r="M95" s="16"/>
      <c r="N95" s="16"/>
      <c r="O95" s="16"/>
      <c r="P95" s="16"/>
      <c r="Q95" s="16"/>
      <c r="R95" s="16"/>
    </row>
    <row r="96" spans="1:18" s="332" customFormat="1" ht="18.5">
      <c r="A96" s="263" t="s">
        <v>580</v>
      </c>
      <c r="G96" s="349"/>
      <c r="H96" s="349"/>
      <c r="I96" s="349"/>
      <c r="J96" s="349"/>
      <c r="K96" s="349"/>
      <c r="L96" s="349"/>
      <c r="M96" s="349"/>
      <c r="N96" s="349"/>
      <c r="O96" s="349"/>
      <c r="P96" s="349"/>
      <c r="Q96" s="349"/>
      <c r="R96" s="349"/>
    </row>
    <row r="97" spans="1:18" s="30" customFormat="1" ht="18.5">
      <c r="A97" s="257"/>
      <c r="G97" s="16"/>
      <c r="H97" s="16"/>
      <c r="I97" s="16"/>
      <c r="J97" s="16"/>
      <c r="K97" s="16"/>
      <c r="L97" s="16"/>
      <c r="M97" s="16"/>
      <c r="N97" s="16"/>
      <c r="O97" s="16"/>
      <c r="P97" s="16"/>
      <c r="Q97" s="16"/>
      <c r="R97" s="16"/>
    </row>
    <row r="98" spans="1:18" s="30" customFormat="1" ht="15.5">
      <c r="A98" s="260" t="s">
        <v>581</v>
      </c>
      <c r="B98" s="86"/>
      <c r="C98" s="12"/>
      <c r="D98" s="86"/>
      <c r="E98" s="86"/>
      <c r="F98" s="86"/>
      <c r="G98" s="16"/>
      <c r="H98" s="16"/>
      <c r="I98" s="16"/>
      <c r="J98" s="16"/>
      <c r="K98" s="16"/>
      <c r="L98" s="16"/>
      <c r="M98" s="16"/>
      <c r="N98" s="16"/>
      <c r="O98" s="16"/>
      <c r="P98" s="16"/>
      <c r="Q98" s="16"/>
      <c r="R98" s="16"/>
    </row>
    <row r="99" spans="1:18" s="30" customFormat="1" ht="29">
      <c r="A99" s="350" t="s">
        <v>582</v>
      </c>
      <c r="B99" s="351" t="s">
        <v>583</v>
      </c>
      <c r="C99" s="351"/>
      <c r="D99" s="352" t="s">
        <v>77</v>
      </c>
      <c r="E99" s="352"/>
      <c r="F99" s="350" t="s">
        <v>584</v>
      </c>
      <c r="G99" s="350" t="s">
        <v>585</v>
      </c>
      <c r="H99" s="350" t="s">
        <v>586</v>
      </c>
      <c r="I99" s="16"/>
      <c r="J99" s="16"/>
      <c r="K99" s="16"/>
      <c r="L99" s="16"/>
      <c r="M99" s="16"/>
      <c r="N99" s="16"/>
      <c r="O99" s="16"/>
      <c r="P99" s="16"/>
      <c r="Q99" s="16"/>
      <c r="R99" s="16"/>
    </row>
    <row r="100" spans="1:18" s="30" customFormat="1" ht="67.150000000000006" customHeight="1">
      <c r="A100" s="353" t="s">
        <v>587</v>
      </c>
      <c r="B100" s="354" t="s">
        <v>588</v>
      </c>
      <c r="C100" s="354"/>
      <c r="D100" s="355" t="s">
        <v>589</v>
      </c>
      <c r="E100" s="355"/>
      <c r="F100" s="353">
        <v>1.3</v>
      </c>
      <c r="G100" s="353">
        <v>1.6</v>
      </c>
      <c r="H100" s="353">
        <f>AVERAGE(F100:G100)</f>
        <v>1.4500000000000002</v>
      </c>
      <c r="I100" s="16"/>
      <c r="J100" s="16"/>
      <c r="K100" s="16"/>
      <c r="L100" s="16"/>
      <c r="M100" s="16"/>
      <c r="N100" s="16"/>
      <c r="O100" s="16"/>
      <c r="P100" s="16"/>
      <c r="Q100" s="16"/>
      <c r="R100" s="16"/>
    </row>
    <row r="101" spans="1:18" s="30" customFormat="1" ht="93.65" customHeight="1">
      <c r="A101" s="356" t="s">
        <v>590</v>
      </c>
      <c r="B101" s="354" t="s">
        <v>591</v>
      </c>
      <c r="C101" s="354"/>
      <c r="D101" s="355" t="s">
        <v>592</v>
      </c>
      <c r="E101" s="355"/>
      <c r="F101" s="357" t="s">
        <v>535</v>
      </c>
      <c r="G101" s="357" t="s">
        <v>535</v>
      </c>
      <c r="H101" s="353">
        <v>1.3</v>
      </c>
      <c r="I101" s="16"/>
      <c r="J101" s="16"/>
      <c r="K101" s="16"/>
      <c r="L101" s="16"/>
      <c r="M101" s="16"/>
      <c r="N101" s="16"/>
      <c r="O101" s="16"/>
      <c r="P101" s="16"/>
      <c r="Q101" s="16"/>
      <c r="R101" s="16"/>
    </row>
    <row r="102" spans="1:18" s="30" customFormat="1">
      <c r="A102" s="356" t="s">
        <v>593</v>
      </c>
      <c r="B102" s="358" t="s">
        <v>594</v>
      </c>
      <c r="C102" s="358"/>
      <c r="D102" s="359" t="s">
        <v>40</v>
      </c>
      <c r="E102" s="359"/>
      <c r="F102" s="357" t="s">
        <v>535</v>
      </c>
      <c r="G102" s="357" t="s">
        <v>535</v>
      </c>
      <c r="H102" s="360">
        <v>1.41</v>
      </c>
      <c r="I102" s="16"/>
      <c r="J102" s="16"/>
      <c r="K102" s="16"/>
      <c r="L102" s="16"/>
      <c r="M102" s="16"/>
      <c r="N102" s="16"/>
      <c r="O102" s="16"/>
      <c r="P102" s="16"/>
      <c r="Q102" s="16"/>
      <c r="R102" s="16"/>
    </row>
    <row r="103" spans="1:18" ht="92.65" customHeight="1">
      <c r="A103" s="361" t="s">
        <v>595</v>
      </c>
      <c r="B103" s="362" t="s">
        <v>596</v>
      </c>
      <c r="C103" s="362"/>
      <c r="D103" s="355" t="s">
        <v>597</v>
      </c>
      <c r="E103" s="355"/>
      <c r="F103" s="357" t="s">
        <v>535</v>
      </c>
      <c r="G103" s="357" t="s">
        <v>535</v>
      </c>
      <c r="H103" s="361">
        <v>1.38</v>
      </c>
    </row>
    <row r="104" spans="1:18">
      <c r="A104" s="363" t="s">
        <v>598</v>
      </c>
      <c r="B104" s="364"/>
      <c r="C104" s="364"/>
      <c r="D104" s="364"/>
      <c r="E104" s="364"/>
      <c r="F104" s="364"/>
      <c r="G104" s="365"/>
      <c r="H104" s="366">
        <f>AVERAGE(H100:H103)</f>
        <v>1.385</v>
      </c>
    </row>
    <row r="105" spans="1:18">
      <c r="A105" s="30" t="s">
        <v>599</v>
      </c>
      <c r="B105" s="86">
        <v>0.05</v>
      </c>
      <c r="C105" s="30" t="s">
        <v>600</v>
      </c>
      <c r="D105" s="54"/>
      <c r="E105" s="54"/>
      <c r="F105" s="54"/>
      <c r="G105" s="54"/>
      <c r="H105" s="367"/>
    </row>
    <row r="107" spans="1:18" s="333" customFormat="1" ht="18.5">
      <c r="A107" s="263" t="s">
        <v>601</v>
      </c>
      <c r="B107" s="332"/>
      <c r="C107" s="332"/>
      <c r="D107" s="332"/>
      <c r="E107" s="332"/>
      <c r="F107" s="332"/>
      <c r="G107" s="332"/>
      <c r="H107" s="332"/>
      <c r="I107" s="332"/>
      <c r="J107" s="332"/>
      <c r="K107" s="332"/>
      <c r="L107" s="332"/>
      <c r="M107" s="332"/>
      <c r="N107" s="332"/>
    </row>
    <row r="109" spans="1:18" s="261" customFormat="1" ht="16.149999999999999" customHeight="1">
      <c r="A109" s="260" t="s">
        <v>602</v>
      </c>
      <c r="B109" s="260"/>
      <c r="C109" s="368"/>
      <c r="D109" s="368"/>
      <c r="E109" s="368"/>
      <c r="F109" s="368"/>
      <c r="G109" s="259"/>
      <c r="H109" s="259"/>
      <c r="I109" s="259"/>
      <c r="J109" s="259"/>
      <c r="K109" s="259"/>
      <c r="L109" s="259"/>
      <c r="M109" s="259"/>
      <c r="N109" s="259"/>
    </row>
    <row r="110" spans="1:18" s="261" customFormat="1" ht="15.5">
      <c r="A110" s="369" t="s">
        <v>603</v>
      </c>
      <c r="B110" s="370"/>
      <c r="C110" s="368"/>
      <c r="D110" s="368"/>
      <c r="E110" s="368"/>
      <c r="F110" s="368"/>
      <c r="G110" s="259"/>
      <c r="H110" s="259"/>
      <c r="I110" s="259"/>
      <c r="J110" s="259"/>
      <c r="K110" s="259"/>
      <c r="L110" s="259"/>
      <c r="M110" s="259"/>
      <c r="N110" s="259"/>
    </row>
    <row r="111" spans="1:18" ht="43.5">
      <c r="A111" s="371" t="s">
        <v>604</v>
      </c>
      <c r="B111" s="371" t="s">
        <v>185</v>
      </c>
      <c r="C111" s="371" t="s">
        <v>605</v>
      </c>
      <c r="D111" s="371" t="s">
        <v>606</v>
      </c>
      <c r="E111" s="371" t="s">
        <v>607</v>
      </c>
      <c r="F111" s="371" t="s">
        <v>608</v>
      </c>
      <c r="G111" s="371" t="s">
        <v>609</v>
      </c>
    </row>
    <row r="112" spans="1:18" ht="43.5">
      <c r="A112" s="372" t="s">
        <v>610</v>
      </c>
      <c r="B112" s="372" t="s">
        <v>536</v>
      </c>
      <c r="C112" s="157">
        <v>30</v>
      </c>
      <c r="D112" s="373">
        <f>30*0.01</f>
        <v>0.3</v>
      </c>
      <c r="E112" s="373">
        <f>25*0.01</f>
        <v>0.25</v>
      </c>
      <c r="F112" s="157">
        <f>15*0.01</f>
        <v>0.15</v>
      </c>
      <c r="G112" s="373">
        <f t="shared" ref="G112" si="1">C112*2*(D112*E112+E112*F112+D112*F112)</f>
        <v>9.4499999999999993</v>
      </c>
    </row>
    <row r="113" spans="1:7" ht="43.5">
      <c r="A113" s="372" t="s">
        <v>611</v>
      </c>
      <c r="B113" s="372" t="s">
        <v>536</v>
      </c>
      <c r="C113" s="157">
        <v>20</v>
      </c>
      <c r="D113" s="373">
        <f>20*0.01</f>
        <v>0.2</v>
      </c>
      <c r="E113" s="157">
        <f>15*0.01</f>
        <v>0.15</v>
      </c>
      <c r="F113" s="157">
        <f>8*0.01</f>
        <v>0.08</v>
      </c>
      <c r="G113" s="373">
        <f>C113*2*(D113*E113+E113*F113+D113*F113)</f>
        <v>2.3199999999999998</v>
      </c>
    </row>
    <row r="114" spans="1:7" ht="43.5">
      <c r="A114" s="372" t="s">
        <v>612</v>
      </c>
      <c r="B114" s="372" t="s">
        <v>536</v>
      </c>
      <c r="C114" s="157">
        <v>5</v>
      </c>
      <c r="D114" s="157">
        <f>15*0.01</f>
        <v>0.15</v>
      </c>
      <c r="E114" s="373">
        <f>10*0.01</f>
        <v>0.1</v>
      </c>
      <c r="F114" s="157">
        <f>5*0.01</f>
        <v>0.05</v>
      </c>
      <c r="G114" s="373">
        <f>C114*2*(D114*E114+E114*F114+D114*F114)</f>
        <v>0.27500000000000002</v>
      </c>
    </row>
    <row r="116" spans="1:7" ht="15.5">
      <c r="A116" s="260" t="s">
        <v>613</v>
      </c>
    </row>
    <row r="118" spans="1:7" ht="43.5">
      <c r="A118" s="371" t="s">
        <v>604</v>
      </c>
      <c r="B118" s="371" t="s">
        <v>185</v>
      </c>
      <c r="C118" s="371" t="s">
        <v>583</v>
      </c>
      <c r="D118" s="371" t="s">
        <v>606</v>
      </c>
      <c r="E118" s="371" t="s">
        <v>607</v>
      </c>
      <c r="F118" s="371" t="s">
        <v>614</v>
      </c>
      <c r="G118" s="371" t="s">
        <v>609</v>
      </c>
    </row>
    <row r="119" spans="1:7" ht="87">
      <c r="A119" s="161" t="s">
        <v>615</v>
      </c>
      <c r="B119" s="161" t="s">
        <v>616</v>
      </c>
      <c r="C119" s="374" t="s">
        <v>617</v>
      </c>
      <c r="D119" s="157">
        <f>72*0.0254</f>
        <v>1.8288</v>
      </c>
      <c r="E119" s="157">
        <f>70*0.0254</f>
        <v>1.778</v>
      </c>
      <c r="F119" s="157">
        <v>2</v>
      </c>
      <c r="G119" s="375">
        <f>D119*E119*F119</f>
        <v>6.5032128</v>
      </c>
    </row>
    <row r="120" spans="1:7">
      <c r="B120" s="12"/>
      <c r="C120" s="12"/>
    </row>
    <row r="125" spans="1:7" ht="15.5">
      <c r="A125" s="260" t="s">
        <v>618</v>
      </c>
    </row>
    <row r="126" spans="1:7">
      <c r="B126" s="12"/>
      <c r="C126" s="12"/>
    </row>
    <row r="127" spans="1:7" ht="29">
      <c r="A127" s="371" t="s">
        <v>604</v>
      </c>
      <c r="B127" s="371" t="s">
        <v>185</v>
      </c>
      <c r="C127" s="371" t="s">
        <v>619</v>
      </c>
      <c r="D127" s="371" t="s">
        <v>620</v>
      </c>
      <c r="E127" s="371" t="s">
        <v>621</v>
      </c>
      <c r="G127" s="258"/>
    </row>
    <row r="128" spans="1:7" ht="72.5">
      <c r="A128" s="161" t="s">
        <v>622</v>
      </c>
      <c r="B128" s="161" t="s">
        <v>623</v>
      </c>
      <c r="C128" s="157">
        <v>492</v>
      </c>
      <c r="D128" s="373">
        <f>0.3048 * 8</f>
        <v>2.4384000000000001</v>
      </c>
      <c r="E128" s="376">
        <f>C128/D128</f>
        <v>201.77165354330708</v>
      </c>
      <c r="G128" s="258"/>
    </row>
    <row r="129" spans="1:7">
      <c r="A129" s="86"/>
      <c r="B129" s="12"/>
      <c r="C129" s="12"/>
    </row>
    <row r="136" spans="1:7" ht="15.5">
      <c r="A136" s="260"/>
    </row>
    <row r="139" spans="1:7" ht="15.5">
      <c r="A139" s="260" t="s">
        <v>624</v>
      </c>
    </row>
    <row r="140" spans="1:7">
      <c r="A140" s="377" t="s">
        <v>625</v>
      </c>
    </row>
    <row r="141" spans="1:7" ht="29">
      <c r="A141" s="371" t="s">
        <v>604</v>
      </c>
      <c r="B141" s="371" t="s">
        <v>626</v>
      </c>
      <c r="C141" s="371" t="s">
        <v>627</v>
      </c>
      <c r="D141" s="371" t="s">
        <v>628</v>
      </c>
      <c r="E141" s="371" t="s">
        <v>629</v>
      </c>
      <c r="F141" s="371" t="s">
        <v>630</v>
      </c>
      <c r="G141" s="371" t="s">
        <v>631</v>
      </c>
    </row>
    <row r="142" spans="1:7" s="30" customFormat="1" ht="38.15" customHeight="1">
      <c r="A142" s="378" t="s">
        <v>632</v>
      </c>
      <c r="B142" s="379" t="s">
        <v>633</v>
      </c>
      <c r="C142" s="157">
        <v>100</v>
      </c>
      <c r="D142" s="157">
        <v>42</v>
      </c>
      <c r="E142" s="157">
        <v>35</v>
      </c>
      <c r="F142" s="157">
        <f t="shared" ref="F142:F147" si="2">((C142*D142)+(C142*E142)+(D142*E142))*2</f>
        <v>18340</v>
      </c>
      <c r="G142" s="380">
        <f>(F142+F143)*0.00064516</f>
        <v>20.882538879999998</v>
      </c>
    </row>
    <row r="143" spans="1:7" s="30" customFormat="1" ht="37.5" customHeight="1">
      <c r="A143" s="378"/>
      <c r="B143" s="379" t="s">
        <v>634</v>
      </c>
      <c r="C143" s="157">
        <v>72</v>
      </c>
      <c r="D143" s="157">
        <v>42</v>
      </c>
      <c r="E143" s="157">
        <v>35</v>
      </c>
      <c r="F143" s="157">
        <f t="shared" si="2"/>
        <v>14028</v>
      </c>
      <c r="G143" s="380"/>
    </row>
    <row r="144" spans="1:7" s="30" customFormat="1" ht="43.5" customHeight="1">
      <c r="A144" s="378" t="s">
        <v>635</v>
      </c>
      <c r="B144" s="379" t="s">
        <v>633</v>
      </c>
      <c r="C144" s="157">
        <v>80</v>
      </c>
      <c r="D144" s="157">
        <v>36</v>
      </c>
      <c r="E144" s="157">
        <v>30</v>
      </c>
      <c r="F144" s="157">
        <f t="shared" si="2"/>
        <v>12720</v>
      </c>
      <c r="G144" s="380">
        <f>(F144+F145)*0.00064516</f>
        <v>14.709648</v>
      </c>
    </row>
    <row r="145" spans="1:19" s="30" customFormat="1" ht="36.65" customHeight="1">
      <c r="A145" s="378"/>
      <c r="B145" s="379" t="s">
        <v>634</v>
      </c>
      <c r="C145" s="157">
        <v>60</v>
      </c>
      <c r="D145" s="157">
        <v>36</v>
      </c>
      <c r="E145" s="157">
        <v>30</v>
      </c>
      <c r="F145" s="157">
        <f t="shared" si="2"/>
        <v>10080</v>
      </c>
      <c r="G145" s="380"/>
    </row>
    <row r="146" spans="1:19" ht="46.15" customHeight="1">
      <c r="A146" s="378" t="s">
        <v>636</v>
      </c>
      <c r="B146" s="379" t="s">
        <v>633</v>
      </c>
      <c r="C146" s="157">
        <v>60</v>
      </c>
      <c r="D146" s="157">
        <v>30</v>
      </c>
      <c r="E146" s="157">
        <v>25</v>
      </c>
      <c r="F146" s="157">
        <f t="shared" si="2"/>
        <v>8100</v>
      </c>
      <c r="G146" s="380">
        <f>(F146+F147)*0.00064516</f>
        <v>9.5999807999999991</v>
      </c>
    </row>
    <row r="147" spans="1:19" ht="37.5" customHeight="1">
      <c r="A147" s="378"/>
      <c r="B147" s="379" t="s">
        <v>634</v>
      </c>
      <c r="C147" s="157">
        <v>48</v>
      </c>
      <c r="D147" s="157">
        <v>30</v>
      </c>
      <c r="E147" s="157">
        <v>25</v>
      </c>
      <c r="F147" s="157">
        <f t="shared" si="2"/>
        <v>6780</v>
      </c>
      <c r="G147" s="380"/>
    </row>
    <row r="148" spans="1:19" s="30" customFormat="1" ht="14.65" customHeight="1">
      <c r="A148" s="381"/>
      <c r="B148" s="381"/>
      <c r="C148" s="381"/>
      <c r="D148" s="381"/>
      <c r="E148" s="381"/>
      <c r="F148" s="381"/>
      <c r="G148" s="381"/>
      <c r="H148" s="381"/>
    </row>
    <row r="149" spans="1:19" s="30" customFormat="1" ht="15.5">
      <c r="A149" s="382" t="s">
        <v>637</v>
      </c>
      <c r="B149" s="209"/>
      <c r="C149" s="152"/>
      <c r="D149" s="383"/>
      <c r="E149" s="384"/>
      <c r="F149" s="12"/>
      <c r="G149" s="385"/>
      <c r="H149" s="385"/>
      <c r="I149" s="385"/>
      <c r="K149" s="385"/>
      <c r="L149" s="385"/>
      <c r="M149" s="385"/>
      <c r="N149" s="385"/>
      <c r="O149" s="385"/>
      <c r="P149" s="385"/>
      <c r="Q149" s="385"/>
      <c r="R149" s="385"/>
      <c r="S149" s="385"/>
    </row>
    <row r="150" spans="1:19" s="30" customFormat="1">
      <c r="F150" s="12"/>
      <c r="G150" s="385"/>
      <c r="H150" s="385"/>
      <c r="I150" s="385"/>
      <c r="J150" s="385"/>
      <c r="K150" s="385"/>
      <c r="L150" s="385"/>
      <c r="M150" s="385"/>
      <c r="N150" s="385"/>
      <c r="O150" s="385"/>
      <c r="P150" s="385"/>
      <c r="Q150" s="385"/>
      <c r="R150" s="385"/>
      <c r="S150" s="385"/>
    </row>
    <row r="151" spans="1:19" s="30" customFormat="1" ht="87">
      <c r="A151" s="371" t="s">
        <v>320</v>
      </c>
      <c r="B151" s="371" t="s">
        <v>638</v>
      </c>
      <c r="C151" s="371" t="s">
        <v>639</v>
      </c>
      <c r="D151" s="371" t="s">
        <v>640</v>
      </c>
      <c r="E151" s="371" t="s">
        <v>641</v>
      </c>
      <c r="F151" s="371" t="s">
        <v>642</v>
      </c>
      <c r="G151" s="371" t="s">
        <v>643</v>
      </c>
      <c r="H151" s="371" t="s">
        <v>644</v>
      </c>
      <c r="I151" s="371" t="s">
        <v>645</v>
      </c>
      <c r="J151" s="371" t="s">
        <v>646</v>
      </c>
      <c r="K151" s="371" t="s">
        <v>647</v>
      </c>
      <c r="L151" s="371" t="s">
        <v>648</v>
      </c>
      <c r="M151" s="371" t="s">
        <v>649</v>
      </c>
    </row>
    <row r="152" spans="1:19" s="30" customFormat="1">
      <c r="A152" s="158" t="s">
        <v>298</v>
      </c>
      <c r="B152" s="158">
        <v>1</v>
      </c>
      <c r="C152" s="158">
        <v>11</v>
      </c>
      <c r="D152" s="159">
        <v>10</v>
      </c>
      <c r="E152" s="159">
        <v>4</v>
      </c>
      <c r="F152" s="159">
        <v>4</v>
      </c>
      <c r="G152" s="159">
        <v>6</v>
      </c>
      <c r="H152" s="158">
        <f>C152+D152+E152+(F152*B152)+(G152*B152)</f>
        <v>35</v>
      </c>
      <c r="I152" s="158">
        <v>2</v>
      </c>
      <c r="J152" s="158">
        <v>6.36</v>
      </c>
      <c r="K152" s="386">
        <f>2*3.14159*(J152*0.001/2)</f>
        <v>1.9980512400000001E-2</v>
      </c>
      <c r="L152" s="158">
        <f>H152*I152</f>
        <v>70</v>
      </c>
      <c r="M152" s="387">
        <f>K152*L152</f>
        <v>1.3986358679999999</v>
      </c>
    </row>
    <row r="153" spans="1:19" s="30" customFormat="1">
      <c r="A153" s="158" t="s">
        <v>297</v>
      </c>
      <c r="B153" s="158">
        <v>2</v>
      </c>
      <c r="C153" s="158">
        <v>14</v>
      </c>
      <c r="D153" s="163"/>
      <c r="E153" s="163"/>
      <c r="F153" s="163"/>
      <c r="G153" s="163"/>
      <c r="H153" s="158">
        <f>C153+D152+E152+(F152*B153)+(G152*B153)</f>
        <v>48</v>
      </c>
      <c r="I153" s="158">
        <v>2</v>
      </c>
      <c r="J153" s="158">
        <v>6.36</v>
      </c>
      <c r="K153" s="386">
        <f>2*3.14159*(J153*0.001/2)</f>
        <v>1.9980512400000001E-2</v>
      </c>
      <c r="L153" s="158">
        <f>H153*I153</f>
        <v>96</v>
      </c>
      <c r="M153" s="387">
        <f>K153*L153</f>
        <v>1.9181291904000002</v>
      </c>
    </row>
    <row r="154" spans="1:19" s="30" customFormat="1">
      <c r="A154" s="158" t="s">
        <v>296</v>
      </c>
      <c r="B154" s="158">
        <v>6</v>
      </c>
      <c r="C154" s="158">
        <v>18</v>
      </c>
      <c r="D154" s="162"/>
      <c r="E154" s="162"/>
      <c r="F154" s="162"/>
      <c r="G154" s="162"/>
      <c r="H154" s="158">
        <f>C154+D152+E152+(F152*B154)+(G152*B154)</f>
        <v>92</v>
      </c>
      <c r="I154" s="158">
        <v>2</v>
      </c>
      <c r="J154" s="158">
        <v>6.36</v>
      </c>
      <c r="K154" s="386">
        <f>2*3.14159*(J154*0.001/2)</f>
        <v>1.9980512400000001E-2</v>
      </c>
      <c r="L154" s="158">
        <f>H154*I154</f>
        <v>184</v>
      </c>
      <c r="M154" s="387">
        <f>K154*L154</f>
        <v>3.6764142816000001</v>
      </c>
    </row>
    <row r="155" spans="1:19" s="30" customFormat="1">
      <c r="A155" s="12" t="s">
        <v>650</v>
      </c>
      <c r="C155" s="86"/>
      <c r="G155" s="12"/>
      <c r="H155" s="86"/>
      <c r="I155" s="86"/>
      <c r="J155" s="86"/>
      <c r="K155" s="86"/>
    </row>
    <row r="156" spans="1:19" s="30" customFormat="1">
      <c r="A156" s="240" t="s">
        <v>651</v>
      </c>
      <c r="C156" s="86"/>
      <c r="E156" s="12"/>
      <c r="G156" s="12"/>
      <c r="H156" s="86"/>
      <c r="I156" s="86"/>
      <c r="J156" s="86"/>
      <c r="K156" s="86"/>
    </row>
    <row r="157" spans="1:19" s="30" customFormat="1">
      <c r="C157" s="86"/>
      <c r="E157" s="12"/>
      <c r="G157" s="12"/>
      <c r="H157" s="86"/>
      <c r="I157" s="86"/>
      <c r="J157" s="86"/>
      <c r="K157" s="86"/>
    </row>
    <row r="158" spans="1:19">
      <c r="O158" s="30"/>
      <c r="P158" s="30"/>
    </row>
  </sheetData>
  <sheetProtection sheet="1" objects="1" scenarios="1" formatCells="0" formatColumns="0" formatRows="0" sort="0" autoFilter="0"/>
  <mergeCells count="82">
    <mergeCell ref="N74:P74"/>
    <mergeCell ref="L18:L19"/>
    <mergeCell ref="M18:M19"/>
    <mergeCell ref="L22:L23"/>
    <mergeCell ref="M22:M23"/>
    <mergeCell ref="L26:L27"/>
    <mergeCell ref="M26:M27"/>
    <mergeCell ref="N18:P18"/>
    <mergeCell ref="N17:P17"/>
    <mergeCell ref="N22:P22"/>
    <mergeCell ref="N26:P26"/>
    <mergeCell ref="F152:F154"/>
    <mergeCell ref="B74:F74"/>
    <mergeCell ref="B75:B76"/>
    <mergeCell ref="C75:F75"/>
    <mergeCell ref="A104:G104"/>
    <mergeCell ref="B100:C100"/>
    <mergeCell ref="B101:C101"/>
    <mergeCell ref="B99:C99"/>
    <mergeCell ref="B103:C103"/>
    <mergeCell ref="B102:C102"/>
    <mergeCell ref="D99:E99"/>
    <mergeCell ref="D100:E100"/>
    <mergeCell ref="E152:E154"/>
    <mergeCell ref="G152:G154"/>
    <mergeCell ref="D152:D154"/>
    <mergeCell ref="G34:I34"/>
    <mergeCell ref="A35:A36"/>
    <mergeCell ref="B35:B36"/>
    <mergeCell ref="C35:F35"/>
    <mergeCell ref="G35:I35"/>
    <mergeCell ref="A39:A40"/>
    <mergeCell ref="B39:B40"/>
    <mergeCell ref="C39:F39"/>
    <mergeCell ref="A43:A44"/>
    <mergeCell ref="B43:B44"/>
    <mergeCell ref="C43:F43"/>
    <mergeCell ref="A51:A52"/>
    <mergeCell ref="B51:B52"/>
    <mergeCell ref="C51:C52"/>
    <mergeCell ref="K14:K16"/>
    <mergeCell ref="G39:I39"/>
    <mergeCell ref="G43:I43"/>
    <mergeCell ref="A12:A13"/>
    <mergeCell ref="B12:B13"/>
    <mergeCell ref="C12:F12"/>
    <mergeCell ref="G12:J12"/>
    <mergeCell ref="K12:K13"/>
    <mergeCell ref="A17:A19"/>
    <mergeCell ref="K17:K22"/>
    <mergeCell ref="A20:A22"/>
    <mergeCell ref="A23:A25"/>
    <mergeCell ref="K23:K31"/>
    <mergeCell ref="A26:A28"/>
    <mergeCell ref="A29:A31"/>
    <mergeCell ref="A34:F34"/>
    <mergeCell ref="D51:D52"/>
    <mergeCell ref="A53:A55"/>
    <mergeCell ref="C53:C55"/>
    <mergeCell ref="D53:D55"/>
    <mergeCell ref="A62:A64"/>
    <mergeCell ref="C62:C64"/>
    <mergeCell ref="D56:D70"/>
    <mergeCell ref="C65:C67"/>
    <mergeCell ref="A68:A70"/>
    <mergeCell ref="C68:C70"/>
    <mergeCell ref="A14:A16"/>
    <mergeCell ref="C56:C58"/>
    <mergeCell ref="C59:C61"/>
    <mergeCell ref="G146:G147"/>
    <mergeCell ref="G144:G145"/>
    <mergeCell ref="G142:G143"/>
    <mergeCell ref="D101:E101"/>
    <mergeCell ref="D102:E102"/>
    <mergeCell ref="D103:E103"/>
    <mergeCell ref="A146:A147"/>
    <mergeCell ref="A144:A145"/>
    <mergeCell ref="A142:A143"/>
    <mergeCell ref="A74:A76"/>
    <mergeCell ref="A56:A58"/>
    <mergeCell ref="A59:A61"/>
    <mergeCell ref="A65:A67"/>
  </mergeCells>
  <hyperlinks>
    <hyperlink ref="B100" r:id="rId1" display="https://www.ansys.com/content/dam/amp/2021/august/webpage-requests/education-resources-dam-upload-batch-2/material-property-data-for-eng-materials-BOKENGEN21.pdf" xr:uid="{8C7FF7A4-79FB-45E2-95FC-2B6B450BD6C2}"/>
    <hyperlink ref="B101" r:id="rId2" display="https://www.nature.com/articles/s41370-021-00354-0" xr:uid="{4465ABB5-AE1D-4D9D-B5E1-F9BD777306BF}"/>
    <hyperlink ref="B102" r:id="rId3" display="https://www.ipolymer.com/pdf/PVC.pdf" xr:uid="{B3CBCBCC-2058-492E-B5F4-47AD2FEEFA25}"/>
    <hyperlink ref="B103" r:id="rId4" display="https://www.matec-conferences.org/articles/matecconf/pdf/2018/34/matecconf_ifcae-iot2018_03014.pdf" xr:uid="{8AD5CB52-DE1A-4CBD-ABA4-19F78BF74B02}"/>
    <hyperlink ref="A3" location="CEM_Input__Mouthing_Duration" display="CEM Input: Mouthing Duration" xr:uid="{ACA2C108-803C-4021-952C-955D18C2BABF}"/>
    <hyperlink ref="A5" location="CEM_Input__Chemical_Migration_Rate" display="CEM Input: Chemical Migration Rate" xr:uid="{F046B434-28C3-412F-9DA5-EBDD9BDEA25A}"/>
    <hyperlink ref="A4" location="CEM_Input__Area_of_Article_Mouthed" display="CEM Input: Area of Article Mouthed" xr:uid="{422EC625-EE73-4F38-9DA7-861B3E66CE67}"/>
    <hyperlink ref="A6" location="CEM_Input__Product_Density" display="CEM Input: Density of Product" xr:uid="{525C5C9E-509B-45C6-9DF5-41F5C0087FE2}"/>
    <hyperlink ref="A7" location="CEM_Input__Surface_Area_of_Articles" display="CEM Input: Surface Area of Articles" xr:uid="{AA14422D-7F02-4377-9B94-162753182AFF}"/>
    <hyperlink ref="C119" r:id="rId5" xr:uid="{D101AB3D-2361-4E8C-83F1-C9235518800E}"/>
    <hyperlink ref="A156" r:id="rId6" display="https://www.scientific.net/AMM.672-674.2165" xr:uid="{1D645620-B7CC-4EBB-AEFA-666D4CC931C4}"/>
  </hyperlinks>
  <pageMargins left="0.7" right="0.7" top="0.75" bottom="0.75" header="0.3" footer="0.3"/>
  <pageSetup orientation="portrait"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29f62856-1543-49d4-a736-4569d363f533" ContentTypeId="0x0101" PreviousValue="false"/>
</file>

<file path=customXml/item2.xml><?xml version="1.0" encoding="utf-8"?>
<p:properties xmlns:p="http://schemas.microsoft.com/office/2006/metadata/properties" xmlns:xsi="http://www.w3.org/2001/XMLSchema-instance" xmlns:pc="http://schemas.microsoft.com/office/infopath/2007/PartnerControls">
  <documentManagement>
    <TaxCatchAll xmlns="4ffa91fb-a0ff-4ac5-b2db-65c790d184a4" xsi:nil="true"/>
    <lcf76f155ced4ddcb4097134ff3c332f xmlns="ead8da0f-3542-4e50-96c8-f1f698624e86">
      <Terms xmlns="http://schemas.microsoft.com/office/infopath/2007/PartnerControls"/>
    </lcf76f155ced4ddcb4097134ff3c332f>
    <_Source xmlns="http://schemas.microsoft.com/sharepoint/v3/fields" xsi:nil="true"/>
    <Language xmlns="http://schemas.microsoft.com/sharepoint/v3">English</Language>
    <_ip_UnifiedCompliancePolicyUIAction xmlns="http://schemas.microsoft.com/sharepoint/v3" xsi:nil="true"/>
    <j747ac98061d40f0aa7bd47e1db5675d xmlns="4ffa91fb-a0ff-4ac5-b2db-65c790d184a4">
      <Terms xmlns="http://schemas.microsoft.com/office/infopath/2007/PartnerControls"/>
    </j747ac98061d40f0aa7bd47e1db5675d>
    <e3f09c3df709400db2417a7161762d62 xmlns="4ffa91fb-a0ff-4ac5-b2db-65c790d184a4">
      <Terms xmlns="http://schemas.microsoft.com/office/infopath/2007/PartnerControls"/>
    </e3f09c3df709400db2417a7161762d62>
    <External_x0020_Contributor xmlns="4ffa91fb-a0ff-4ac5-b2db-65c790d184a4" xsi:nil="true"/>
    <TaxKeywordTaxHTField xmlns="4ffa91fb-a0ff-4ac5-b2db-65c790d184a4">
      <Terms xmlns="http://schemas.microsoft.com/office/infopath/2007/PartnerControls"/>
    </TaxKeywordTaxHTField>
    <Record xmlns="4ffa91fb-a0ff-4ac5-b2db-65c790d184a4">Shared</Record>
    <_ip_UnifiedCompliancePolicyProperties xmlns="http://schemas.microsoft.com/sharepoint/v3" xsi:nil="true"/>
    <Rights xmlns="4ffa91fb-a0ff-4ac5-b2db-65c790d184a4" xsi:nil="true"/>
    <Document_x0020_Creation_x0020_Date xmlns="4ffa91fb-a0ff-4ac5-b2db-65c790d184a4">2025-01-14T18:31:28+00:00</Document_x0020_Creation_x0020_Date>
    <EPA_x0020_Office xmlns="4ffa91fb-a0ff-4ac5-b2db-65c790d184a4" xsi:nil="true"/>
    <CategoryDescription xmlns="http://schemas.microsoft.com/sharepoint.v3" xsi:nil="true"/>
    <Identifier xmlns="4ffa91fb-a0ff-4ac5-b2db-65c790d184a4" xsi:nil="true"/>
    <_Coverage xmlns="http://schemas.microsoft.com/sharepoint/v3/fields" xsi:nil="true"/>
    <Creator xmlns="4ffa91fb-a0ff-4ac5-b2db-65c790d184a4">
      <UserInfo>
        <DisplayName/>
        <AccountId xsi:nil="true"/>
        <AccountType/>
      </UserInfo>
    </Creator>
    <EPA_x0020_Related_x0020_Documents xmlns="4ffa91fb-a0ff-4ac5-b2db-65c790d184a4" xsi:nil="true"/>
    <EPA_x0020_Contributor xmlns="4ffa91fb-a0ff-4ac5-b2db-65c790d184a4">
      <UserInfo>
        <DisplayName/>
        <AccountId xsi:nil="true"/>
        <AccountType/>
      </UserInfo>
    </EPA_x0020_Contributor>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D723352F79007E408EFF44D6142FFCE2" ma:contentTypeVersion="21" ma:contentTypeDescription="Create a new document." ma:contentTypeScope="" ma:versionID="e95dd583e1418bbab84cc60b808c79a9">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fecc2597-e8fd-4279-ac06-bd7c891938be" xmlns:ns6="ead8da0f-3542-4e50-96c8-f1f698624e86" targetNamespace="http://schemas.microsoft.com/office/2006/metadata/properties" ma:root="true" ma:fieldsID="2f7c14c724f6fd5b0410ef8d6affcf61" ns1:_="" ns2:_="" ns3:_="" ns4:_="" ns5:_="" ns6:_="">
    <xsd:import namespace="http://schemas.microsoft.com/sharepoint/v3"/>
    <xsd:import namespace="4ffa91fb-a0ff-4ac5-b2db-65c790d184a4"/>
    <xsd:import namespace="http://schemas.microsoft.com/sharepoint.v3"/>
    <xsd:import namespace="http://schemas.microsoft.com/sharepoint/v3/fields"/>
    <xsd:import namespace="fecc2597-e8fd-4279-ac06-bd7c891938be"/>
    <xsd:import namespace="ead8da0f-3542-4e50-96c8-f1f698624e86"/>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2:e3f09c3df709400db2417a7161762d62" minOccurs="0"/>
                <xsd:element ref="ns5:SharedWithUsers" minOccurs="0"/>
                <xsd:element ref="ns5:SharedWithDetails" minOccurs="0"/>
                <xsd:element ref="ns6:MediaServiceMetadata" minOccurs="0"/>
                <xsd:element ref="ns6:MediaServiceFastMetadata" minOccurs="0"/>
                <xsd:element ref="ns6:MediaServiceAutoTags" minOccurs="0"/>
                <xsd:element ref="ns6:MediaServiceOCR" minOccurs="0"/>
                <xsd:element ref="ns6:MediaServiceGenerationTime" minOccurs="0"/>
                <xsd:element ref="ns6:MediaServiceEventHashCode" minOccurs="0"/>
                <xsd:element ref="ns1:_ip_UnifiedCompliancePolicyProperties" minOccurs="0"/>
                <xsd:element ref="ns1:_ip_UnifiedCompliancePolicyUIAction" minOccurs="0"/>
                <xsd:element ref="ns6:lcf76f155ced4ddcb4097134ff3c332f" minOccurs="0"/>
                <xsd:element ref="ns6:MediaServiceObjectDetectorVersions" minOccurs="0"/>
                <xsd:element ref="ns6:MediaServiceSearchProperties" minOccurs="0"/>
                <xsd:element ref="ns6:MediaServiceDateTaken" minOccurs="0"/>
                <xsd:element ref="ns6:MediaServiceLocation" minOccurs="0"/>
                <xsd:element ref="ns6: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element name="_ip_UnifiedCompliancePolicyProperties" ma:index="37" nillable="true" ma:displayName="Unified Compliance Policy Properties" ma:hidden="true" ma:internalName="_ip_UnifiedCompliancePolicyProperties">
      <xsd:simpleType>
        <xsd:restriction base="dms:Note"/>
      </xsd:simpleType>
    </xsd:element>
    <xsd:element name="_ip_UnifiedCompliancePolicyUIAction" ma:index="38"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ma:readOnly="fals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ma:readOnly="false">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ma:readOnly="false">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hidden="true" ma:list="{160cad11-562a-4490-8456-b2fd6f157897}" ma:internalName="TaxCatchAllLabel" ma:readOnly="true" ma:showField="CatchAllDataLabel" ma:web="fecc2597-e8fd-4279-ac06-bd7c891938be">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hidden="true" ma:list="{160cad11-562a-4490-8456-b2fd6f157897}" ma:internalName="TaxCatchAll" ma:showField="CatchAllData" ma:web="fecc2597-e8fd-4279-ac06-bd7c891938be">
      <xsd:complexType>
        <xsd:complexContent>
          <xsd:extension base="dms:MultiChoiceLookup">
            <xsd:sequence>
              <xsd:element name="Value" type="dms:Lookup" maxOccurs="unbounded" minOccurs="0" nillable="true"/>
            </xsd:sequence>
          </xsd:extension>
        </xsd:complexContent>
      </xsd:complexType>
    </xsd:element>
    <xsd:element name="e3f09c3df709400db2417a7161762d62" ma:index="28" nillable="true" ma:taxonomy="true" ma:internalName="e3f09c3df709400db2417a7161762d62" ma:taxonomyFieldName="EPA_x0020_Subject" ma:displayName="EPA Subject" ma:readOnly="false" ma:default="" ma:fieldId="{e3f09c3d-f709-400d-b241-7a7161762d62}" ma:taxonomyMulti="true" ma:sspId="29f62856-1543-49d4-a736-4569d363f533" ma:termSetId="7a3d4ae0-7e62-45a2-a406-c6a8a6a8eee3"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ecc2597-e8fd-4279-ac06-bd7c891938be" elementFormDefault="qualified">
    <xsd:import namespace="http://schemas.microsoft.com/office/2006/documentManagement/types"/>
    <xsd:import namespace="http://schemas.microsoft.com/office/infopath/2007/PartnerControls"/>
    <xsd:element name="SharedWithUsers" ma:index="2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0"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ad8da0f-3542-4e50-96c8-f1f698624e86" elementFormDefault="qualified">
    <xsd:import namespace="http://schemas.microsoft.com/office/2006/documentManagement/types"/>
    <xsd:import namespace="http://schemas.microsoft.com/office/infopath/2007/PartnerControls"/>
    <xsd:element name="MediaServiceMetadata" ma:index="31" nillable="true" ma:displayName="MediaServiceMetadata" ma:hidden="true" ma:internalName="MediaServiceMetadata" ma:readOnly="true">
      <xsd:simpleType>
        <xsd:restriction base="dms:Note"/>
      </xsd:simpleType>
    </xsd:element>
    <xsd:element name="MediaServiceFastMetadata" ma:index="32" nillable="true" ma:displayName="MediaServiceFastMetadata" ma:hidden="true" ma:internalName="MediaServiceFastMetadata" ma:readOnly="true">
      <xsd:simpleType>
        <xsd:restriction base="dms:Note"/>
      </xsd:simpleType>
    </xsd:element>
    <xsd:element name="MediaServiceAutoTags" ma:index="33" nillable="true" ma:displayName="Tags" ma:internalName="MediaServiceAutoTags" ma:readOnly="true">
      <xsd:simpleType>
        <xsd:restriction base="dms:Text"/>
      </xsd:simpleType>
    </xsd:element>
    <xsd:element name="MediaServiceOCR" ma:index="34" nillable="true" ma:displayName="Extracted Text" ma:internalName="MediaServiceOCR" ma:readOnly="true">
      <xsd:simpleType>
        <xsd:restriction base="dms:Note">
          <xsd:maxLength value="255"/>
        </xsd:restriction>
      </xsd:simpleType>
    </xsd:element>
    <xsd:element name="MediaServiceGenerationTime" ma:index="35" nillable="true" ma:displayName="MediaServiceGenerationTime" ma:hidden="true" ma:internalName="MediaServiceGenerationTime" ma:readOnly="true">
      <xsd:simpleType>
        <xsd:restriction base="dms:Text"/>
      </xsd:simpleType>
    </xsd:element>
    <xsd:element name="MediaServiceEventHashCode" ma:index="36" nillable="true" ma:displayName="MediaServiceEventHashCode" ma:hidden="true" ma:internalName="MediaServiceEventHashCode" ma:readOnly="true">
      <xsd:simpleType>
        <xsd:restriction base="dms:Text"/>
      </xsd:simpleType>
    </xsd:element>
    <xsd:element name="lcf76f155ced4ddcb4097134ff3c332f" ma:index="40" nillable="true" ma:taxonomy="true" ma:internalName="lcf76f155ced4ddcb4097134ff3c332f" ma:taxonomyFieldName="MediaServiceImageTags" ma:displayName="Image Tags" ma:readOnly="false" ma:fieldId="{5cf76f15-5ced-4ddc-b409-7134ff3c332f}" ma:taxonomyMulti="true" ma:sspId="29f62856-1543-49d4-a736-4569d363f53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41" nillable="true" ma:displayName="MediaServiceObjectDetectorVersions" ma:hidden="true" ma:indexed="true" ma:internalName="MediaServiceObjectDetectorVersions" ma:readOnly="true">
      <xsd:simpleType>
        <xsd:restriction base="dms:Text"/>
      </xsd:simpleType>
    </xsd:element>
    <xsd:element name="MediaServiceSearchProperties" ma:index="42" nillable="true" ma:displayName="MediaServiceSearchProperties" ma:hidden="true" ma:internalName="MediaServiceSearchProperties" ma:readOnly="true">
      <xsd:simpleType>
        <xsd:restriction base="dms:Note"/>
      </xsd:simpleType>
    </xsd:element>
    <xsd:element name="MediaServiceDateTaken" ma:index="43" nillable="true" ma:displayName="MediaServiceDateTaken" ma:description="" ma:hidden="true" ma:indexed="true" ma:internalName="MediaServiceDateTaken" ma:readOnly="true">
      <xsd:simpleType>
        <xsd:restriction base="dms:Text"/>
      </xsd:simpleType>
    </xsd:element>
    <xsd:element name="MediaServiceLocation" ma:index="44" nillable="true" ma:displayName="Location" ma:description="" ma:indexed="true" ma:internalName="MediaServiceLocation" ma:readOnly="true">
      <xsd:simpleType>
        <xsd:restriction base="dms:Text"/>
      </xsd:simpleType>
    </xsd:element>
    <xsd:element name="MediaLengthInSeconds" ma:index="45"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F6078D1-1F3C-4097-9B72-1572854EFB18}">
  <ds:schemaRefs>
    <ds:schemaRef ds:uri="Microsoft.SharePoint.Taxonomy.ContentTypeSync"/>
  </ds:schemaRefs>
</ds:datastoreItem>
</file>

<file path=customXml/itemProps2.xml><?xml version="1.0" encoding="utf-8"?>
<ds:datastoreItem xmlns:ds="http://schemas.openxmlformats.org/officeDocument/2006/customXml" ds:itemID="{2560815B-3897-4250-A586-2FDA7066CB49}">
  <ds:schemaRefs>
    <ds:schemaRef ds:uri="http://schemas.microsoft.com/sharepoint/v3"/>
    <ds:schemaRef ds:uri="http://www.w3.org/XML/1998/namespace"/>
    <ds:schemaRef ds:uri="http://schemas.microsoft.com/office/infopath/2007/PartnerControls"/>
    <ds:schemaRef ds:uri="ead8da0f-3542-4e50-96c8-f1f698624e86"/>
    <ds:schemaRef ds:uri="http://schemas.microsoft.com/office/2006/metadata/properties"/>
    <ds:schemaRef ds:uri="http://schemas.microsoft.com/office/2006/documentManagement/types"/>
    <ds:schemaRef ds:uri="http://schemas.openxmlformats.org/package/2006/metadata/core-properties"/>
    <ds:schemaRef ds:uri="http://purl.org/dc/dcmitype/"/>
    <ds:schemaRef ds:uri="http://schemas.microsoft.com/sharepoint/v3/fields"/>
    <ds:schemaRef ds:uri="4ffa91fb-a0ff-4ac5-b2db-65c790d184a4"/>
    <ds:schemaRef ds:uri="fecc2597-e8fd-4279-ac06-bd7c891938be"/>
    <ds:schemaRef ds:uri="http://schemas.microsoft.com/sharepoint.v3"/>
    <ds:schemaRef ds:uri="http://purl.org/dc/terms/"/>
    <ds:schemaRef ds:uri="http://purl.org/dc/elements/1.1/"/>
  </ds:schemaRefs>
</ds:datastoreItem>
</file>

<file path=customXml/itemProps3.xml><?xml version="1.0" encoding="utf-8"?>
<ds:datastoreItem xmlns:ds="http://schemas.openxmlformats.org/officeDocument/2006/customXml" ds:itemID="{4DAC3B47-6AC7-4EEB-AA89-AE355293A343}">
  <ds:schemaRefs>
    <ds:schemaRef ds:uri="http://schemas.microsoft.com/sharepoint/v3/contenttype/forms"/>
  </ds:schemaRefs>
</ds:datastoreItem>
</file>

<file path=customXml/itemProps4.xml><?xml version="1.0" encoding="utf-8"?>
<ds:datastoreItem xmlns:ds="http://schemas.openxmlformats.org/officeDocument/2006/customXml" ds:itemID="{F6629A09-D008-48F8-9336-BA8F8E2D1EF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fecc2597-e8fd-4279-ac06-bd7c891938be"/>
    <ds:schemaRef ds:uri="ead8da0f-3542-4e50-96c8-f1f698624e8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f90b97b-be46-4a00-9700-81ce4ff1b7f6}" enabled="0" method="" siteId="{cf90b97b-be46-4a00-9700-81ce4ff1b7f6}"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5</vt:i4>
      </vt:variant>
    </vt:vector>
  </HeadingPairs>
  <TitlesOfParts>
    <vt:vector size="20" baseType="lpstr">
      <vt:lpstr>Cover Page</vt:lpstr>
      <vt:lpstr>Table of Contents</vt:lpstr>
      <vt:lpstr>P-Chem</vt:lpstr>
      <vt:lpstr>DIBP Use Report</vt:lpstr>
      <vt:lpstr>Literature Data</vt:lpstr>
      <vt:lpstr>HPCDS Data</vt:lpstr>
      <vt:lpstr>HPCDS Summary</vt:lpstr>
      <vt:lpstr>Crosswalk</vt:lpstr>
      <vt:lpstr>Article Inputs</vt:lpstr>
      <vt:lpstr>Freq of use</vt:lpstr>
      <vt:lpstr>Compiled Articles</vt:lpstr>
      <vt:lpstr>Compiled Products</vt:lpstr>
      <vt:lpstr>Dermal Calcs</vt:lpstr>
      <vt:lpstr>Tire Crumb Calc Inputs</vt:lpstr>
      <vt:lpstr>Tire Crumb Dose Calcs</vt:lpstr>
      <vt:lpstr>CEM_Input__Area_of_Article_Mouthed</vt:lpstr>
      <vt:lpstr>CEM_Input__Chemical_Migration_Rate</vt:lpstr>
      <vt:lpstr>CEM_Input__Mouthing_Duration</vt:lpstr>
      <vt:lpstr>CEM_Input__Product_Density</vt:lpstr>
      <vt:lpstr>CEM_Input__Surface_Area_of_Articles</vt:lpstr>
    </vt:vector>
  </TitlesOfParts>
  <Manager/>
  <Company>ICF</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Riley, Karie</dc:creator>
  <cp:keywords/>
  <dc:description/>
  <cp:lastModifiedBy>Hodge, Myles</cp:lastModifiedBy>
  <cp:revision/>
  <dcterms:created xsi:type="dcterms:W3CDTF">2024-01-14T15:09:36Z</dcterms:created>
  <dcterms:modified xsi:type="dcterms:W3CDTF">2025-07-23T16:59:17Z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0x010100D723352F79007E408EFF44D6142FFCE2</vt:lpwstr>
  </property>
  <property fmtid="{D5CDD505-2E9C-101B-9397-08002B2CF9AE}" pid="3" name="MediaServiceImageTags">
    <vt:lpwstr/>
  </property>
  <property fmtid="{D5CDD505-2E9C-101B-9397-08002B2CF9AE}" pid="4" name="TaxKeyword">
    <vt:lpwstr/>
  </property>
  <property fmtid="{D5CDD505-2E9C-101B-9397-08002B2CF9AE}" pid="5" name="Document_x0020_Type">
    <vt:lpwstr/>
  </property>
  <property fmtid="{D5CDD505-2E9C-101B-9397-08002B2CF9AE}" pid="6" name="EPA_x0020_Subject">
    <vt:lpwstr/>
  </property>
  <property fmtid="{D5CDD505-2E9C-101B-9397-08002B2CF9AE}" pid="7" name="EPA Subject">
    <vt:lpwstr/>
  </property>
  <property fmtid="{D5CDD505-2E9C-101B-9397-08002B2CF9AE}" pid="8" name="Document Type">
    <vt:lpwstr/>
  </property>
</Properties>
</file>