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usepa.sharepoint.com/sites/ocspp_Work/wpc/TSCA Scoping Next 20 HPS Review/Phthalates/DIBP/RE Documents - DIBP/Public Release July 2025/DIBP Supplemental Files Public Release July 2025/"/>
    </mc:Choice>
  </mc:AlternateContent>
  <xr:revisionPtr revIDLastSave="461" documentId="8_{4E2BE00A-794B-4201-898B-A68DA2177E7A}" xr6:coauthVersionLast="47" xr6:coauthVersionMax="47" xr10:uidLastSave="{9C9B5898-9FB8-4C0D-B69B-92FBC31CCB39}"/>
  <bookViews>
    <workbookView xWindow="-110" yWindow="-110" windowWidth="19420" windowHeight="10300" xr2:uid="{72E87843-D019-43EC-8298-3B122C87FC23}"/>
  </bookViews>
  <sheets>
    <sheet name="Cover Page" sheetId="44" r:id="rId1"/>
    <sheet name="Read Me" sheetId="43" r:id="rId2"/>
    <sheet name="Calculation Summary" sheetId="45" r:id="rId3"/>
    <sheet name="Dashboard" sheetId="31" r:id="rId4"/>
    <sheet name="RR" sheetId="40" r:id="rId5"/>
    <sheet name="Aggregate RR" sheetId="47" r:id="rId6"/>
    <sheet name="Inhalation Exposure" sheetId="37" r:id="rId7"/>
    <sheet name="Dermal Exposure" sheetId="41" r:id="rId8"/>
    <sheet name="Tables for RE" sheetId="49" r:id="rId9"/>
    <sheet name="Tables for Report" sheetId="48" r:id="rId10"/>
    <sheet name="Hazard Values" sheetId="39" r:id="rId11"/>
    <sheet name="List Values" sheetId="35" r:id="rId12"/>
    <sheet name="Exposure Factors" sheetId="38" r:id="rId13"/>
  </sheets>
  <definedNames>
    <definedName name="_8_hr">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localSheetId="2" hidden="1">100</definedName>
    <definedName name="_AtRisk_SimSetting_ConvergenceTestingPeriod" hidden="1">10</definedName>
    <definedName name="_AtRisk_SimSetting_ConvergenceTolerance" localSheetId="2" hidden="1">0.03</definedName>
    <definedName name="_AtRisk_SimSetting_ConvergenceTolerance" hidden="1">0.01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8</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15</definedName>
    <definedName name="_AtRisk_SimSetting_ReportOptionReportsFileType" hidden="1">1</definedName>
    <definedName name="_AtRisk_SimSetting_ReportOptionSelectiveQR" hidden="1">FALSE</definedName>
    <definedName name="_AtRisk_SimSetting_ReportsList" hidden="1">15</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5" hidden="1">'Aggregate RR'!$A$17:$Y$41</definedName>
    <definedName name="_xlnm._FilterDatabase" localSheetId="11" hidden="1">'List Values'!$B$1:$B$20</definedName>
    <definedName name="_xlnm._FilterDatabase" localSheetId="8" hidden="1">'Tables for RE'!$C$126:$N$222</definedName>
    <definedName name="AH1_cm2">'Exposure Factors'!$C$5</definedName>
    <definedName name="AH1_cm2_F">'Exposure Factors'!$D$5</definedName>
    <definedName name="AH2_cm2">'Exposure Factors'!$C$6</definedName>
    <definedName name="AH2_cm2_F">'Exposure Factors'!$D$6</definedName>
    <definedName name="AT">'List Values'!$H$11</definedName>
    <definedName name="AT_AC">'List Values'!$J$42</definedName>
    <definedName name="AT_ADC_high">'List Values'!$H$19</definedName>
    <definedName name="AT_ADC_mid">'List Values'!$H$18</definedName>
    <definedName name="AT_LADC">'List Values'!#REF!</definedName>
    <definedName name="BW_default">'Exposure Factors'!$C$4</definedName>
    <definedName name="BW_F">'Exposure Factors'!$D$4</definedName>
    <definedName name="ED_10">'List Values'!$H$10</definedName>
    <definedName name="ED_8">'List Values'!$H$9</definedName>
    <definedName name="EF">'List Values'!$H$12</definedName>
    <definedName name="EFID">'List Values'!$H$13</definedName>
    <definedName name="ID">'List Values'!$H$14</definedName>
    <definedName name="LT">'List Values'!$H$17</definedName>
    <definedName name="Mol_Vol">'List Values'!#REF!</definedName>
    <definedName name="MW">'List Values'!$G$6</definedName>
    <definedName name="Pal_Workbook_GUID" hidden="1">"QFFA8IQU6YFGRFCXE7L4LIWR"</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 hidden="1">8</definedName>
    <definedName name="RiskHasSettings" hidden="1">6</definedName>
    <definedName name="RiskMinimizeOnStart" hidden="1">FALSE</definedName>
    <definedName name="RiskMonitorConvergence" hidden="1">FALSE</definedName>
    <definedName name="RiskMultipleCPUSupportEnabled" localSheetId="2" hidden="1">FALSE</definedName>
    <definedName name="RiskMultipleCPUSupportEnabled" hidden="1">TRUE</definedName>
    <definedName name="RiskNumIterations" localSheetId="2" hidden="1">100000</definedName>
    <definedName name="RiskNumIterations" hidden="1">1000000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localSheetId="2" hidden="1">FALSE</definedName>
    <definedName name="RiskUseMultipleCPUs" hidden="1">TRUE</definedName>
    <definedName name="solver_adj" localSheetId="5" hidden="1">'Aggregate RR'!#REF!</definedName>
    <definedName name="solver_adj" localSheetId="4" hidden="1">RR!#REF!</definedName>
    <definedName name="solver_cvg" localSheetId="5" hidden="1">0.0001</definedName>
    <definedName name="solver_cvg" localSheetId="4" hidden="1">0.0001</definedName>
    <definedName name="solver_drv" localSheetId="5" hidden="1">1</definedName>
    <definedName name="solver_drv" localSheetId="4" hidden="1">1</definedName>
    <definedName name="solver_eng" localSheetId="5" hidden="1">1</definedName>
    <definedName name="solver_eng" localSheetId="4" hidden="1">1</definedName>
    <definedName name="solver_est" localSheetId="5" hidden="1">1</definedName>
    <definedName name="solver_est" localSheetId="4" hidden="1">1</definedName>
    <definedName name="solver_itr" localSheetId="5" hidden="1">2147483647</definedName>
    <definedName name="solver_itr" localSheetId="4" hidden="1">2147483647</definedName>
    <definedName name="solver_mip" localSheetId="5" hidden="1">2147483647</definedName>
    <definedName name="solver_mip" localSheetId="4" hidden="1">2147483647</definedName>
    <definedName name="solver_mni" localSheetId="5" hidden="1">30</definedName>
    <definedName name="solver_mni" localSheetId="4" hidden="1">30</definedName>
    <definedName name="solver_mrt" localSheetId="5" hidden="1">0.075</definedName>
    <definedName name="solver_mrt" localSheetId="4" hidden="1">0.075</definedName>
    <definedName name="solver_msl" localSheetId="5" hidden="1">2</definedName>
    <definedName name="solver_msl" localSheetId="4" hidden="1">2</definedName>
    <definedName name="solver_neg" localSheetId="5" hidden="1">1</definedName>
    <definedName name="solver_neg" localSheetId="4" hidden="1">1</definedName>
    <definedName name="solver_nod" localSheetId="5" hidden="1">2147483647</definedName>
    <definedName name="solver_nod" localSheetId="4" hidden="1">2147483647</definedName>
    <definedName name="solver_num" localSheetId="5" hidden="1">0</definedName>
    <definedName name="solver_num" localSheetId="4" hidden="1">0</definedName>
    <definedName name="solver_nwt" localSheetId="5" hidden="1">1</definedName>
    <definedName name="solver_nwt" localSheetId="4" hidden="1">1</definedName>
    <definedName name="solver_opt" localSheetId="5" hidden="1">'Aggregate RR'!#REF!</definedName>
    <definedName name="solver_opt" localSheetId="4" hidden="1">RR!#REF!</definedName>
    <definedName name="solver_pre" localSheetId="5" hidden="1">0.000001</definedName>
    <definedName name="solver_pre" localSheetId="4" hidden="1">0.000001</definedName>
    <definedName name="solver_rbv" localSheetId="5" hidden="1">1</definedName>
    <definedName name="solver_rbv" localSheetId="4" hidden="1">1</definedName>
    <definedName name="solver_rlx" localSheetId="5" hidden="1">2</definedName>
    <definedName name="solver_rlx" localSheetId="4" hidden="1">2</definedName>
    <definedName name="solver_rsd" localSheetId="5" hidden="1">0</definedName>
    <definedName name="solver_rsd" localSheetId="4" hidden="1">0</definedName>
    <definedName name="solver_scl" localSheetId="5" hidden="1">1</definedName>
    <definedName name="solver_scl" localSheetId="4" hidden="1">1</definedName>
    <definedName name="solver_sho" localSheetId="5" hidden="1">2</definedName>
    <definedName name="solver_sho" localSheetId="4" hidden="1">2</definedName>
    <definedName name="solver_ssz" localSheetId="5" hidden="1">100</definedName>
    <definedName name="solver_ssz" localSheetId="4" hidden="1">100</definedName>
    <definedName name="solver_tim" localSheetId="5" hidden="1">2147483647</definedName>
    <definedName name="solver_tim" localSheetId="4" hidden="1">2147483647</definedName>
    <definedName name="solver_tol" localSheetId="5" hidden="1">0.01</definedName>
    <definedName name="solver_tol" localSheetId="4" hidden="1">0.01</definedName>
    <definedName name="solver_typ" localSheetId="5" hidden="1">3</definedName>
    <definedName name="solver_typ" localSheetId="4" hidden="1">3</definedName>
    <definedName name="solver_val" localSheetId="5" hidden="1">1</definedName>
    <definedName name="solver_val" localSheetId="4" hidden="1">1</definedName>
    <definedName name="solver_ver" localSheetId="5" hidden="1">3</definedName>
    <definedName name="solver_ver" localSheetId="4" hidden="1">3</definedName>
    <definedName name="WorkBreathRate">'Exposure Factors'!$C$10</definedName>
    <definedName name="WY_high">'List Values'!$H$16</definedName>
    <definedName name="WY_mid">'List Values'!$H$15</definedName>
  </definedNames>
  <calcPr calcId="191028"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48" l="1"/>
  <c r="V21" i="48"/>
  <c r="U25" i="48"/>
  <c r="V25" i="48"/>
  <c r="U29" i="48"/>
  <c r="V29" i="48"/>
  <c r="I60" i="41"/>
  <c r="H60" i="41"/>
  <c r="I59" i="41"/>
  <c r="H59" i="41"/>
  <c r="I58" i="41"/>
  <c r="H58" i="41"/>
  <c r="I57" i="41"/>
  <c r="H57" i="41"/>
  <c r="I56" i="41"/>
  <c r="H56" i="41"/>
  <c r="I55" i="41"/>
  <c r="H55" i="41"/>
  <c r="I54" i="41"/>
  <c r="H54" i="41"/>
  <c r="I53" i="41"/>
  <c r="H53" i="41"/>
  <c r="I52" i="41"/>
  <c r="H52" i="41"/>
  <c r="I51" i="41"/>
  <c r="H51" i="41"/>
  <c r="I50" i="41"/>
  <c r="H50" i="41"/>
  <c r="I49" i="41"/>
  <c r="H49" i="41"/>
  <c r="I33" i="41"/>
  <c r="H33" i="41"/>
  <c r="I32" i="41"/>
  <c r="H32" i="41"/>
  <c r="I31" i="41"/>
  <c r="H31" i="41"/>
  <c r="I30" i="41"/>
  <c r="H30" i="41"/>
  <c r="I27" i="41"/>
  <c r="H27" i="41"/>
  <c r="I26" i="41"/>
  <c r="H26" i="41"/>
  <c r="I25" i="41"/>
  <c r="H25" i="41"/>
  <c r="I24" i="41"/>
  <c r="H24" i="41"/>
  <c r="H21" i="41"/>
  <c r="I21" i="41"/>
  <c r="G42" i="41"/>
  <c r="G36" i="41"/>
  <c r="G47" i="41"/>
  <c r="G46" i="41"/>
  <c r="G44" i="41"/>
  <c r="G43" i="41"/>
  <c r="G41" i="41"/>
  <c r="G40" i="41"/>
  <c r="G38" i="41"/>
  <c r="G37" i="41"/>
  <c r="G35" i="41"/>
  <c r="G34" i="41"/>
  <c r="G29" i="41"/>
  <c r="G28" i="41"/>
  <c r="G23" i="41"/>
  <c r="G22" i="41"/>
  <c r="G20" i="41"/>
  <c r="G19" i="41"/>
  <c r="G17" i="41"/>
  <c r="G16" i="41"/>
  <c r="G14" i="41"/>
  <c r="G13" i="41"/>
  <c r="G11" i="41"/>
  <c r="G10" i="41"/>
  <c r="G8" i="41"/>
  <c r="G7" i="41"/>
  <c r="G5" i="41"/>
  <c r="G4" i="41"/>
  <c r="F47" i="41"/>
  <c r="F44" i="41"/>
  <c r="F41" i="41"/>
  <c r="F38" i="41"/>
  <c r="F35" i="41"/>
  <c r="F29" i="41"/>
  <c r="F23" i="41"/>
  <c r="F20" i="41"/>
  <c r="F17" i="41"/>
  <c r="F14" i="41"/>
  <c r="F11" i="41"/>
  <c r="F8" i="41"/>
  <c r="F5" i="41"/>
  <c r="F46" i="41"/>
  <c r="F43" i="41"/>
  <c r="F42" i="41"/>
  <c r="F40" i="41"/>
  <c r="F37" i="41"/>
  <c r="F36" i="41"/>
  <c r="F34" i="41"/>
  <c r="F28" i="41"/>
  <c r="F22" i="41"/>
  <c r="F19" i="41"/>
  <c r="F16" i="41"/>
  <c r="F13" i="41"/>
  <c r="F10" i="41"/>
  <c r="F7" i="41"/>
  <c r="F4" i="41"/>
  <c r="C118" i="49" l="1" a="1"/>
  <c r="C118" i="49" s="1"/>
  <c r="C117" i="49" a="1"/>
  <c r="C117" i="49" s="1"/>
  <c r="C116" i="49" a="1"/>
  <c r="C116" i="49" s="1"/>
  <c r="C115" i="49" a="1"/>
  <c r="C115" i="49" s="1"/>
  <c r="C114" i="49" a="1"/>
  <c r="C114" i="49" s="1"/>
  <c r="C113" i="49" a="1"/>
  <c r="C113" i="49" s="1"/>
  <c r="C112" i="49" a="1"/>
  <c r="C112" i="49" s="1"/>
  <c r="C111" i="49" a="1"/>
  <c r="C111" i="49" s="1"/>
  <c r="C110" i="49" a="1"/>
  <c r="C110" i="49" s="1"/>
  <c r="C109" i="49" a="1"/>
  <c r="C109" i="49" s="1"/>
  <c r="C108" i="49" a="1"/>
  <c r="C108" i="49" s="1"/>
  <c r="C107" i="49" a="1"/>
  <c r="C107" i="49" s="1"/>
  <c r="C224" i="49" a="1"/>
  <c r="C224" i="49" s="1"/>
  <c r="C225" i="49" a="1"/>
  <c r="C225" i="49" s="1"/>
  <c r="C226" i="49" a="1"/>
  <c r="C226" i="49" s="1"/>
  <c r="C227" i="49" a="1"/>
  <c r="C227" i="49"/>
  <c r="C228" i="49" a="1"/>
  <c r="C228" i="49" s="1"/>
  <c r="C229" i="49" a="1"/>
  <c r="C229" i="49" s="1"/>
  <c r="C230" i="49" a="1"/>
  <c r="C230" i="49" s="1"/>
  <c r="C231" i="49" a="1"/>
  <c r="C231" i="49"/>
  <c r="C232" i="49" a="1"/>
  <c r="C232" i="49" s="1"/>
  <c r="C233" i="49" a="1"/>
  <c r="C233" i="49" s="1"/>
  <c r="C234" i="49" a="1"/>
  <c r="C234" i="49" s="1"/>
  <c r="C235" i="49" a="1"/>
  <c r="C235" i="49" s="1"/>
  <c r="C236" i="49" a="1"/>
  <c r="C236" i="49" s="1"/>
  <c r="C237" i="49" a="1"/>
  <c r="C237" i="49" s="1"/>
  <c r="C238" i="49" a="1"/>
  <c r="C238" i="49" s="1"/>
  <c r="C239" i="49" a="1"/>
  <c r="C239" i="49" s="1"/>
  <c r="C240" i="49" a="1"/>
  <c r="C240" i="49" s="1"/>
  <c r="C223" i="49" a="1"/>
  <c r="C223" i="49" s="1"/>
  <c r="J43" i="41"/>
  <c r="L43" i="41" s="1"/>
  <c r="J44" i="41"/>
  <c r="L44" i="41" s="1"/>
  <c r="J45" i="41"/>
  <c r="N45" i="41" s="1"/>
  <c r="K43" i="41"/>
  <c r="O43" i="41" s="1"/>
  <c r="K44" i="41"/>
  <c r="K45" i="41"/>
  <c r="O45" i="41" s="1"/>
  <c r="J37" i="41"/>
  <c r="L37" i="41" s="1"/>
  <c r="J38" i="41"/>
  <c r="L38" i="41" s="1"/>
  <c r="J39" i="41"/>
  <c r="N39" i="41" s="1"/>
  <c r="K37" i="41"/>
  <c r="O37" i="41" s="1"/>
  <c r="K38" i="41"/>
  <c r="M38" i="41" s="1"/>
  <c r="K39" i="41"/>
  <c r="N44" i="37"/>
  <c r="P44" i="37" s="1"/>
  <c r="N45" i="37"/>
  <c r="P45" i="37" s="1"/>
  <c r="N46" i="37"/>
  <c r="P46" i="37" s="1"/>
  <c r="O44" i="37"/>
  <c r="Q44" i="37" s="1"/>
  <c r="O45" i="37"/>
  <c r="Q45" i="37" s="1"/>
  <c r="O46" i="37"/>
  <c r="Q46" i="37" s="1"/>
  <c r="N38" i="37"/>
  <c r="P38" i="37" s="1"/>
  <c r="N39" i="37"/>
  <c r="P39" i="37" s="1"/>
  <c r="N40" i="37"/>
  <c r="P40" i="37" s="1"/>
  <c r="O38" i="37"/>
  <c r="Q38" i="37" s="1"/>
  <c r="O39" i="37"/>
  <c r="Q39" i="37" s="1"/>
  <c r="O40" i="37"/>
  <c r="Q40" i="37" s="1"/>
  <c r="N23" i="37"/>
  <c r="C132" i="49" a="1"/>
  <c r="C132" i="49" s="1"/>
  <c r="C131" i="49" a="1"/>
  <c r="C131" i="49" s="1"/>
  <c r="C130" i="49" a="1"/>
  <c r="C130" i="49" s="1"/>
  <c r="C129" i="49" a="1"/>
  <c r="C129" i="49" s="1"/>
  <c r="C128" i="49" a="1"/>
  <c r="C128" i="49" s="1"/>
  <c r="C6" i="49" a="1"/>
  <c r="C6" i="49" s="1"/>
  <c r="C7" i="49" a="1"/>
  <c r="C7" i="49" s="1"/>
  <c r="C8" i="49" a="1"/>
  <c r="C8" i="49" s="1"/>
  <c r="C9" i="49" a="1"/>
  <c r="C9" i="49" s="1"/>
  <c r="C10" i="49" a="1"/>
  <c r="C10" i="49" s="1"/>
  <c r="C11" i="49" a="1"/>
  <c r="C11" i="49" s="1"/>
  <c r="C12" i="49" a="1"/>
  <c r="C12" i="49" s="1"/>
  <c r="C13" i="49" a="1"/>
  <c r="C13" i="49" s="1"/>
  <c r="C14" i="49" a="1"/>
  <c r="C14" i="49" s="1"/>
  <c r="C15" i="49" a="1"/>
  <c r="C15" i="49" s="1"/>
  <c r="C16" i="49" a="1"/>
  <c r="C16" i="49" s="1"/>
  <c r="C17" i="49" a="1"/>
  <c r="C17" i="49" s="1"/>
  <c r="C18" i="49" a="1"/>
  <c r="C18" i="49" s="1"/>
  <c r="C19" i="49" a="1"/>
  <c r="C19" i="49" s="1"/>
  <c r="C20" i="49" a="1"/>
  <c r="C20" i="49" s="1"/>
  <c r="C21" i="49" a="1"/>
  <c r="C21" i="49" s="1"/>
  <c r="C22" i="49" a="1"/>
  <c r="C22" i="49" s="1"/>
  <c r="C23" i="49" a="1"/>
  <c r="C23" i="49" s="1"/>
  <c r="C24" i="49" a="1"/>
  <c r="C24" i="49" s="1"/>
  <c r="C25" i="49" a="1"/>
  <c r="C25" i="49" s="1"/>
  <c r="C26" i="49" a="1"/>
  <c r="C26" i="49" s="1"/>
  <c r="C27" i="49" a="1"/>
  <c r="C27" i="49" s="1"/>
  <c r="C28" i="49" a="1"/>
  <c r="C28" i="49" s="1"/>
  <c r="C29" i="49" a="1"/>
  <c r="C29" i="49" s="1"/>
  <c r="C30" i="49" a="1"/>
  <c r="C30" i="49" s="1"/>
  <c r="C31" i="49" a="1"/>
  <c r="C31" i="49" s="1"/>
  <c r="C32" i="49" a="1"/>
  <c r="C32" i="49" s="1"/>
  <c r="C33" i="49" a="1"/>
  <c r="C33" i="49" s="1"/>
  <c r="C34" i="49" a="1"/>
  <c r="C34" i="49" s="1"/>
  <c r="C35" i="49" a="1"/>
  <c r="C35" i="49" s="1"/>
  <c r="C36" i="49" a="1"/>
  <c r="C36" i="49" s="1"/>
  <c r="C37" i="49" a="1"/>
  <c r="C37" i="49" s="1"/>
  <c r="C38" i="49" a="1"/>
  <c r="C38" i="49" s="1"/>
  <c r="C39" i="49" a="1"/>
  <c r="C39" i="49" s="1"/>
  <c r="C40" i="49" a="1"/>
  <c r="C40" i="49" s="1"/>
  <c r="C41" i="49" a="1"/>
  <c r="C41" i="49" s="1"/>
  <c r="C42" i="49" a="1"/>
  <c r="C42" i="49" s="1"/>
  <c r="C43" i="49" a="1"/>
  <c r="C43" i="49" s="1"/>
  <c r="C44" i="49" a="1"/>
  <c r="C44" i="49" s="1"/>
  <c r="C45" i="49" a="1"/>
  <c r="C45" i="49" s="1"/>
  <c r="C46" i="49" a="1"/>
  <c r="C46" i="49" s="1"/>
  <c r="C47" i="49" a="1"/>
  <c r="C47" i="49" s="1"/>
  <c r="C48" i="49" a="1"/>
  <c r="C48" i="49" s="1"/>
  <c r="C49" i="49" a="1"/>
  <c r="C49" i="49" s="1"/>
  <c r="C50" i="49" a="1"/>
  <c r="C50" i="49" s="1"/>
  <c r="C51" i="49" a="1"/>
  <c r="C51" i="49" s="1"/>
  <c r="C52" i="49" a="1"/>
  <c r="C52" i="49" s="1"/>
  <c r="C53" i="49" a="1"/>
  <c r="C53" i="49" s="1"/>
  <c r="C54" i="49" a="1"/>
  <c r="C54" i="49" s="1"/>
  <c r="C55" i="49" a="1"/>
  <c r="C55" i="49" s="1"/>
  <c r="C56" i="49" a="1"/>
  <c r="C56" i="49" s="1"/>
  <c r="C57" i="49" a="1"/>
  <c r="C57" i="49" s="1"/>
  <c r="C58" i="49" a="1"/>
  <c r="C58" i="49" s="1"/>
  <c r="C59" i="49" a="1"/>
  <c r="C59" i="49" s="1"/>
  <c r="C60" i="49" a="1"/>
  <c r="C60" i="49" s="1"/>
  <c r="C61" i="49" a="1"/>
  <c r="C61" i="49" s="1"/>
  <c r="C62" i="49" a="1"/>
  <c r="C62" i="49" s="1"/>
  <c r="C63" i="49" a="1"/>
  <c r="C63" i="49" s="1"/>
  <c r="C64" i="49" a="1"/>
  <c r="C64" i="49" s="1"/>
  <c r="C65" i="49" a="1"/>
  <c r="C65" i="49" s="1"/>
  <c r="C66" i="49" a="1"/>
  <c r="C66" i="49" s="1"/>
  <c r="C67" i="49" a="1"/>
  <c r="C67" i="49" s="1"/>
  <c r="C68" i="49" a="1"/>
  <c r="C68" i="49" s="1"/>
  <c r="C69" i="49" a="1"/>
  <c r="C69" i="49" s="1"/>
  <c r="C70" i="49" a="1"/>
  <c r="C70" i="49" s="1"/>
  <c r="C71" i="49" a="1"/>
  <c r="C71" i="49" s="1"/>
  <c r="C72" i="49" a="1"/>
  <c r="C72" i="49" s="1"/>
  <c r="C73" i="49" a="1"/>
  <c r="C73" i="49" s="1"/>
  <c r="C74" i="49" a="1"/>
  <c r="C74" i="49" s="1"/>
  <c r="C75" i="49" a="1"/>
  <c r="C75" i="49" s="1"/>
  <c r="C76" i="49" a="1"/>
  <c r="C76" i="49" s="1"/>
  <c r="C77" i="49" a="1"/>
  <c r="C77" i="49" s="1"/>
  <c r="C78" i="49" a="1"/>
  <c r="C78" i="49" s="1"/>
  <c r="C79" i="49" a="1"/>
  <c r="C79" i="49" s="1"/>
  <c r="C80" i="49" a="1"/>
  <c r="C80" i="49" s="1"/>
  <c r="C81" i="49" a="1"/>
  <c r="C81" i="49" s="1"/>
  <c r="C82" i="49" a="1"/>
  <c r="C82" i="49" s="1"/>
  <c r="C83" i="49" a="1"/>
  <c r="C83" i="49" s="1"/>
  <c r="C84" i="49" a="1"/>
  <c r="C84" i="49" s="1"/>
  <c r="C85" i="49" a="1"/>
  <c r="C85" i="49" s="1"/>
  <c r="C86" i="49" a="1"/>
  <c r="C86" i="49" s="1"/>
  <c r="C87" i="49" a="1"/>
  <c r="C87" i="49" s="1"/>
  <c r="C88" i="49" a="1"/>
  <c r="C88" i="49" s="1"/>
  <c r="C89" i="49" a="1"/>
  <c r="C89" i="49" s="1"/>
  <c r="C90" i="49" a="1"/>
  <c r="C90" i="49" s="1"/>
  <c r="C91" i="49" a="1"/>
  <c r="C91" i="49" s="1"/>
  <c r="C92" i="49" a="1"/>
  <c r="C92" i="49" s="1"/>
  <c r="C93" i="49" a="1"/>
  <c r="C93" i="49" s="1"/>
  <c r="C94" i="49" a="1"/>
  <c r="C94" i="49" s="1"/>
  <c r="C95" i="49" a="1"/>
  <c r="C95" i="49" s="1"/>
  <c r="C96" i="49" a="1"/>
  <c r="C96" i="49" s="1"/>
  <c r="C97" i="49" a="1"/>
  <c r="C97" i="49" s="1"/>
  <c r="C98" i="49" a="1"/>
  <c r="C98" i="49" s="1"/>
  <c r="C99" i="49" a="1"/>
  <c r="C99" i="49" s="1"/>
  <c r="C100" i="49" a="1"/>
  <c r="C100" i="49" s="1"/>
  <c r="C101" i="49" a="1"/>
  <c r="C101" i="49" s="1"/>
  <c r="C102" i="49" a="1"/>
  <c r="C102" i="49" s="1"/>
  <c r="C103" i="49" a="1"/>
  <c r="C103" i="49" s="1"/>
  <c r="C104" i="49" a="1"/>
  <c r="C104" i="49" s="1"/>
  <c r="C105" i="49" a="1"/>
  <c r="C105" i="49" s="1"/>
  <c r="C106" i="49" a="1"/>
  <c r="C106" i="49" s="1"/>
  <c r="K60" i="41"/>
  <c r="K59" i="41"/>
  <c r="K58" i="41"/>
  <c r="K57" i="41"/>
  <c r="K56" i="41"/>
  <c r="K55" i="41"/>
  <c r="K54" i="41"/>
  <c r="K53" i="41"/>
  <c r="K52" i="41"/>
  <c r="K51" i="41"/>
  <c r="K50" i="41"/>
  <c r="K49" i="41"/>
  <c r="K48" i="41"/>
  <c r="O48" i="41" s="1"/>
  <c r="K47" i="41"/>
  <c r="M47" i="41" s="1"/>
  <c r="K46" i="41"/>
  <c r="K42" i="41"/>
  <c r="M42" i="41" s="1"/>
  <c r="K41" i="41"/>
  <c r="K40"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9" i="41"/>
  <c r="K8" i="41"/>
  <c r="K7" i="41"/>
  <c r="K6" i="41"/>
  <c r="K5" i="41"/>
  <c r="K4" i="41"/>
  <c r="J24" i="41"/>
  <c r="J25" i="41"/>
  <c r="J26" i="41"/>
  <c r="J27" i="41"/>
  <c r="J28" i="41"/>
  <c r="J29" i="41"/>
  <c r="J30" i="41"/>
  <c r="J31" i="41"/>
  <c r="J32" i="41"/>
  <c r="J33" i="41"/>
  <c r="J34" i="41"/>
  <c r="J35" i="41"/>
  <c r="J36" i="41"/>
  <c r="J40" i="41"/>
  <c r="J41" i="41"/>
  <c r="J42" i="41"/>
  <c r="N42" i="41" s="1"/>
  <c r="J46" i="41"/>
  <c r="N46" i="41" s="1"/>
  <c r="J47" i="41"/>
  <c r="J48" i="41"/>
  <c r="J49" i="41"/>
  <c r="J50" i="41"/>
  <c r="J51" i="41"/>
  <c r="J52" i="41"/>
  <c r="J53" i="41"/>
  <c r="J54" i="41"/>
  <c r="J55" i="41"/>
  <c r="J56" i="41"/>
  <c r="J57" i="41"/>
  <c r="J58" i="41"/>
  <c r="J59" i="41"/>
  <c r="J60" i="41"/>
  <c r="J5" i="41"/>
  <c r="J6" i="41"/>
  <c r="J7" i="41"/>
  <c r="J8" i="41"/>
  <c r="J9" i="41"/>
  <c r="J10" i="41"/>
  <c r="J11" i="41"/>
  <c r="J12" i="41"/>
  <c r="J13" i="41"/>
  <c r="J14" i="41"/>
  <c r="J15" i="41"/>
  <c r="J16" i="41"/>
  <c r="J17" i="41"/>
  <c r="J18" i="41"/>
  <c r="J19" i="41"/>
  <c r="J20" i="41"/>
  <c r="J21" i="41"/>
  <c r="J22" i="41"/>
  <c r="J23" i="41"/>
  <c r="J4" i="41"/>
  <c r="I21" i="49" l="1"/>
  <c r="I22" i="49"/>
  <c r="N43" i="41"/>
  <c r="N48" i="41"/>
  <c r="O44" i="41"/>
  <c r="N38" i="41"/>
  <c r="M44" i="41"/>
  <c r="N37" i="41"/>
  <c r="M43" i="41"/>
  <c r="I112" i="49"/>
  <c r="I111" i="49"/>
  <c r="I116" i="49"/>
  <c r="I115" i="49"/>
  <c r="I108" i="49"/>
  <c r="I107" i="49"/>
  <c r="I118" i="49"/>
  <c r="I117" i="49"/>
  <c r="I114" i="49"/>
  <c r="I113" i="49"/>
  <c r="I110" i="49"/>
  <c r="I109" i="49"/>
  <c r="N44" i="41"/>
  <c r="L45" i="41"/>
  <c r="M39" i="41"/>
  <c r="J76" i="49" s="1"/>
  <c r="M37" i="41"/>
  <c r="L39" i="41"/>
  <c r="J75" i="49" s="1"/>
  <c r="O39" i="41"/>
  <c r="M45" i="41"/>
  <c r="L42" i="41"/>
  <c r="O38" i="41"/>
  <c r="M48" i="41"/>
  <c r="S45" i="37"/>
  <c r="U45" i="37"/>
  <c r="R46" i="37"/>
  <c r="U44" i="37"/>
  <c r="T44" i="37"/>
  <c r="T46" i="37"/>
  <c r="S44" i="37"/>
  <c r="R39" i="37"/>
  <c r="T38" i="37"/>
  <c r="R38" i="37"/>
  <c r="R40" i="37"/>
  <c r="T40" i="37"/>
  <c r="S46" i="37"/>
  <c r="U46" i="37"/>
  <c r="R44" i="37"/>
  <c r="S38" i="37"/>
  <c r="T45" i="37"/>
  <c r="U38" i="37"/>
  <c r="R45" i="37"/>
  <c r="S39" i="37"/>
  <c r="U39" i="37"/>
  <c r="S40" i="37"/>
  <c r="U40" i="37"/>
  <c r="T39" i="37"/>
  <c r="I106" i="49"/>
  <c r="I95" i="49"/>
  <c r="J82" i="49"/>
  <c r="I97" i="49"/>
  <c r="I85" i="49"/>
  <c r="I83" i="49"/>
  <c r="O47" i="41"/>
  <c r="L46" i="41"/>
  <c r="L47" i="41"/>
  <c r="N47" i="41"/>
  <c r="I77" i="49"/>
  <c r="I67" i="49"/>
  <c r="I65" i="49"/>
  <c r="I47" i="49"/>
  <c r="I31" i="49"/>
  <c r="I81" i="49"/>
  <c r="I101" i="49"/>
  <c r="I89" i="49"/>
  <c r="I61" i="49"/>
  <c r="I25" i="49"/>
  <c r="I17" i="49"/>
  <c r="I9" i="49"/>
  <c r="I93" i="49"/>
  <c r="I57" i="49"/>
  <c r="I29" i="49"/>
  <c r="I13" i="49"/>
  <c r="I73" i="49"/>
  <c r="I45" i="49"/>
  <c r="I105" i="49"/>
  <c r="I41" i="49"/>
  <c r="I15" i="49"/>
  <c r="I14" i="49"/>
  <c r="I90" i="49"/>
  <c r="I84" i="49"/>
  <c r="I58" i="49"/>
  <c r="I52" i="49"/>
  <c r="I39" i="49"/>
  <c r="I26" i="49"/>
  <c r="I20" i="49"/>
  <c r="I7" i="49"/>
  <c r="I99" i="49"/>
  <c r="I91" i="49"/>
  <c r="I102" i="49"/>
  <c r="I96" i="49"/>
  <c r="I70" i="49"/>
  <c r="I64" i="49"/>
  <c r="I51" i="49"/>
  <c r="I38" i="49"/>
  <c r="I32" i="49"/>
  <c r="I19" i="49"/>
  <c r="I6" i="49"/>
  <c r="I103" i="49"/>
  <c r="I71" i="49"/>
  <c r="I28" i="49"/>
  <c r="I46" i="49"/>
  <c r="I33" i="49"/>
  <c r="I76" i="49"/>
  <c r="I92" i="49"/>
  <c r="I34" i="49"/>
  <c r="I59" i="49"/>
  <c r="I27" i="49"/>
  <c r="I8" i="49"/>
  <c r="I94" i="49"/>
  <c r="I88" i="49"/>
  <c r="K81" i="49"/>
  <c r="K75" i="49"/>
  <c r="I62" i="49"/>
  <c r="I56" i="49"/>
  <c r="I49" i="49"/>
  <c r="I43" i="49"/>
  <c r="I30" i="49"/>
  <c r="I24" i="49"/>
  <c r="I11" i="49"/>
  <c r="I75" i="49"/>
  <c r="I60" i="49"/>
  <c r="I53" i="49"/>
  <c r="I78" i="49"/>
  <c r="I82" i="49"/>
  <c r="I50" i="49"/>
  <c r="I44" i="49"/>
  <c r="I37" i="49"/>
  <c r="I18" i="49"/>
  <c r="I12" i="49"/>
  <c r="I100" i="49"/>
  <c r="I74" i="49"/>
  <c r="I68" i="49"/>
  <c r="I55" i="49"/>
  <c r="I42" i="49"/>
  <c r="I36" i="49"/>
  <c r="I23" i="49"/>
  <c r="I10" i="49"/>
  <c r="I87" i="49"/>
  <c r="I79" i="49"/>
  <c r="I69" i="49"/>
  <c r="I98" i="49"/>
  <c r="I72" i="49"/>
  <c r="I40" i="49"/>
  <c r="I86" i="49"/>
  <c r="I80" i="49"/>
  <c r="I54" i="49"/>
  <c r="I48" i="49"/>
  <c r="I35" i="49"/>
  <c r="I16" i="49"/>
  <c r="I104" i="49"/>
  <c r="I63" i="49"/>
  <c r="I66" i="49"/>
  <c r="L48" i="41"/>
  <c r="M46" i="41"/>
  <c r="O46" i="41"/>
  <c r="O42" i="41"/>
  <c r="J81" i="49" l="1"/>
  <c r="K76" i="49"/>
  <c r="K82" i="49"/>
  <c r="O5" i="37"/>
  <c r="Q5" i="37" s="1"/>
  <c r="F6" i="49" s="1"/>
  <c r="L6" i="49" s="1"/>
  <c r="O6" i="37"/>
  <c r="Q6" i="37" s="1"/>
  <c r="F8" i="49" s="1"/>
  <c r="L8" i="49" s="1"/>
  <c r="O7" i="37"/>
  <c r="Q7" i="37" s="1"/>
  <c r="F10" i="49" s="1"/>
  <c r="L10" i="49" s="1"/>
  <c r="O8" i="37"/>
  <c r="Q8" i="37" s="1"/>
  <c r="F12" i="49" s="1"/>
  <c r="L12" i="49" s="1"/>
  <c r="O9" i="37"/>
  <c r="Q9" i="37" s="1"/>
  <c r="F14" i="49" s="1"/>
  <c r="L14" i="49" s="1"/>
  <c r="O10" i="37"/>
  <c r="Q10" i="37" s="1"/>
  <c r="F16" i="49" s="1"/>
  <c r="L16" i="49" s="1"/>
  <c r="O11" i="37"/>
  <c r="Q11" i="37" s="1"/>
  <c r="F18" i="49" s="1"/>
  <c r="L18" i="49" s="1"/>
  <c r="O12" i="37"/>
  <c r="Q12" i="37" s="1"/>
  <c r="F20" i="49" s="1"/>
  <c r="L20" i="49" s="1"/>
  <c r="O13" i="37"/>
  <c r="Q13" i="37" s="1"/>
  <c r="F22" i="49" s="1"/>
  <c r="L22" i="49" s="1"/>
  <c r="O14" i="37"/>
  <c r="Q14" i="37" s="1"/>
  <c r="F24" i="49" s="1"/>
  <c r="L24" i="49" s="1"/>
  <c r="O15" i="37"/>
  <c r="Q15" i="37" s="1"/>
  <c r="F26" i="49" s="1"/>
  <c r="L26" i="49" s="1"/>
  <c r="O16" i="37"/>
  <c r="Q16" i="37" s="1"/>
  <c r="F28" i="49" s="1"/>
  <c r="L28" i="49" s="1"/>
  <c r="O17" i="37"/>
  <c r="Q17" i="37" s="1"/>
  <c r="F30" i="49" s="1"/>
  <c r="L30" i="49" s="1"/>
  <c r="O18" i="37"/>
  <c r="Q18" i="37" s="1"/>
  <c r="F32" i="49" s="1"/>
  <c r="L32" i="49" s="1"/>
  <c r="O19" i="37"/>
  <c r="Q19" i="37" s="1"/>
  <c r="F34" i="49" s="1"/>
  <c r="L34" i="49" s="1"/>
  <c r="O20" i="37"/>
  <c r="Q20" i="37" s="1"/>
  <c r="F36" i="49" s="1"/>
  <c r="L36" i="49" s="1"/>
  <c r="O21" i="37"/>
  <c r="Q21" i="37" s="1"/>
  <c r="F38" i="49" s="1"/>
  <c r="L38" i="49" s="1"/>
  <c r="O22" i="37"/>
  <c r="Q22" i="37" s="1"/>
  <c r="F40" i="49" s="1"/>
  <c r="L40" i="49" s="1"/>
  <c r="O23" i="37"/>
  <c r="Q23" i="37" s="1"/>
  <c r="F42" i="49" s="1"/>
  <c r="L42" i="49" s="1"/>
  <c r="O24" i="37"/>
  <c r="Q24" i="37" s="1"/>
  <c r="F44" i="49" s="1"/>
  <c r="L44" i="49" s="1"/>
  <c r="O25" i="37"/>
  <c r="Q25" i="37" s="1"/>
  <c r="F46" i="49" s="1"/>
  <c r="L46" i="49" s="1"/>
  <c r="O26" i="37"/>
  <c r="Q26" i="37" s="1"/>
  <c r="F48" i="49" s="1"/>
  <c r="L48" i="49" s="1"/>
  <c r="O27" i="37"/>
  <c r="Q27" i="37" s="1"/>
  <c r="F50" i="49" s="1"/>
  <c r="L50" i="49" s="1"/>
  <c r="O28" i="37"/>
  <c r="Q28" i="37" s="1"/>
  <c r="F52" i="49" s="1"/>
  <c r="L52" i="49" s="1"/>
  <c r="O29" i="37"/>
  <c r="Q29" i="37" s="1"/>
  <c r="F54" i="49" s="1"/>
  <c r="L54" i="49" s="1"/>
  <c r="O30" i="37"/>
  <c r="Q30" i="37" s="1"/>
  <c r="F56" i="49" s="1"/>
  <c r="L56" i="49" s="1"/>
  <c r="O31" i="37"/>
  <c r="Q31" i="37" s="1"/>
  <c r="F58" i="49" s="1"/>
  <c r="L58" i="49" s="1"/>
  <c r="O32" i="37"/>
  <c r="Q32" i="37" s="1"/>
  <c r="F60" i="49" s="1"/>
  <c r="L60" i="49" s="1"/>
  <c r="O33" i="37"/>
  <c r="Q33" i="37" s="1"/>
  <c r="F62" i="49" s="1"/>
  <c r="L62" i="49" s="1"/>
  <c r="O34" i="37"/>
  <c r="Q34" i="37" s="1"/>
  <c r="F64" i="49" s="1"/>
  <c r="L64" i="49" s="1"/>
  <c r="O35" i="37"/>
  <c r="Q35" i="37" s="1"/>
  <c r="F66" i="49" s="1"/>
  <c r="L66" i="49" s="1"/>
  <c r="O36" i="37"/>
  <c r="Q36" i="37" s="1"/>
  <c r="F68" i="49" s="1"/>
  <c r="L68" i="49" s="1"/>
  <c r="O37" i="37"/>
  <c r="Q37" i="37" s="1"/>
  <c r="F70" i="49" s="1"/>
  <c r="L70" i="49" s="1"/>
  <c r="O41" i="37"/>
  <c r="Q41" i="37" s="1"/>
  <c r="F72" i="49" s="1"/>
  <c r="L72" i="49" s="1"/>
  <c r="O42" i="37"/>
  <c r="Q42" i="37" s="1"/>
  <c r="F74" i="49" s="1"/>
  <c r="L74" i="49" s="1"/>
  <c r="O43" i="37"/>
  <c r="Q43" i="37" s="1"/>
  <c r="F76" i="49" s="1"/>
  <c r="L76" i="49" s="1"/>
  <c r="O47" i="37"/>
  <c r="Q47" i="37" s="1"/>
  <c r="O48" i="37"/>
  <c r="Q48" i="37" s="1"/>
  <c r="O49" i="37"/>
  <c r="Q49" i="37" s="1"/>
  <c r="O50" i="37"/>
  <c r="Q50" i="37" s="1"/>
  <c r="O51" i="37"/>
  <c r="Q51" i="37" s="1"/>
  <c r="F86" i="49" s="1"/>
  <c r="L86" i="49" s="1"/>
  <c r="O52" i="37"/>
  <c r="Q52" i="37" s="1"/>
  <c r="F88" i="49" s="1"/>
  <c r="L88" i="49" s="1"/>
  <c r="O53" i="37"/>
  <c r="Q53" i="37" s="1"/>
  <c r="O54" i="37"/>
  <c r="Q54" i="37" s="1"/>
  <c r="O55" i="37"/>
  <c r="Q55" i="37" s="1"/>
  <c r="F106" i="49" s="1"/>
  <c r="O56" i="37"/>
  <c r="Q56" i="37" s="1"/>
  <c r="F108" i="49" s="1"/>
  <c r="O57" i="37"/>
  <c r="Q57" i="37" s="1"/>
  <c r="F110" i="49" s="1"/>
  <c r="O58" i="37"/>
  <c r="Q58" i="37" s="1"/>
  <c r="F112" i="49" s="1"/>
  <c r="O59" i="37"/>
  <c r="Q59" i="37" s="1"/>
  <c r="O60" i="37"/>
  <c r="Q60" i="37" s="1"/>
  <c r="O61" i="37"/>
  <c r="Q61" i="37" s="1"/>
  <c r="F118" i="49" s="1"/>
  <c r="N61" i="37"/>
  <c r="P61" i="37" s="1"/>
  <c r="F117" i="49" s="1"/>
  <c r="N5" i="37"/>
  <c r="P5" i="37" s="1"/>
  <c r="N6" i="37"/>
  <c r="P6" i="37" s="1"/>
  <c r="F7" i="49" s="1"/>
  <c r="L7" i="49" s="1"/>
  <c r="N7" i="37"/>
  <c r="P7" i="37" s="1"/>
  <c r="F9" i="49" s="1"/>
  <c r="L9" i="49" s="1"/>
  <c r="N8" i="37"/>
  <c r="P8" i="37" s="1"/>
  <c r="F11" i="49" s="1"/>
  <c r="L11" i="49" s="1"/>
  <c r="N9" i="37"/>
  <c r="P9" i="37" s="1"/>
  <c r="F13" i="49" s="1"/>
  <c r="L13" i="49" s="1"/>
  <c r="N10" i="37"/>
  <c r="P10" i="37" s="1"/>
  <c r="F15" i="49" s="1"/>
  <c r="L15" i="49" s="1"/>
  <c r="N11" i="37"/>
  <c r="P11" i="37" s="1"/>
  <c r="F17" i="49" s="1"/>
  <c r="L17" i="49" s="1"/>
  <c r="N12" i="37"/>
  <c r="P12" i="37" s="1"/>
  <c r="F19" i="49" s="1"/>
  <c r="L19" i="49" s="1"/>
  <c r="N13" i="37"/>
  <c r="P13" i="37" s="1"/>
  <c r="F21" i="49" s="1"/>
  <c r="L21" i="49" s="1"/>
  <c r="N14" i="37"/>
  <c r="P14" i="37" s="1"/>
  <c r="F23" i="49" s="1"/>
  <c r="L23" i="49" s="1"/>
  <c r="N15" i="37"/>
  <c r="P15" i="37" s="1"/>
  <c r="F25" i="49" s="1"/>
  <c r="L25" i="49" s="1"/>
  <c r="N16" i="37"/>
  <c r="P16" i="37" s="1"/>
  <c r="F27" i="49" s="1"/>
  <c r="L27" i="49" s="1"/>
  <c r="N17" i="37"/>
  <c r="P17" i="37" s="1"/>
  <c r="F29" i="49" s="1"/>
  <c r="L29" i="49" s="1"/>
  <c r="N18" i="37"/>
  <c r="P18" i="37" s="1"/>
  <c r="F31" i="49" s="1"/>
  <c r="L31" i="49" s="1"/>
  <c r="N19" i="37"/>
  <c r="P19" i="37" s="1"/>
  <c r="F33" i="49" s="1"/>
  <c r="L33" i="49" s="1"/>
  <c r="N20" i="37"/>
  <c r="P20" i="37" s="1"/>
  <c r="F35" i="49" s="1"/>
  <c r="L35" i="49" s="1"/>
  <c r="N21" i="37"/>
  <c r="P21" i="37" s="1"/>
  <c r="F37" i="49" s="1"/>
  <c r="L37" i="49" s="1"/>
  <c r="N22" i="37"/>
  <c r="P22" i="37" s="1"/>
  <c r="F39" i="49" s="1"/>
  <c r="L39" i="49" s="1"/>
  <c r="P23" i="37"/>
  <c r="N24" i="37"/>
  <c r="P24" i="37" s="1"/>
  <c r="F43" i="49" s="1"/>
  <c r="L43" i="49" s="1"/>
  <c r="N25" i="37"/>
  <c r="P25" i="37" s="1"/>
  <c r="F45" i="49" s="1"/>
  <c r="L45" i="49" s="1"/>
  <c r="N26" i="37"/>
  <c r="P26" i="37" s="1"/>
  <c r="F47" i="49" s="1"/>
  <c r="L47" i="49" s="1"/>
  <c r="N27" i="37"/>
  <c r="P27" i="37" s="1"/>
  <c r="F49" i="49" s="1"/>
  <c r="L49" i="49" s="1"/>
  <c r="N28" i="37"/>
  <c r="P28" i="37" s="1"/>
  <c r="F51" i="49" s="1"/>
  <c r="L51" i="49" s="1"/>
  <c r="N29" i="37"/>
  <c r="N30" i="37"/>
  <c r="P30" i="37" s="1"/>
  <c r="F55" i="49" s="1"/>
  <c r="L55" i="49" s="1"/>
  <c r="N31" i="37"/>
  <c r="P31" i="37" s="1"/>
  <c r="F57" i="49" s="1"/>
  <c r="L57" i="49" s="1"/>
  <c r="N32" i="37"/>
  <c r="P32" i="37" s="1"/>
  <c r="F59" i="49" s="1"/>
  <c r="L59" i="49" s="1"/>
  <c r="N33" i="37"/>
  <c r="P33" i="37" s="1"/>
  <c r="F61" i="49" s="1"/>
  <c r="L61" i="49" s="1"/>
  <c r="N34" i="37"/>
  <c r="P34" i="37" s="1"/>
  <c r="F63" i="49" s="1"/>
  <c r="L63" i="49" s="1"/>
  <c r="N35" i="37"/>
  <c r="P35" i="37" s="1"/>
  <c r="F65" i="49" s="1"/>
  <c r="L65" i="49" s="1"/>
  <c r="N36" i="37"/>
  <c r="P36" i="37" s="1"/>
  <c r="F67" i="49" s="1"/>
  <c r="L67" i="49" s="1"/>
  <c r="N37" i="37"/>
  <c r="P37" i="37" s="1"/>
  <c r="F69" i="49" s="1"/>
  <c r="L69" i="49" s="1"/>
  <c r="N41" i="37"/>
  <c r="P41" i="37" s="1"/>
  <c r="F71" i="49" s="1"/>
  <c r="L71" i="49" s="1"/>
  <c r="N42" i="37"/>
  <c r="P42" i="37" s="1"/>
  <c r="F73" i="49" s="1"/>
  <c r="L73" i="49" s="1"/>
  <c r="N43" i="37"/>
  <c r="P43" i="37" s="1"/>
  <c r="F75" i="49" s="1"/>
  <c r="L75" i="49" s="1"/>
  <c r="N47" i="37"/>
  <c r="P47" i="37" s="1"/>
  <c r="N48" i="37"/>
  <c r="P48" i="37" s="1"/>
  <c r="N49" i="37"/>
  <c r="P49" i="37" s="1"/>
  <c r="N50" i="37"/>
  <c r="P50" i="37" s="1"/>
  <c r="F83" i="49" s="1"/>
  <c r="L83" i="49" s="1"/>
  <c r="N51" i="37"/>
  <c r="P51" i="37" s="1"/>
  <c r="F85" i="49" s="1"/>
  <c r="L85" i="49" s="1"/>
  <c r="N52" i="37"/>
  <c r="P52" i="37" s="1"/>
  <c r="N53" i="37"/>
  <c r="N54" i="37"/>
  <c r="P54" i="37" s="1"/>
  <c r="N55" i="37"/>
  <c r="P55" i="37" s="1"/>
  <c r="N56" i="37"/>
  <c r="P56" i="37" s="1"/>
  <c r="F107" i="49" s="1"/>
  <c r="N57" i="37"/>
  <c r="P57" i="37" s="1"/>
  <c r="F109" i="49" s="1"/>
  <c r="N58" i="37"/>
  <c r="P58" i="37" s="1"/>
  <c r="F111" i="49" s="1"/>
  <c r="N59" i="37"/>
  <c r="P59" i="37" s="1"/>
  <c r="F113" i="49" s="1"/>
  <c r="N60" i="37"/>
  <c r="P60" i="37" s="1"/>
  <c r="F115" i="49" s="1"/>
  <c r="F81" i="49" l="1"/>
  <c r="L81" i="49" s="1"/>
  <c r="F77" i="49"/>
  <c r="L77" i="49" s="1"/>
  <c r="F104" i="49"/>
  <c r="F116" i="49"/>
  <c r="F80" i="49"/>
  <c r="L80" i="49" s="1"/>
  <c r="F102" i="49"/>
  <c r="F114" i="49"/>
  <c r="F78" i="49"/>
  <c r="L78" i="49" s="1"/>
  <c r="L108" i="49"/>
  <c r="L112" i="49"/>
  <c r="L107" i="49"/>
  <c r="L115" i="49"/>
  <c r="L111" i="49"/>
  <c r="L118" i="49"/>
  <c r="F79" i="49"/>
  <c r="L79" i="49" s="1"/>
  <c r="L109" i="49"/>
  <c r="L117" i="49"/>
  <c r="L113" i="49"/>
  <c r="F82" i="49"/>
  <c r="L82" i="49" s="1"/>
  <c r="L110" i="49"/>
  <c r="F99" i="49"/>
  <c r="L99" i="49" s="1"/>
  <c r="F92" i="49"/>
  <c r="L92" i="49" s="1"/>
  <c r="F97" i="49"/>
  <c r="L97" i="49" s="1"/>
  <c r="L106" i="49"/>
  <c r="F90" i="49"/>
  <c r="L90" i="49" s="1"/>
  <c r="F91" i="49"/>
  <c r="L91" i="49" s="1"/>
  <c r="F93" i="49"/>
  <c r="F100" i="49"/>
  <c r="L100" i="49" s="1"/>
  <c r="F84" i="49"/>
  <c r="L84" i="49" s="1"/>
  <c r="F98" i="49"/>
  <c r="L98" i="49" s="1"/>
  <c r="F105" i="49"/>
  <c r="F103" i="49"/>
  <c r="F87" i="49"/>
  <c r="L87" i="49" s="1"/>
  <c r="F96" i="49"/>
  <c r="L96" i="49" s="1"/>
  <c r="F94" i="49"/>
  <c r="P29" i="37"/>
  <c r="F53" i="49" s="1"/>
  <c r="L53" i="49" s="1"/>
  <c r="P53" i="37"/>
  <c r="F89" i="49" s="1"/>
  <c r="L89" i="49" s="1"/>
  <c r="F41" i="49"/>
  <c r="L41" i="49" s="1"/>
  <c r="R61" i="37"/>
  <c r="G117" i="49" s="1"/>
  <c r="S61" i="37"/>
  <c r="G118" i="49" s="1"/>
  <c r="U61" i="37"/>
  <c r="H118" i="49" s="1"/>
  <c r="T60" i="37"/>
  <c r="H115" i="49" s="1"/>
  <c r="U60" i="37"/>
  <c r="H116" i="49" s="1"/>
  <c r="S60" i="37"/>
  <c r="G116" i="49" s="1"/>
  <c r="R59" i="37"/>
  <c r="G113" i="49" s="1"/>
  <c r="S59" i="37"/>
  <c r="G114" i="49" s="1"/>
  <c r="R20" i="37"/>
  <c r="G35" i="49" s="1"/>
  <c r="R21" i="37"/>
  <c r="G37" i="49" s="1"/>
  <c r="T22" i="37"/>
  <c r="H39" i="49" s="1"/>
  <c r="S21" i="37"/>
  <c r="G38" i="49" s="1"/>
  <c r="T17" i="37"/>
  <c r="H29" i="49" s="1"/>
  <c r="R19" i="37"/>
  <c r="G33" i="49" s="1"/>
  <c r="U17" i="37"/>
  <c r="H30" i="49" s="1"/>
  <c r="S18" i="37"/>
  <c r="G32" i="49" s="1"/>
  <c r="S19" i="37"/>
  <c r="G34" i="49" s="1"/>
  <c r="L94" i="49" l="1"/>
  <c r="L103" i="49"/>
  <c r="L105" i="49"/>
  <c r="L114" i="49"/>
  <c r="L102" i="49"/>
  <c r="L116" i="49"/>
  <c r="L93" i="49"/>
  <c r="L104" i="49"/>
  <c r="F101" i="49"/>
  <c r="F95" i="49"/>
  <c r="L95" i="49" s="1"/>
  <c r="R60" i="37"/>
  <c r="G115" i="49" s="1"/>
  <c r="T61" i="37"/>
  <c r="H117" i="49" s="1"/>
  <c r="U59" i="37"/>
  <c r="H114" i="49" s="1"/>
  <c r="T59" i="37"/>
  <c r="H113" i="49" s="1"/>
  <c r="T21" i="37"/>
  <c r="H37" i="49" s="1"/>
  <c r="U21" i="37"/>
  <c r="H38" i="49" s="1"/>
  <c r="T20" i="37"/>
  <c r="H35" i="49" s="1"/>
  <c r="S22" i="37"/>
  <c r="G40" i="49" s="1"/>
  <c r="U19" i="37"/>
  <c r="H34" i="49" s="1"/>
  <c r="U18" i="37"/>
  <c r="H32" i="49" s="1"/>
  <c r="S20" i="37"/>
  <c r="G36" i="49" s="1"/>
  <c r="T19" i="37"/>
  <c r="H33" i="49" s="1"/>
  <c r="R22" i="37"/>
  <c r="G39" i="49" s="1"/>
  <c r="U22" i="37"/>
  <c r="H40" i="49" s="1"/>
  <c r="U20" i="37"/>
  <c r="H36" i="49" s="1"/>
  <c r="S17" i="37"/>
  <c r="G30" i="49" s="1"/>
  <c r="T18" i="37"/>
  <c r="H31" i="49" s="1"/>
  <c r="R18" i="37"/>
  <c r="G31" i="49" s="1"/>
  <c r="R17" i="37"/>
  <c r="G29" i="49" s="1"/>
  <c r="N10" i="48"/>
  <c r="M10" i="48" s="1"/>
  <c r="N9" i="41"/>
  <c r="K15" i="49" s="1"/>
  <c r="M9" i="41"/>
  <c r="J16" i="49" s="1"/>
  <c r="O9" i="41"/>
  <c r="K16" i="49" s="1"/>
  <c r="L18" i="41"/>
  <c r="J33" i="49" s="1"/>
  <c r="M33" i="49" s="1"/>
  <c r="M18" i="41"/>
  <c r="J34" i="49" s="1"/>
  <c r="M34" i="49" s="1"/>
  <c r="O18" i="41"/>
  <c r="K34" i="49" s="1"/>
  <c r="O15" i="41"/>
  <c r="K28" i="49" s="1"/>
  <c r="L15" i="41"/>
  <c r="J27" i="49" s="1"/>
  <c r="M15" i="41"/>
  <c r="J28" i="49" s="1"/>
  <c r="N15" i="41"/>
  <c r="K27" i="49" s="1"/>
  <c r="M12" i="41"/>
  <c r="J22" i="49" s="1"/>
  <c r="L12" i="41"/>
  <c r="J21" i="49" s="1"/>
  <c r="N12" i="41"/>
  <c r="K21" i="49" s="1"/>
  <c r="L101" i="49" l="1"/>
  <c r="N34" i="49"/>
  <c r="O12" i="41"/>
  <c r="K22" i="49" s="1"/>
  <c r="L9" i="41"/>
  <c r="J15" i="49" s="1"/>
  <c r="N18" i="41"/>
  <c r="K33" i="49" s="1"/>
  <c r="N33" i="49" s="1"/>
  <c r="N124" i="49"/>
  <c r="M124" i="49"/>
  <c r="L124" i="49"/>
  <c r="K124" i="49"/>
  <c r="J124" i="49"/>
  <c r="I124" i="49"/>
  <c r="H124" i="49"/>
  <c r="G124" i="49"/>
  <c r="F124" i="49"/>
  <c r="R10" i="40"/>
  <c r="I10" i="40"/>
  <c r="S10" i="31"/>
  <c r="C10" i="31"/>
  <c r="L16" i="41"/>
  <c r="J29" i="49" s="1"/>
  <c r="M29" i="49" s="1"/>
  <c r="L17" i="41"/>
  <c r="J31" i="49" s="1"/>
  <c r="M31" i="49" s="1"/>
  <c r="N8" i="41"/>
  <c r="K13" i="49" s="1"/>
  <c r="N11" i="41"/>
  <c r="K19" i="49" s="1"/>
  <c r="N13" i="41"/>
  <c r="K23" i="49" s="1"/>
  <c r="N14" i="41"/>
  <c r="K25" i="49" s="1"/>
  <c r="N19" i="41"/>
  <c r="K35" i="49" s="1"/>
  <c r="N35" i="49" s="1"/>
  <c r="N20" i="41"/>
  <c r="K37" i="49" s="1"/>
  <c r="N37" i="49" s="1"/>
  <c r="N31" i="41"/>
  <c r="K59" i="49" s="1"/>
  <c r="N32" i="41"/>
  <c r="K61" i="49" s="1"/>
  <c r="N33" i="41"/>
  <c r="K63" i="49" s="1"/>
  <c r="N34" i="41"/>
  <c r="K65" i="49" s="1"/>
  <c r="N35" i="41"/>
  <c r="K67" i="49" s="1"/>
  <c r="N36" i="41"/>
  <c r="K69" i="49" s="1"/>
  <c r="N23" i="41"/>
  <c r="K43" i="49" s="1"/>
  <c r="L40" i="41"/>
  <c r="N41" i="41"/>
  <c r="L49" i="41"/>
  <c r="J83" i="49" s="1"/>
  <c r="N50" i="41"/>
  <c r="K85" i="49" s="1"/>
  <c r="N51" i="41"/>
  <c r="K87" i="49" s="1"/>
  <c r="N52" i="41"/>
  <c r="N54" i="41"/>
  <c r="K93" i="49" s="1"/>
  <c r="N55" i="41"/>
  <c r="K113" i="49" s="1"/>
  <c r="L56" i="41"/>
  <c r="J115" i="49" s="1"/>
  <c r="N58" i="41"/>
  <c r="K107" i="49" s="1"/>
  <c r="N59" i="41"/>
  <c r="K109" i="49" s="1"/>
  <c r="N5" i="41"/>
  <c r="K7" i="49" s="1"/>
  <c r="R5" i="37"/>
  <c r="R7" i="37"/>
  <c r="G9" i="49" s="1"/>
  <c r="R9" i="37"/>
  <c r="G13" i="49" s="1"/>
  <c r="T10" i="37"/>
  <c r="H15" i="49" s="1"/>
  <c r="N15" i="49" s="1"/>
  <c r="R13" i="37"/>
  <c r="G21" i="49" s="1"/>
  <c r="M21" i="49" s="1"/>
  <c r="R15" i="37"/>
  <c r="G25" i="49" s="1"/>
  <c r="T16" i="37"/>
  <c r="H27" i="49" s="1"/>
  <c r="N27" i="49" s="1"/>
  <c r="R23" i="37"/>
  <c r="G41" i="49" s="1"/>
  <c r="T24" i="37"/>
  <c r="H43" i="49" s="1"/>
  <c r="R27" i="37"/>
  <c r="G49" i="49" s="1"/>
  <c r="T30" i="37"/>
  <c r="H55" i="49" s="1"/>
  <c r="R31" i="37"/>
  <c r="G57" i="49" s="1"/>
  <c r="T32" i="37"/>
  <c r="H59" i="49" s="1"/>
  <c r="R35" i="37"/>
  <c r="G65" i="49" s="1"/>
  <c r="T37" i="37"/>
  <c r="H69" i="49" s="1"/>
  <c r="R43" i="37"/>
  <c r="G75" i="49" s="1"/>
  <c r="M75" i="49" s="1"/>
  <c r="T47" i="37"/>
  <c r="R51" i="37"/>
  <c r="T53" i="37"/>
  <c r="T55" i="37"/>
  <c r="R56" i="37"/>
  <c r="G107" i="49" s="1"/>
  <c r="S8" i="37"/>
  <c r="G12" i="49" s="1"/>
  <c r="U9" i="37"/>
  <c r="H14" i="49" s="1"/>
  <c r="U11" i="37"/>
  <c r="H18" i="49" s="1"/>
  <c r="U12" i="37"/>
  <c r="H20" i="49" s="1"/>
  <c r="S13" i="37"/>
  <c r="G22" i="49" s="1"/>
  <c r="M22" i="49" s="1"/>
  <c r="U15" i="37"/>
  <c r="H26" i="49" s="1"/>
  <c r="S16" i="37"/>
  <c r="G28" i="49" s="1"/>
  <c r="M28" i="49" s="1"/>
  <c r="U25" i="37"/>
  <c r="H46" i="49" s="1"/>
  <c r="U26" i="37"/>
  <c r="H48" i="49" s="1"/>
  <c r="U29" i="37"/>
  <c r="H54" i="49" s="1"/>
  <c r="S30" i="37"/>
  <c r="G56" i="49" s="1"/>
  <c r="U31" i="37"/>
  <c r="H58" i="49" s="1"/>
  <c r="U33" i="37"/>
  <c r="H62" i="49" s="1"/>
  <c r="U34" i="37"/>
  <c r="H64" i="49" s="1"/>
  <c r="U37" i="37"/>
  <c r="H70" i="49" s="1"/>
  <c r="U43" i="37"/>
  <c r="H76" i="49" s="1"/>
  <c r="N76" i="49" s="1"/>
  <c r="U47" i="37"/>
  <c r="U48" i="37"/>
  <c r="U51" i="37"/>
  <c r="U53" i="37"/>
  <c r="S54" i="37"/>
  <c r="U55" i="37"/>
  <c r="U56" i="37"/>
  <c r="H108" i="49" s="1"/>
  <c r="U6" i="37"/>
  <c r="H8" i="49" s="1"/>
  <c r="U7" i="37"/>
  <c r="H10" i="49" s="1"/>
  <c r="M115" i="49" l="1"/>
  <c r="N113" i="49"/>
  <c r="K101" i="49"/>
  <c r="H102" i="49"/>
  <c r="H86" i="49"/>
  <c r="J71" i="49"/>
  <c r="J77" i="49"/>
  <c r="K73" i="49"/>
  <c r="K79" i="49"/>
  <c r="N69" i="49"/>
  <c r="N59" i="49"/>
  <c r="N43" i="49"/>
  <c r="T8" i="37"/>
  <c r="H11" i="49" s="1"/>
  <c r="U23" i="37"/>
  <c r="H42" i="49" s="1"/>
  <c r="N30" i="41"/>
  <c r="K57" i="49" s="1"/>
  <c r="N12" i="48"/>
  <c r="N11" i="48"/>
  <c r="M11" i="48" s="1"/>
  <c r="N28" i="41"/>
  <c r="K53" i="49" s="1"/>
  <c r="M58" i="41"/>
  <c r="J108" i="49" s="1"/>
  <c r="O57" i="41"/>
  <c r="K118" i="49" s="1"/>
  <c r="O56" i="41"/>
  <c r="K116" i="49" s="1"/>
  <c r="O55" i="41"/>
  <c r="K114" i="49" s="1"/>
  <c r="O50" i="41"/>
  <c r="K86" i="49" s="1"/>
  <c r="O49" i="41"/>
  <c r="K84" i="49" s="1"/>
  <c r="O41" i="41"/>
  <c r="O40" i="41"/>
  <c r="O24" i="41"/>
  <c r="K46" i="49" s="1"/>
  <c r="N46" i="49" s="1"/>
  <c r="M36" i="41"/>
  <c r="J70" i="49" s="1"/>
  <c r="O34" i="41"/>
  <c r="K66" i="49" s="1"/>
  <c r="O33" i="41"/>
  <c r="K64" i="49" s="1"/>
  <c r="N64" i="49" s="1"/>
  <c r="O31" i="41"/>
  <c r="K60" i="49" s="1"/>
  <c r="N15" i="48"/>
  <c r="N14" i="48"/>
  <c r="M14" i="48" s="1"/>
  <c r="O28" i="41"/>
  <c r="K54" i="49" s="1"/>
  <c r="N54" i="49" s="1"/>
  <c r="N13" i="48"/>
  <c r="M13" i="48" s="1"/>
  <c r="O26" i="41"/>
  <c r="K50" i="49" s="1"/>
  <c r="O25" i="41"/>
  <c r="K48" i="49" s="1"/>
  <c r="N48" i="49" s="1"/>
  <c r="O20" i="41"/>
  <c r="K38" i="49" s="1"/>
  <c r="N38" i="49" s="1"/>
  <c r="O14" i="41"/>
  <c r="K26" i="49" s="1"/>
  <c r="N26" i="49" s="1"/>
  <c r="O11" i="41"/>
  <c r="K20" i="49" s="1"/>
  <c r="N20" i="49" s="1"/>
  <c r="O10" i="41"/>
  <c r="K18" i="49" s="1"/>
  <c r="N18" i="49" s="1"/>
  <c r="O4" i="41"/>
  <c r="K6" i="49" s="1"/>
  <c r="O17" i="41"/>
  <c r="K32" i="49" s="1"/>
  <c r="N32" i="49" s="1"/>
  <c r="M16" i="41"/>
  <c r="J30" i="49" s="1"/>
  <c r="M30" i="49" s="1"/>
  <c r="M12" i="31"/>
  <c r="T11" i="40"/>
  <c r="M13" i="31"/>
  <c r="T10" i="40"/>
  <c r="S49" i="37"/>
  <c r="T25" i="37"/>
  <c r="H45" i="49" s="1"/>
  <c r="U41" i="37"/>
  <c r="H72" i="49" s="1"/>
  <c r="T33" i="37"/>
  <c r="H61" i="49" s="1"/>
  <c r="N61" i="49" s="1"/>
  <c r="T49" i="37"/>
  <c r="H93" i="49" s="1"/>
  <c r="N93" i="49" s="1"/>
  <c r="T11" i="37"/>
  <c r="H17" i="49" s="1"/>
  <c r="R36" i="37"/>
  <c r="G67" i="49" s="1"/>
  <c r="R28" i="37"/>
  <c r="G51" i="49" s="1"/>
  <c r="R14" i="37"/>
  <c r="G23" i="49" s="1"/>
  <c r="R6" i="37"/>
  <c r="G7" i="49" s="1"/>
  <c r="T42" i="37"/>
  <c r="H73" i="49" s="1"/>
  <c r="U50" i="37"/>
  <c r="H84" i="49" s="1"/>
  <c r="U36" i="37"/>
  <c r="H68" i="49" s="1"/>
  <c r="U28" i="37"/>
  <c r="H52" i="49" s="1"/>
  <c r="U14" i="37"/>
  <c r="H24" i="49" s="1"/>
  <c r="T57" i="37"/>
  <c r="H109" i="49" s="1"/>
  <c r="N109" i="49" s="1"/>
  <c r="T52" i="37"/>
  <c r="H87" i="49" s="1"/>
  <c r="N87" i="49" s="1"/>
  <c r="N10" i="41"/>
  <c r="K17" i="49" s="1"/>
  <c r="O16" i="41"/>
  <c r="K30" i="49" s="1"/>
  <c r="N30" i="49" s="1"/>
  <c r="N17" i="41"/>
  <c r="K31" i="49" s="1"/>
  <c r="N31" i="49" s="1"/>
  <c r="N25" i="41"/>
  <c r="K47" i="49" s="1"/>
  <c r="N16" i="41"/>
  <c r="K29" i="49" s="1"/>
  <c r="N29" i="49" s="1"/>
  <c r="M28" i="41"/>
  <c r="J54" i="49" s="1"/>
  <c r="O60" i="41"/>
  <c r="K112" i="49" s="1"/>
  <c r="O5" i="41"/>
  <c r="K8" i="49" s="1"/>
  <c r="N8" i="49" s="1"/>
  <c r="M19" i="41"/>
  <c r="J36" i="49" s="1"/>
  <c r="M36" i="49" s="1"/>
  <c r="M8" i="41"/>
  <c r="J14" i="49" s="1"/>
  <c r="M54" i="41"/>
  <c r="M49" i="41"/>
  <c r="J84" i="49" s="1"/>
  <c r="O54" i="41"/>
  <c r="M17" i="41"/>
  <c r="J32" i="49" s="1"/>
  <c r="M32" i="49" s="1"/>
  <c r="M23" i="41"/>
  <c r="J44" i="49" s="1"/>
  <c r="O23" i="41"/>
  <c r="K44" i="49" s="1"/>
  <c r="M30" i="41"/>
  <c r="J58" i="49" s="1"/>
  <c r="O8" i="41"/>
  <c r="K14" i="49" s="1"/>
  <c r="N14" i="49" s="1"/>
  <c r="N22" i="41"/>
  <c r="K41" i="49" s="1"/>
  <c r="M29" i="41"/>
  <c r="J56" i="49" s="1"/>
  <c r="M56" i="49" s="1"/>
  <c r="M53" i="41"/>
  <c r="M7" i="41"/>
  <c r="J12" i="49" s="1"/>
  <c r="M12" i="49" s="1"/>
  <c r="N29" i="41"/>
  <c r="K55" i="49" s="1"/>
  <c r="N55" i="49" s="1"/>
  <c r="N53" i="41"/>
  <c r="K91" i="49" s="1"/>
  <c r="M22" i="41"/>
  <c r="J42" i="49" s="1"/>
  <c r="N7" i="41"/>
  <c r="K11" i="49" s="1"/>
  <c r="M60" i="41"/>
  <c r="J112" i="49" s="1"/>
  <c r="M52" i="41"/>
  <c r="J90" i="49" s="1"/>
  <c r="M14" i="41"/>
  <c r="J26" i="49" s="1"/>
  <c r="N24" i="41"/>
  <c r="K45" i="49" s="1"/>
  <c r="O52" i="41"/>
  <c r="K90" i="49" s="1"/>
  <c r="O21" i="41"/>
  <c r="K40" i="49" s="1"/>
  <c r="N40" i="49" s="1"/>
  <c r="O32" i="41"/>
  <c r="K62" i="49" s="1"/>
  <c r="N62" i="49" s="1"/>
  <c r="N21" i="41"/>
  <c r="K39" i="49" s="1"/>
  <c r="N39" i="49" s="1"/>
  <c r="O59" i="41"/>
  <c r="K110" i="49" s="1"/>
  <c r="N4" i="41"/>
  <c r="N27" i="41"/>
  <c r="K51" i="49" s="1"/>
  <c r="O35" i="41"/>
  <c r="K68" i="49" s="1"/>
  <c r="N26" i="41"/>
  <c r="K49" i="49" s="1"/>
  <c r="O51" i="41"/>
  <c r="K88" i="49" s="1"/>
  <c r="O13" i="41"/>
  <c r="K24" i="49" s="1"/>
  <c r="O27" i="41"/>
  <c r="K52" i="49" s="1"/>
  <c r="O58" i="41"/>
  <c r="K108" i="49" s="1"/>
  <c r="N60" i="41"/>
  <c r="N56" i="41"/>
  <c r="N40" i="41"/>
  <c r="L54" i="41"/>
  <c r="J93" i="49" s="1"/>
  <c r="N49" i="41"/>
  <c r="K83" i="49" s="1"/>
  <c r="L23" i="41"/>
  <c r="J43" i="49" s="1"/>
  <c r="M26" i="41"/>
  <c r="J50" i="49" s="1"/>
  <c r="L30" i="41"/>
  <c r="J57" i="49" s="1"/>
  <c r="M57" i="49" s="1"/>
  <c r="O36" i="41"/>
  <c r="K70" i="49" s="1"/>
  <c r="N70" i="49" s="1"/>
  <c r="L21" i="41"/>
  <c r="J39" i="49" s="1"/>
  <c r="M39" i="49" s="1"/>
  <c r="O30" i="41"/>
  <c r="K58" i="49" s="1"/>
  <c r="N58" i="49" s="1"/>
  <c r="L32" i="41"/>
  <c r="J61" i="49" s="1"/>
  <c r="L19" i="41"/>
  <c r="J35" i="49" s="1"/>
  <c r="M35" i="49" s="1"/>
  <c r="L10" i="41"/>
  <c r="J17" i="49" s="1"/>
  <c r="O19" i="41"/>
  <c r="K36" i="49" s="1"/>
  <c r="N36" i="49" s="1"/>
  <c r="L8" i="41"/>
  <c r="J13" i="49" s="1"/>
  <c r="M13" i="49" s="1"/>
  <c r="M34" i="41"/>
  <c r="J66" i="49" s="1"/>
  <c r="L55" i="41"/>
  <c r="J113" i="49" s="1"/>
  <c r="L50" i="41"/>
  <c r="J85" i="49" s="1"/>
  <c r="L24" i="41"/>
  <c r="J45" i="49" s="1"/>
  <c r="L31" i="41"/>
  <c r="J59" i="49" s="1"/>
  <c r="L20" i="41"/>
  <c r="J37" i="49" s="1"/>
  <c r="M37" i="49" s="1"/>
  <c r="M59" i="41"/>
  <c r="J110" i="49" s="1"/>
  <c r="M51" i="41"/>
  <c r="J88" i="49" s="1"/>
  <c r="M35" i="41"/>
  <c r="J68" i="49" s="1"/>
  <c r="M27" i="41"/>
  <c r="J52" i="49" s="1"/>
  <c r="M13" i="41"/>
  <c r="J24" i="49" s="1"/>
  <c r="M5" i="41"/>
  <c r="J8" i="49" s="1"/>
  <c r="O53" i="41"/>
  <c r="K92" i="49" s="1"/>
  <c r="O22" i="41"/>
  <c r="K42" i="49" s="1"/>
  <c r="O29" i="41"/>
  <c r="K56" i="49" s="1"/>
  <c r="O7" i="41"/>
  <c r="K12" i="49" s="1"/>
  <c r="L53" i="41"/>
  <c r="L22" i="41"/>
  <c r="J41" i="49" s="1"/>
  <c r="M41" i="49" s="1"/>
  <c r="L29" i="41"/>
  <c r="J55" i="49" s="1"/>
  <c r="L7" i="41"/>
  <c r="J11" i="49" s="1"/>
  <c r="M57" i="41"/>
  <c r="M41" i="41"/>
  <c r="M33" i="41"/>
  <c r="J64" i="49" s="1"/>
  <c r="M25" i="41"/>
  <c r="J48" i="49" s="1"/>
  <c r="M11" i="41"/>
  <c r="J20" i="49" s="1"/>
  <c r="L60" i="41"/>
  <c r="J111" i="49" s="1"/>
  <c r="L52" i="41"/>
  <c r="J89" i="49" s="1"/>
  <c r="L36" i="41"/>
  <c r="J69" i="49" s="1"/>
  <c r="L28" i="41"/>
  <c r="J53" i="49" s="1"/>
  <c r="L14" i="41"/>
  <c r="J25" i="49" s="1"/>
  <c r="M25" i="49" s="1"/>
  <c r="M56" i="41"/>
  <c r="M40" i="41"/>
  <c r="M32" i="41"/>
  <c r="J62" i="49" s="1"/>
  <c r="M21" i="41"/>
  <c r="J40" i="49" s="1"/>
  <c r="M40" i="49" s="1"/>
  <c r="M10" i="41"/>
  <c r="J18" i="49" s="1"/>
  <c r="L59" i="41"/>
  <c r="L51" i="41"/>
  <c r="J87" i="49" s="1"/>
  <c r="L35" i="41"/>
  <c r="J67" i="49" s="1"/>
  <c r="L27" i="41"/>
  <c r="J51" i="49" s="1"/>
  <c r="L13" i="41"/>
  <c r="J23" i="49" s="1"/>
  <c r="L5" i="41"/>
  <c r="J7" i="49" s="1"/>
  <c r="M55" i="41"/>
  <c r="J114" i="49" s="1"/>
  <c r="M50" i="41"/>
  <c r="J86" i="49" s="1"/>
  <c r="M24" i="41"/>
  <c r="J46" i="49" s="1"/>
  <c r="M31" i="41"/>
  <c r="J60" i="49" s="1"/>
  <c r="M20" i="41"/>
  <c r="J38" i="49" s="1"/>
  <c r="M38" i="49" s="1"/>
  <c r="L58" i="41"/>
  <c r="J107" i="49" s="1"/>
  <c r="L34" i="41"/>
  <c r="J65" i="49" s="1"/>
  <c r="M65" i="49" s="1"/>
  <c r="L26" i="41"/>
  <c r="J49" i="49" s="1"/>
  <c r="M49" i="49" s="1"/>
  <c r="L4" i="41"/>
  <c r="L57" i="41"/>
  <c r="J117" i="49" s="1"/>
  <c r="L41" i="41"/>
  <c r="L33" i="41"/>
  <c r="J63" i="49" s="1"/>
  <c r="L25" i="41"/>
  <c r="J47" i="49" s="1"/>
  <c r="L11" i="41"/>
  <c r="J19" i="49" s="1"/>
  <c r="M4" i="41"/>
  <c r="J6" i="49" s="1"/>
  <c r="N57" i="41"/>
  <c r="T31" i="37"/>
  <c r="H57" i="49" s="1"/>
  <c r="S28" i="37"/>
  <c r="G52" i="49" s="1"/>
  <c r="U13" i="37"/>
  <c r="H22" i="49" s="1"/>
  <c r="N22" i="49" s="1"/>
  <c r="S23" i="37"/>
  <c r="G42" i="49" s="1"/>
  <c r="T7" i="37"/>
  <c r="H9" i="49" s="1"/>
  <c r="R53" i="37"/>
  <c r="G101" i="49" s="1"/>
  <c r="R37" i="37"/>
  <c r="G69" i="49" s="1"/>
  <c r="S48" i="37"/>
  <c r="S27" i="37"/>
  <c r="G50" i="49" s="1"/>
  <c r="T51" i="37"/>
  <c r="H85" i="49" s="1"/>
  <c r="N85" i="49" s="1"/>
  <c r="T56" i="37"/>
  <c r="H107" i="49" s="1"/>
  <c r="N107" i="49" s="1"/>
  <c r="R52" i="37"/>
  <c r="G87" i="49" s="1"/>
  <c r="R30" i="37"/>
  <c r="G55" i="49" s="1"/>
  <c r="R29" i="37"/>
  <c r="G53" i="49" s="1"/>
  <c r="S14" i="37"/>
  <c r="G24" i="49" s="1"/>
  <c r="T15" i="37"/>
  <c r="H25" i="49" s="1"/>
  <c r="N25" i="49" s="1"/>
  <c r="U27" i="37"/>
  <c r="H50" i="49" s="1"/>
  <c r="R16" i="37"/>
  <c r="G27" i="49" s="1"/>
  <c r="M27" i="49" s="1"/>
  <c r="T9" i="37"/>
  <c r="H13" i="49" s="1"/>
  <c r="N13" i="49" s="1"/>
  <c r="R58" i="37"/>
  <c r="G111" i="49" s="1"/>
  <c r="S36" i="37"/>
  <c r="G68" i="49" s="1"/>
  <c r="S9" i="37"/>
  <c r="G14" i="49" s="1"/>
  <c r="R54" i="37"/>
  <c r="R57" i="37"/>
  <c r="G109" i="49" s="1"/>
  <c r="R42" i="37"/>
  <c r="G73" i="49" s="1"/>
  <c r="R8" i="37"/>
  <c r="G11" i="49" s="1"/>
  <c r="S35" i="37"/>
  <c r="G66" i="49" s="1"/>
  <c r="S6" i="37"/>
  <c r="G8" i="49" s="1"/>
  <c r="T29" i="37"/>
  <c r="H53" i="49" s="1"/>
  <c r="U35" i="37"/>
  <c r="H66" i="49" s="1"/>
  <c r="T41" i="37"/>
  <c r="H71" i="49" s="1"/>
  <c r="U49" i="37"/>
  <c r="H82" i="49" s="1"/>
  <c r="N82" i="49" s="1"/>
  <c r="R41" i="37"/>
  <c r="G71" i="49" s="1"/>
  <c r="S31" i="37"/>
  <c r="G58" i="49" s="1"/>
  <c r="T23" i="37"/>
  <c r="H41" i="49" s="1"/>
  <c r="R50" i="37"/>
  <c r="R26" i="37"/>
  <c r="G47" i="49" s="1"/>
  <c r="S57" i="37"/>
  <c r="G110" i="49" s="1"/>
  <c r="S52" i="37"/>
  <c r="G88" i="49" s="1"/>
  <c r="R11" i="37"/>
  <c r="G17" i="49" s="1"/>
  <c r="S51" i="37"/>
  <c r="R48" i="37"/>
  <c r="R32" i="37"/>
  <c r="G59" i="49" s="1"/>
  <c r="R24" i="37"/>
  <c r="G43" i="49" s="1"/>
  <c r="R10" i="37"/>
  <c r="G15" i="49" s="1"/>
  <c r="M15" i="49" s="1"/>
  <c r="S50" i="37"/>
  <c r="S42" i="37"/>
  <c r="G74" i="49" s="1"/>
  <c r="S34" i="37"/>
  <c r="G64" i="49" s="1"/>
  <c r="S26" i="37"/>
  <c r="G48" i="49" s="1"/>
  <c r="S12" i="37"/>
  <c r="G20" i="49" s="1"/>
  <c r="T6" i="37"/>
  <c r="H7" i="49" s="1"/>
  <c r="N7" i="49" s="1"/>
  <c r="T12" i="37"/>
  <c r="H19" i="49" s="1"/>
  <c r="N19" i="49" s="1"/>
  <c r="T14" i="37"/>
  <c r="H23" i="49" s="1"/>
  <c r="N23" i="49" s="1"/>
  <c r="T26" i="37"/>
  <c r="H47" i="49" s="1"/>
  <c r="T28" i="37"/>
  <c r="H51" i="49" s="1"/>
  <c r="T34" i="37"/>
  <c r="H63" i="49" s="1"/>
  <c r="N63" i="49" s="1"/>
  <c r="T36" i="37"/>
  <c r="H67" i="49" s="1"/>
  <c r="N67" i="49" s="1"/>
  <c r="T48" i="37"/>
  <c r="H79" i="49" s="1"/>
  <c r="T50" i="37"/>
  <c r="H83" i="49" s="1"/>
  <c r="T54" i="37"/>
  <c r="S55" i="37"/>
  <c r="G94" i="49" s="1"/>
  <c r="R34" i="37"/>
  <c r="G63" i="49" s="1"/>
  <c r="R12" i="37"/>
  <c r="G19" i="49" s="1"/>
  <c r="R49" i="37"/>
  <c r="G81" i="49" s="1"/>
  <c r="M81" i="49" s="1"/>
  <c r="R33" i="37"/>
  <c r="G61" i="49" s="1"/>
  <c r="R25" i="37"/>
  <c r="G45" i="49" s="1"/>
  <c r="S56" i="37"/>
  <c r="G108" i="49" s="1"/>
  <c r="S43" i="37"/>
  <c r="G76" i="49" s="1"/>
  <c r="M76" i="49" s="1"/>
  <c r="R55" i="37"/>
  <c r="R47" i="37"/>
  <c r="G77" i="49" s="1"/>
  <c r="S41" i="37"/>
  <c r="G72" i="49" s="1"/>
  <c r="S33" i="37"/>
  <c r="G62" i="49" s="1"/>
  <c r="S25" i="37"/>
  <c r="G46" i="49" s="1"/>
  <c r="S11" i="37"/>
  <c r="G18" i="49" s="1"/>
  <c r="U8" i="37"/>
  <c r="H12" i="49" s="1"/>
  <c r="U10" i="37"/>
  <c r="H16" i="49" s="1"/>
  <c r="N16" i="49" s="1"/>
  <c r="U16" i="37"/>
  <c r="H28" i="49" s="1"/>
  <c r="N28" i="49" s="1"/>
  <c r="U24" i="37"/>
  <c r="H44" i="49" s="1"/>
  <c r="U30" i="37"/>
  <c r="H56" i="49" s="1"/>
  <c r="U32" i="37"/>
  <c r="H60" i="49" s="1"/>
  <c r="U42" i="37"/>
  <c r="H74" i="49" s="1"/>
  <c r="U52" i="37"/>
  <c r="H88" i="49" s="1"/>
  <c r="U54" i="37"/>
  <c r="H92" i="49" s="1"/>
  <c r="U57" i="37"/>
  <c r="H110" i="49" s="1"/>
  <c r="S32" i="37"/>
  <c r="G60" i="49" s="1"/>
  <c r="S24" i="37"/>
  <c r="G44" i="49" s="1"/>
  <c r="S10" i="37"/>
  <c r="G16" i="49" s="1"/>
  <c r="M16" i="49" s="1"/>
  <c r="S47" i="37"/>
  <c r="T13" i="37"/>
  <c r="H21" i="49" s="1"/>
  <c r="N21" i="49" s="1"/>
  <c r="T27" i="37"/>
  <c r="H49" i="49" s="1"/>
  <c r="T35" i="37"/>
  <c r="H65" i="49" s="1"/>
  <c r="N65" i="49" s="1"/>
  <c r="T43" i="37"/>
  <c r="H75" i="49" s="1"/>
  <c r="N75" i="49" s="1"/>
  <c r="T58" i="37"/>
  <c r="H111" i="49" s="1"/>
  <c r="S58" i="37"/>
  <c r="G112" i="49" s="1"/>
  <c r="S53" i="37"/>
  <c r="S37" i="37"/>
  <c r="G70" i="49" s="1"/>
  <c r="S29" i="37"/>
  <c r="G54" i="49" s="1"/>
  <c r="S15" i="37"/>
  <c r="G26" i="49" s="1"/>
  <c r="S7" i="37"/>
  <c r="G10" i="49" s="1"/>
  <c r="U58" i="37"/>
  <c r="H112" i="49" s="1"/>
  <c r="G80" i="49" l="1"/>
  <c r="G79" i="49"/>
  <c r="G78" i="49"/>
  <c r="H77" i="49"/>
  <c r="M15" i="48"/>
  <c r="M29" i="48"/>
  <c r="M12" i="48"/>
  <c r="N29" i="48"/>
  <c r="N83" i="49"/>
  <c r="N44" i="49"/>
  <c r="G90" i="49"/>
  <c r="M90" i="49" s="1"/>
  <c r="G82" i="49"/>
  <c r="M82" i="49" s="1"/>
  <c r="H81" i="49"/>
  <c r="N81" i="49" s="1"/>
  <c r="H78" i="49"/>
  <c r="H80" i="49"/>
  <c r="M77" i="49"/>
  <c r="M88" i="49"/>
  <c r="M43" i="49"/>
  <c r="K105" i="49"/>
  <c r="K117" i="49"/>
  <c r="J106" i="49"/>
  <c r="J118" i="49"/>
  <c r="K99" i="49"/>
  <c r="K111" i="49"/>
  <c r="N110" i="49"/>
  <c r="N108" i="49"/>
  <c r="J103" i="49"/>
  <c r="J109" i="49"/>
  <c r="M107" i="49"/>
  <c r="K103" i="49"/>
  <c r="K115" i="49"/>
  <c r="M110" i="49"/>
  <c r="M114" i="49"/>
  <c r="M108" i="49"/>
  <c r="N49" i="49"/>
  <c r="J104" i="49"/>
  <c r="J116" i="49"/>
  <c r="N114" i="49"/>
  <c r="N112" i="49"/>
  <c r="N116" i="49"/>
  <c r="M117" i="49"/>
  <c r="M111" i="49"/>
  <c r="M113" i="49"/>
  <c r="M112" i="49"/>
  <c r="N118" i="49"/>
  <c r="M71" i="49"/>
  <c r="M59" i="49"/>
  <c r="N73" i="49"/>
  <c r="J98" i="49"/>
  <c r="J105" i="49"/>
  <c r="N79" i="49"/>
  <c r="J100" i="49"/>
  <c r="K106" i="49"/>
  <c r="G91" i="49"/>
  <c r="J96" i="49"/>
  <c r="G89" i="49"/>
  <c r="M89" i="49" s="1"/>
  <c r="H96" i="49"/>
  <c r="K95" i="49"/>
  <c r="K72" i="49"/>
  <c r="N72" i="49" s="1"/>
  <c r="K78" i="49"/>
  <c r="G96" i="49"/>
  <c r="G102" i="49"/>
  <c r="H95" i="49"/>
  <c r="H101" i="49"/>
  <c r="J102" i="49"/>
  <c r="J99" i="49"/>
  <c r="J101" i="49"/>
  <c r="V10" i="40"/>
  <c r="H90" i="49"/>
  <c r="N90" i="49" s="1"/>
  <c r="G99" i="49"/>
  <c r="G105" i="49"/>
  <c r="K74" i="49"/>
  <c r="N74" i="49" s="1"/>
  <c r="K80" i="49"/>
  <c r="H94" i="49"/>
  <c r="H98" i="49"/>
  <c r="H104" i="49"/>
  <c r="G84" i="49"/>
  <c r="M84" i="49" s="1"/>
  <c r="J72" i="49"/>
  <c r="M72" i="49" s="1"/>
  <c r="J78" i="49"/>
  <c r="M78" i="49" s="1"/>
  <c r="K96" i="49"/>
  <c r="K100" i="49"/>
  <c r="G85" i="49"/>
  <c r="M85" i="49" s="1"/>
  <c r="K97" i="49"/>
  <c r="G95" i="49"/>
  <c r="G86" i="49"/>
  <c r="M86" i="49" s="1"/>
  <c r="G98" i="49"/>
  <c r="G104" i="49"/>
  <c r="J95" i="49"/>
  <c r="J92" i="49"/>
  <c r="K94" i="49"/>
  <c r="H97" i="49"/>
  <c r="H103" i="49"/>
  <c r="K102" i="49"/>
  <c r="H89" i="49"/>
  <c r="K71" i="49"/>
  <c r="N71" i="49" s="1"/>
  <c r="K77" i="49"/>
  <c r="N77" i="49" s="1"/>
  <c r="H99" i="49"/>
  <c r="H105" i="49"/>
  <c r="H91" i="49"/>
  <c r="N91" i="49" s="1"/>
  <c r="J74" i="49"/>
  <c r="M74" i="49" s="1"/>
  <c r="J80" i="49"/>
  <c r="M80" i="49" s="1"/>
  <c r="G93" i="49"/>
  <c r="M93" i="49" s="1"/>
  <c r="G100" i="49"/>
  <c r="G106" i="49"/>
  <c r="H100" i="49"/>
  <c r="H106" i="49"/>
  <c r="G83" i="49"/>
  <c r="M83" i="49" s="1"/>
  <c r="K98" i="49"/>
  <c r="J94" i="49"/>
  <c r="M94" i="49" s="1"/>
  <c r="N86" i="49"/>
  <c r="K104" i="49"/>
  <c r="K89" i="49"/>
  <c r="J91" i="49"/>
  <c r="G97" i="49"/>
  <c r="G103" i="49"/>
  <c r="J73" i="49"/>
  <c r="M73" i="49" s="1"/>
  <c r="J79" i="49"/>
  <c r="J97" i="49"/>
  <c r="G92" i="49"/>
  <c r="N51" i="49"/>
  <c r="N88" i="49"/>
  <c r="N92" i="49"/>
  <c r="M87" i="49"/>
  <c r="M61" i="49"/>
  <c r="N47" i="49"/>
  <c r="M60" i="49"/>
  <c r="N84" i="49"/>
  <c r="M70" i="49"/>
  <c r="N66" i="49"/>
  <c r="M67" i="49"/>
  <c r="N60" i="49"/>
  <c r="N56" i="49"/>
  <c r="M54" i="49"/>
  <c r="M64" i="49"/>
  <c r="M69" i="49"/>
  <c r="M66" i="49"/>
  <c r="N57" i="49"/>
  <c r="M53" i="49"/>
  <c r="M68" i="49"/>
  <c r="N68" i="49"/>
  <c r="N53" i="49"/>
  <c r="M62" i="49"/>
  <c r="M44" i="49"/>
  <c r="N50" i="49"/>
  <c r="M63" i="49"/>
  <c r="M58" i="49"/>
  <c r="M52" i="49"/>
  <c r="M55" i="49"/>
  <c r="M51" i="49"/>
  <c r="M47" i="49"/>
  <c r="N52" i="49"/>
  <c r="M50" i="49"/>
  <c r="M48" i="49"/>
  <c r="M45" i="49"/>
  <c r="N45" i="49"/>
  <c r="M46" i="49"/>
  <c r="M14" i="49"/>
  <c r="M42" i="49"/>
  <c r="M26" i="49"/>
  <c r="N41" i="49"/>
  <c r="N42" i="49"/>
  <c r="M17" i="49"/>
  <c r="M19" i="49"/>
  <c r="M23" i="49"/>
  <c r="M24" i="49"/>
  <c r="N24" i="49"/>
  <c r="N11" i="49"/>
  <c r="M18" i="49"/>
  <c r="N17" i="49"/>
  <c r="M20" i="49"/>
  <c r="M11" i="49"/>
  <c r="N12" i="49"/>
  <c r="M8" i="49"/>
  <c r="M7" i="49"/>
  <c r="V11" i="40"/>
  <c r="O10" i="48"/>
  <c r="O11" i="48"/>
  <c r="N25" i="48" s="1"/>
  <c r="P14" i="48"/>
  <c r="P15" i="48"/>
  <c r="O12" i="48"/>
  <c r="P11" i="48"/>
  <c r="O14" i="48"/>
  <c r="M25" i="48" s="1"/>
  <c r="O15" i="48"/>
  <c r="O13" i="48"/>
  <c r="P13" i="48"/>
  <c r="M21" i="48" s="1"/>
  <c r="P10" i="48"/>
  <c r="N21" i="48" s="1"/>
  <c r="P12" i="48"/>
  <c r="U10" i="40"/>
  <c r="U11" i="40"/>
  <c r="M79" i="49" l="1"/>
  <c r="N78" i="49"/>
  <c r="N80" i="49"/>
  <c r="N101" i="49"/>
  <c r="M106" i="49"/>
  <c r="N105" i="49"/>
  <c r="N99" i="49"/>
  <c r="M103" i="49"/>
  <c r="N103" i="49"/>
  <c r="N115" i="49"/>
  <c r="N111" i="49"/>
  <c r="M104" i="49"/>
  <c r="M101" i="49"/>
  <c r="M118" i="49"/>
  <c r="M109" i="49"/>
  <c r="M116" i="49"/>
  <c r="K239" i="49"/>
  <c r="N117" i="49"/>
  <c r="N102" i="49"/>
  <c r="N96" i="49"/>
  <c r="M98" i="49"/>
  <c r="M105" i="49"/>
  <c r="N97" i="49"/>
  <c r="N106" i="49"/>
  <c r="M100" i="49"/>
  <c r="M91" i="49"/>
  <c r="N104" i="49"/>
  <c r="M96" i="49"/>
  <c r="M97" i="49"/>
  <c r="N100" i="49"/>
  <c r="N95" i="49"/>
  <c r="N94" i="49"/>
  <c r="N98" i="49"/>
  <c r="M102" i="49"/>
  <c r="N89" i="49"/>
  <c r="M92" i="49"/>
  <c r="M95" i="49"/>
  <c r="M99" i="49"/>
  <c r="C215" i="49" a="1"/>
  <c r="C215" i="49" s="1"/>
  <c r="C216" i="49" a="1"/>
  <c r="C216" i="49" s="1"/>
  <c r="C217" i="49" a="1"/>
  <c r="C217" i="49" s="1"/>
  <c r="C218" i="49" a="1"/>
  <c r="C218" i="49" s="1"/>
  <c r="C219" i="49" a="1"/>
  <c r="C219" i="49" s="1"/>
  <c r="C220" i="49" a="1"/>
  <c r="C220" i="49" s="1"/>
  <c r="C221" i="49" a="1"/>
  <c r="C221" i="49" s="1"/>
  <c r="C222" i="49" a="1"/>
  <c r="C222" i="49" s="1"/>
  <c r="C133" i="49" a="1"/>
  <c r="C133" i="49" s="1"/>
  <c r="C134" i="49" a="1"/>
  <c r="C134" i="49" s="1"/>
  <c r="C135" i="49" a="1"/>
  <c r="C135" i="49" s="1"/>
  <c r="C136" i="49" a="1"/>
  <c r="C136" i="49" s="1"/>
  <c r="C137" i="49" a="1"/>
  <c r="C137" i="49" s="1"/>
  <c r="C138" i="49" a="1"/>
  <c r="C138" i="49" s="1"/>
  <c r="C139" i="49" a="1"/>
  <c r="C139" i="49" s="1"/>
  <c r="C140" i="49" a="1"/>
  <c r="C140" i="49" s="1"/>
  <c r="C141" i="49" a="1"/>
  <c r="C141" i="49" s="1"/>
  <c r="C142" i="49" a="1"/>
  <c r="C142" i="49" s="1"/>
  <c r="C143" i="49" a="1"/>
  <c r="C143" i="49" s="1"/>
  <c r="C144" i="49" a="1"/>
  <c r="C144" i="49" s="1"/>
  <c r="C145" i="49" a="1"/>
  <c r="C145" i="49" s="1"/>
  <c r="C146" i="49" a="1"/>
  <c r="C146" i="49" s="1"/>
  <c r="C147" i="49" a="1"/>
  <c r="C147" i="49" s="1"/>
  <c r="C148" i="49" a="1"/>
  <c r="C148" i="49" s="1"/>
  <c r="C149" i="49" a="1"/>
  <c r="C149" i="49" s="1"/>
  <c r="C150" i="49" a="1"/>
  <c r="C150" i="49" s="1"/>
  <c r="C151" i="49" a="1"/>
  <c r="C151" i="49" s="1"/>
  <c r="C152" i="49" a="1"/>
  <c r="C152" i="49" s="1"/>
  <c r="C153" i="49" a="1"/>
  <c r="C153" i="49" s="1"/>
  <c r="C154" i="49" a="1"/>
  <c r="C154" i="49" s="1"/>
  <c r="C155" i="49" a="1"/>
  <c r="C155" i="49" s="1"/>
  <c r="C156" i="49" a="1"/>
  <c r="C156" i="49" s="1"/>
  <c r="C157" i="49" a="1"/>
  <c r="C157" i="49" s="1"/>
  <c r="C158" i="49" a="1"/>
  <c r="C158" i="49" s="1"/>
  <c r="C159" i="49" a="1"/>
  <c r="C159" i="49" s="1"/>
  <c r="C160" i="49" a="1"/>
  <c r="C160" i="49" s="1"/>
  <c r="C161" i="49" a="1"/>
  <c r="C161" i="49" s="1"/>
  <c r="C162" i="49" a="1"/>
  <c r="C162" i="49" s="1"/>
  <c r="C163" i="49" a="1"/>
  <c r="C163" i="49" s="1"/>
  <c r="C164" i="49" a="1"/>
  <c r="C164" i="49" s="1"/>
  <c r="C165" i="49" a="1"/>
  <c r="C165" i="49" s="1"/>
  <c r="C166" i="49" a="1"/>
  <c r="C166" i="49" s="1"/>
  <c r="C167" i="49" a="1"/>
  <c r="C167" i="49" s="1"/>
  <c r="C168" i="49" a="1"/>
  <c r="C168" i="49" s="1"/>
  <c r="C169" i="49" a="1"/>
  <c r="C169" i="49" s="1"/>
  <c r="C170" i="49" a="1"/>
  <c r="C170" i="49" s="1"/>
  <c r="C171" i="49" a="1"/>
  <c r="C171" i="49" s="1"/>
  <c r="C172" i="49" a="1"/>
  <c r="C172" i="49" s="1"/>
  <c r="C173" i="49" a="1"/>
  <c r="C173" i="49" s="1"/>
  <c r="C174" i="49" a="1"/>
  <c r="C174" i="49" s="1"/>
  <c r="C175" i="49" a="1"/>
  <c r="C175" i="49" s="1"/>
  <c r="C176" i="49" a="1"/>
  <c r="C176" i="49" s="1"/>
  <c r="C177" i="49" a="1"/>
  <c r="C177" i="49" s="1"/>
  <c r="C178" i="49" a="1"/>
  <c r="C178" i="49" s="1"/>
  <c r="C179" i="49" a="1"/>
  <c r="C179" i="49" s="1"/>
  <c r="C180" i="49" a="1"/>
  <c r="C180" i="49" s="1"/>
  <c r="C181" i="49" a="1"/>
  <c r="C181" i="49" s="1"/>
  <c r="C182" i="49" a="1"/>
  <c r="C182" i="49" s="1"/>
  <c r="C183" i="49" a="1"/>
  <c r="C183" i="49" s="1"/>
  <c r="C184" i="49" a="1"/>
  <c r="C184" i="49" s="1"/>
  <c r="C185" i="49" a="1"/>
  <c r="C185" i="49" s="1"/>
  <c r="C186" i="49" a="1"/>
  <c r="C186" i="49" s="1"/>
  <c r="C187" i="49" a="1"/>
  <c r="C187" i="49" s="1"/>
  <c r="C188" i="49" a="1"/>
  <c r="C188" i="49" s="1"/>
  <c r="C189" i="49" a="1"/>
  <c r="C189" i="49" s="1"/>
  <c r="C190" i="49" a="1"/>
  <c r="C190" i="49" s="1"/>
  <c r="C191" i="49" a="1"/>
  <c r="C191" i="49" s="1"/>
  <c r="C192" i="49" a="1"/>
  <c r="C192" i="49" s="1"/>
  <c r="C193" i="49" a="1"/>
  <c r="C193" i="49" s="1"/>
  <c r="C194" i="49" a="1"/>
  <c r="C194" i="49" s="1"/>
  <c r="C195" i="49" a="1"/>
  <c r="C195" i="49" s="1"/>
  <c r="C196" i="49" a="1"/>
  <c r="C196" i="49" s="1"/>
  <c r="C197" i="49" a="1"/>
  <c r="C197" i="49" s="1"/>
  <c r="C198" i="49" a="1"/>
  <c r="C198" i="49" s="1"/>
  <c r="C199" i="49" a="1"/>
  <c r="C199" i="49" s="1"/>
  <c r="C200" i="49" a="1"/>
  <c r="C200" i="49" s="1"/>
  <c r="C201" i="49" a="1"/>
  <c r="C201" i="49" s="1"/>
  <c r="C202" i="49" a="1"/>
  <c r="C202" i="49" s="1"/>
  <c r="C203" i="49" a="1"/>
  <c r="C203" i="49" s="1"/>
  <c r="C204" i="49" a="1"/>
  <c r="C204" i="49" s="1"/>
  <c r="C205" i="49" a="1"/>
  <c r="C205" i="49" s="1"/>
  <c r="C206" i="49" a="1"/>
  <c r="C206" i="49" s="1"/>
  <c r="C207" i="49" a="1"/>
  <c r="C207" i="49" s="1"/>
  <c r="C208" i="49" a="1"/>
  <c r="C208" i="49" s="1"/>
  <c r="C209" i="49" a="1"/>
  <c r="C209" i="49" s="1"/>
  <c r="C210" i="49" a="1"/>
  <c r="C210" i="49" s="1"/>
  <c r="C211" i="49" a="1"/>
  <c r="C211" i="49" s="1"/>
  <c r="C212" i="49" a="1"/>
  <c r="C212" i="49" s="1"/>
  <c r="C213" i="49" a="1"/>
  <c r="C213" i="49" s="1"/>
  <c r="C214" i="49" a="1"/>
  <c r="C214" i="49" s="1"/>
  <c r="N125" i="49"/>
  <c r="N238" i="49" s="1"/>
  <c r="M125" i="49"/>
  <c r="M237" i="49" s="1"/>
  <c r="L125" i="49"/>
  <c r="K125" i="49"/>
  <c r="K226" i="49" s="1"/>
  <c r="J125" i="49"/>
  <c r="J227" i="49" s="1"/>
  <c r="I125" i="49"/>
  <c r="H125" i="49"/>
  <c r="H227" i="49" s="1"/>
  <c r="G125" i="49"/>
  <c r="G227" i="49" s="1"/>
  <c r="F125" i="49"/>
  <c r="C127" i="49" a="1"/>
  <c r="C127" i="49" s="1"/>
  <c r="C5" i="49" a="1"/>
  <c r="C5" i="49" s="1"/>
  <c r="N239" i="49" l="1"/>
  <c r="J238" i="49"/>
  <c r="M238" i="49"/>
  <c r="N232" i="49"/>
  <c r="M226" i="49"/>
  <c r="J226" i="49"/>
  <c r="N228" i="49"/>
  <c r="M224" i="49"/>
  <c r="M234" i="49"/>
  <c r="N227" i="49"/>
  <c r="M232" i="49"/>
  <c r="M228" i="49"/>
  <c r="N236" i="49"/>
  <c r="J223" i="49"/>
  <c r="M223" i="49"/>
  <c r="G228" i="49"/>
  <c r="N233" i="49"/>
  <c r="K233" i="49"/>
  <c r="H223" i="49"/>
  <c r="H225" i="49"/>
  <c r="M230" i="49"/>
  <c r="N230" i="49"/>
  <c r="M227" i="49"/>
  <c r="N237" i="49"/>
  <c r="N223" i="49"/>
  <c r="M235" i="49"/>
  <c r="J237" i="49"/>
  <c r="J234" i="49"/>
  <c r="J239" i="49"/>
  <c r="J236" i="49"/>
  <c r="J235" i="49"/>
  <c r="J229" i="49"/>
  <c r="J233" i="49"/>
  <c r="J230" i="49"/>
  <c r="J232" i="49"/>
  <c r="K231" i="49"/>
  <c r="K235" i="49"/>
  <c r="K229" i="49"/>
  <c r="K232" i="49"/>
  <c r="K236" i="49"/>
  <c r="K223" i="49"/>
  <c r="K234" i="49"/>
  <c r="K240" i="49"/>
  <c r="K230" i="49"/>
  <c r="K238" i="49"/>
  <c r="J231" i="49"/>
  <c r="K237" i="49"/>
  <c r="M239" i="49"/>
  <c r="K228" i="49"/>
  <c r="H240" i="49"/>
  <c r="H238" i="49"/>
  <c r="H237" i="49"/>
  <c r="H235" i="49"/>
  <c r="H236" i="49"/>
  <c r="H239" i="49"/>
  <c r="H230" i="49"/>
  <c r="H234" i="49"/>
  <c r="H229" i="49"/>
  <c r="H233" i="49"/>
  <c r="H224" i="49"/>
  <c r="H232" i="49"/>
  <c r="H231" i="49"/>
  <c r="I225" i="49"/>
  <c r="I228" i="49"/>
  <c r="I235" i="49"/>
  <c r="I237" i="49"/>
  <c r="I240" i="49"/>
  <c r="I239" i="49"/>
  <c r="I229" i="49"/>
  <c r="I233" i="49"/>
  <c r="I238" i="49"/>
  <c r="I234" i="49"/>
  <c r="I224" i="49"/>
  <c r="I231" i="49"/>
  <c r="I236" i="49"/>
  <c r="I230" i="49"/>
  <c r="I227" i="49"/>
  <c r="I223" i="49"/>
  <c r="I226" i="49"/>
  <c r="I232" i="49"/>
  <c r="G226" i="49"/>
  <c r="L235" i="49"/>
  <c r="L229" i="49"/>
  <c r="L240" i="49"/>
  <c r="L239" i="49"/>
  <c r="L231" i="49"/>
  <c r="L233" i="49"/>
  <c r="L237" i="49"/>
  <c r="L234" i="49"/>
  <c r="L232" i="49"/>
  <c r="L230" i="49"/>
  <c r="L228" i="49"/>
  <c r="L227" i="49"/>
  <c r="L236" i="49"/>
  <c r="L224" i="49"/>
  <c r="L226" i="49"/>
  <c r="L225" i="49"/>
  <c r="L238" i="49"/>
  <c r="L223" i="49"/>
  <c r="M231" i="49"/>
  <c r="G224" i="49"/>
  <c r="J224" i="49"/>
  <c r="N229" i="49"/>
  <c r="N231" i="49"/>
  <c r="N235" i="49"/>
  <c r="G225" i="49"/>
  <c r="N234" i="49"/>
  <c r="M233" i="49"/>
  <c r="K227" i="49"/>
  <c r="J225" i="49"/>
  <c r="N226" i="49"/>
  <c r="K224" i="49"/>
  <c r="M240" i="49"/>
  <c r="N225" i="49"/>
  <c r="M229" i="49"/>
  <c r="N240" i="49"/>
  <c r="M236" i="49"/>
  <c r="H228" i="49"/>
  <c r="G236" i="49"/>
  <c r="G235" i="49"/>
  <c r="G239" i="49"/>
  <c r="G240" i="49"/>
  <c r="G238" i="49"/>
  <c r="G237" i="49"/>
  <c r="G229" i="49"/>
  <c r="G231" i="49"/>
  <c r="G233" i="49"/>
  <c r="G230" i="49"/>
  <c r="G234" i="49"/>
  <c r="G223" i="49"/>
  <c r="G232" i="49"/>
  <c r="F222" i="49"/>
  <c r="F240" i="49"/>
  <c r="F232" i="49"/>
  <c r="F230" i="49"/>
  <c r="F231" i="49"/>
  <c r="F229" i="49"/>
  <c r="F239" i="49"/>
  <c r="F234" i="49"/>
  <c r="F228" i="49"/>
  <c r="F237" i="49"/>
  <c r="F233" i="49"/>
  <c r="F235" i="49"/>
  <c r="F227" i="49"/>
  <c r="F236" i="49"/>
  <c r="F216" i="49"/>
  <c r="F215" i="49"/>
  <c r="F224" i="49"/>
  <c r="F238" i="49"/>
  <c r="F225" i="49"/>
  <c r="F226" i="49"/>
  <c r="F223" i="49"/>
  <c r="N224" i="49"/>
  <c r="J240" i="49"/>
  <c r="M225" i="49"/>
  <c r="H226" i="49"/>
  <c r="K225" i="49"/>
  <c r="J228" i="49"/>
  <c r="G5" i="49"/>
  <c r="K5" i="49"/>
  <c r="I5" i="49"/>
  <c r="F5" i="49"/>
  <c r="J5" i="49"/>
  <c r="I173" i="49"/>
  <c r="J173" i="49"/>
  <c r="K173" i="49"/>
  <c r="I141" i="49"/>
  <c r="J141" i="49"/>
  <c r="J190" i="49"/>
  <c r="I201" i="49"/>
  <c r="I175" i="49"/>
  <c r="I167" i="49"/>
  <c r="J167" i="49"/>
  <c r="K167" i="49"/>
  <c r="I159" i="49"/>
  <c r="I151" i="49"/>
  <c r="J151" i="49"/>
  <c r="I189" i="49"/>
  <c r="J189" i="49"/>
  <c r="I181" i="49"/>
  <c r="I192" i="49"/>
  <c r="I213" i="49"/>
  <c r="I221" i="49"/>
  <c r="J221" i="49"/>
  <c r="I165" i="49"/>
  <c r="I133" i="49"/>
  <c r="J193" i="49"/>
  <c r="I193" i="49"/>
  <c r="I139" i="49"/>
  <c r="J139" i="49"/>
  <c r="I150" i="49"/>
  <c r="J150" i="49"/>
  <c r="K150" i="49"/>
  <c r="I188" i="49"/>
  <c r="J188" i="49"/>
  <c r="I199" i="49"/>
  <c r="I222" i="49"/>
  <c r="I157" i="49"/>
  <c r="I179" i="49"/>
  <c r="K179" i="49"/>
  <c r="J179" i="49"/>
  <c r="K137" i="49"/>
  <c r="I137" i="49"/>
  <c r="J137" i="49"/>
  <c r="I156" i="49"/>
  <c r="J156" i="49"/>
  <c r="K156" i="49"/>
  <c r="I205" i="49"/>
  <c r="I197" i="49"/>
  <c r="I210" i="49"/>
  <c r="K149" i="49"/>
  <c r="I149" i="49"/>
  <c r="J149" i="49"/>
  <c r="I219" i="49"/>
  <c r="I145" i="49"/>
  <c r="I171" i="49"/>
  <c r="K171" i="49"/>
  <c r="I163" i="49"/>
  <c r="K155" i="49"/>
  <c r="I155" i="49"/>
  <c r="J155" i="49"/>
  <c r="I147" i="49"/>
  <c r="J147" i="49"/>
  <c r="I185" i="49"/>
  <c r="K185" i="49"/>
  <c r="J185" i="49"/>
  <c r="I217" i="49"/>
  <c r="J217" i="49"/>
  <c r="K209" i="49"/>
  <c r="I209" i="49"/>
  <c r="I138" i="49"/>
  <c r="J138" i="49"/>
  <c r="K138" i="49"/>
  <c r="I187" i="49"/>
  <c r="F187" i="49"/>
  <c r="J187" i="49"/>
  <c r="I211" i="49"/>
  <c r="K143" i="49"/>
  <c r="I143" i="49"/>
  <c r="J143" i="49"/>
  <c r="I135" i="49"/>
  <c r="I203" i="49"/>
  <c r="I195" i="49"/>
  <c r="J195" i="49"/>
  <c r="I144" i="49"/>
  <c r="J144" i="49"/>
  <c r="K144" i="49"/>
  <c r="I177" i="49"/>
  <c r="I169" i="49"/>
  <c r="J169" i="49"/>
  <c r="K169" i="49"/>
  <c r="I161" i="49"/>
  <c r="J161" i="49"/>
  <c r="K161" i="49"/>
  <c r="J153" i="49"/>
  <c r="I153" i="49"/>
  <c r="I191" i="49"/>
  <c r="J191" i="49"/>
  <c r="K191" i="49"/>
  <c r="I183" i="49"/>
  <c r="I202" i="49"/>
  <c r="I215" i="49"/>
  <c r="K215" i="49"/>
  <c r="I207" i="49"/>
  <c r="L5" i="49" l="1"/>
  <c r="M5" i="49"/>
  <c r="J215" i="49"/>
  <c r="J145" i="49"/>
  <c r="J219" i="49"/>
  <c r="K199" i="49"/>
  <c r="J171" i="49"/>
  <c r="J203" i="49"/>
  <c r="K204" i="49"/>
  <c r="K203" i="49"/>
  <c r="K222" i="49"/>
  <c r="J210" i="49"/>
  <c r="K201" i="49"/>
  <c r="K221" i="49"/>
  <c r="K197" i="49"/>
  <c r="J197" i="49"/>
  <c r="J200" i="49"/>
  <c r="J209" i="49"/>
  <c r="K210" i="49"/>
  <c r="K141" i="49"/>
  <c r="K139" i="49"/>
  <c r="J211" i="49"/>
  <c r="J213" i="49"/>
  <c r="K157" i="49"/>
  <c r="K159" i="49"/>
  <c r="J163" i="49"/>
  <c r="J165" i="49"/>
  <c r="J199" i="49"/>
  <c r="J201" i="49"/>
  <c r="K187" i="49"/>
  <c r="K189" i="49"/>
  <c r="K133" i="49"/>
  <c r="K135" i="49"/>
  <c r="K211" i="49"/>
  <c r="K165" i="49"/>
  <c r="K163" i="49"/>
  <c r="K147" i="49"/>
  <c r="K145" i="49"/>
  <c r="K219" i="49"/>
  <c r="K217" i="49"/>
  <c r="J181" i="49"/>
  <c r="J183" i="49"/>
  <c r="J175" i="49"/>
  <c r="J177" i="49"/>
  <c r="K151" i="49"/>
  <c r="K153" i="49"/>
  <c r="J157" i="49"/>
  <c r="J159" i="49"/>
  <c r="K200" i="49"/>
  <c r="K202" i="49"/>
  <c r="K181" i="49"/>
  <c r="J205" i="49"/>
  <c r="J207" i="49"/>
  <c r="K175" i="49"/>
  <c r="K177" i="49"/>
  <c r="K195" i="49"/>
  <c r="K193" i="49"/>
  <c r="J133" i="49"/>
  <c r="J135" i="49"/>
  <c r="K205" i="49"/>
  <c r="K207" i="49"/>
  <c r="K188" i="49"/>
  <c r="K190" i="49"/>
  <c r="K183" i="49" l="1"/>
  <c r="K213" i="49"/>
  <c r="N15" i="39" l="1"/>
  <c r="I196" i="49"/>
  <c r="I184" i="49"/>
  <c r="I200" i="49" l="1"/>
  <c r="I214" i="49"/>
  <c r="I212" i="49"/>
  <c r="I190" i="49"/>
  <c r="I166" i="49"/>
  <c r="I164" i="49"/>
  <c r="I176" i="49"/>
  <c r="I178" i="49"/>
  <c r="I182" i="49"/>
  <c r="L139" i="49"/>
  <c r="F139" i="49"/>
  <c r="J182" i="49" l="1"/>
  <c r="J184" i="49"/>
  <c r="K194" i="49"/>
  <c r="K196" i="49"/>
  <c r="J194" i="49"/>
  <c r="J196" i="49"/>
  <c r="K182" i="49"/>
  <c r="K184" i="49"/>
  <c r="K212" i="49"/>
  <c r="K214" i="49"/>
  <c r="J176" i="49"/>
  <c r="J178" i="49"/>
  <c r="J212" i="49"/>
  <c r="J214" i="49"/>
  <c r="K178" i="49"/>
  <c r="K176" i="49"/>
  <c r="J164" i="49"/>
  <c r="J166" i="49"/>
  <c r="K164" i="49"/>
  <c r="K166" i="49"/>
  <c r="L133" i="49"/>
  <c r="F133" i="49"/>
  <c r="N31" i="48" l="1"/>
  <c r="N30" i="48" l="1"/>
  <c r="N28" i="48"/>
  <c r="T5" i="37"/>
  <c r="H5" i="49" s="1"/>
  <c r="N5" i="49" s="1"/>
  <c r="F208" i="49" l="1"/>
  <c r="L210" i="49"/>
  <c r="F200" i="49"/>
  <c r="F188" i="49"/>
  <c r="L192" i="49"/>
  <c r="L222" i="49"/>
  <c r="F204" i="49"/>
  <c r="F190" i="49"/>
  <c r="L190" i="49"/>
  <c r="F218" i="49"/>
  <c r="L182" i="49"/>
  <c r="F182" i="49"/>
  <c r="F220" i="49"/>
  <c r="F214" i="49"/>
  <c r="L214" i="49"/>
  <c r="F184" i="49"/>
  <c r="L184" i="49"/>
  <c r="F186" i="49"/>
  <c r="F202" i="49"/>
  <c r="L202" i="49"/>
  <c r="L212" i="49"/>
  <c r="F212" i="49"/>
  <c r="F140" i="49"/>
  <c r="L150" i="49"/>
  <c r="F150" i="49"/>
  <c r="F160" i="49"/>
  <c r="F142" i="49"/>
  <c r="F170" i="49"/>
  <c r="F162" i="49"/>
  <c r="F206" i="49"/>
  <c r="L144" i="49"/>
  <c r="F144" i="49"/>
  <c r="L164" i="49"/>
  <c r="F164" i="49"/>
  <c r="F152" i="49"/>
  <c r="F194" i="49"/>
  <c r="N133" i="49"/>
  <c r="H133" i="49"/>
  <c r="F174" i="49"/>
  <c r="L176" i="49"/>
  <c r="F176" i="49"/>
  <c r="L196" i="49"/>
  <c r="F196" i="49"/>
  <c r="M133" i="49"/>
  <c r="G133" i="49"/>
  <c r="F136" i="49"/>
  <c r="L138" i="49"/>
  <c r="F138" i="49"/>
  <c r="L178" i="49"/>
  <c r="F178" i="49"/>
  <c r="F198" i="49"/>
  <c r="F134" i="49"/>
  <c r="L166" i="49"/>
  <c r="F166" i="49"/>
  <c r="L156" i="49"/>
  <c r="F156" i="49"/>
  <c r="F146" i="49"/>
  <c r="F180" i="49"/>
  <c r="F172" i="49"/>
  <c r="F154" i="49"/>
  <c r="F148" i="49"/>
  <c r="F158" i="49"/>
  <c r="F130" i="49"/>
  <c r="U5" i="37"/>
  <c r="H6" i="49" s="1"/>
  <c r="N6" i="49" s="1"/>
  <c r="F129" i="49" l="1"/>
  <c r="L188" i="49"/>
  <c r="F210" i="49"/>
  <c r="F192" i="49"/>
  <c r="F203" i="49"/>
  <c r="L201" i="49"/>
  <c r="L200" i="49"/>
  <c r="F219" i="49"/>
  <c r="L217" i="49"/>
  <c r="L191" i="49"/>
  <c r="L189" i="49"/>
  <c r="L199" i="49"/>
  <c r="F199" i="49"/>
  <c r="L183" i="49"/>
  <c r="F183" i="49"/>
  <c r="F181" i="49"/>
  <c r="L181" i="49"/>
  <c r="F211" i="49"/>
  <c r="L211" i="49"/>
  <c r="F221" i="49"/>
  <c r="L221" i="49"/>
  <c r="L215" i="49"/>
  <c r="L185" i="49"/>
  <c r="F185" i="49"/>
  <c r="F213" i="49"/>
  <c r="L213" i="49"/>
  <c r="L187" i="49"/>
  <c r="L197" i="49"/>
  <c r="F197" i="49"/>
  <c r="L177" i="49"/>
  <c r="F177" i="49"/>
  <c r="L155" i="49"/>
  <c r="F155" i="49"/>
  <c r="L137" i="49"/>
  <c r="F137" i="49"/>
  <c r="L195" i="49"/>
  <c r="F195" i="49"/>
  <c r="L175" i="49"/>
  <c r="F175" i="49"/>
  <c r="L153" i="49"/>
  <c r="F153" i="49"/>
  <c r="L135" i="49"/>
  <c r="F135" i="49"/>
  <c r="L193" i="49"/>
  <c r="F193" i="49"/>
  <c r="L173" i="49"/>
  <c r="F173" i="49"/>
  <c r="L151" i="49"/>
  <c r="F151" i="49"/>
  <c r="L207" i="49"/>
  <c r="F207" i="49"/>
  <c r="L171" i="49"/>
  <c r="F171" i="49"/>
  <c r="L143" i="49"/>
  <c r="F143" i="49"/>
  <c r="H134" i="49"/>
  <c r="L205" i="49"/>
  <c r="F205" i="49"/>
  <c r="L169" i="49"/>
  <c r="F169" i="49"/>
  <c r="L141" i="49"/>
  <c r="F141" i="49"/>
  <c r="L163" i="49"/>
  <c r="F163" i="49"/>
  <c r="L159" i="49"/>
  <c r="F159" i="49"/>
  <c r="L149" i="49"/>
  <c r="F149" i="49"/>
  <c r="F168" i="49"/>
  <c r="L165" i="49"/>
  <c r="F165" i="49"/>
  <c r="L157" i="49"/>
  <c r="F157" i="49"/>
  <c r="L147" i="49"/>
  <c r="F147" i="49"/>
  <c r="H168" i="49"/>
  <c r="L209" i="49"/>
  <c r="F209" i="49"/>
  <c r="L161" i="49"/>
  <c r="F161" i="49"/>
  <c r="L179" i="49"/>
  <c r="F179" i="49"/>
  <c r="L145" i="49"/>
  <c r="F145" i="49"/>
  <c r="F128" i="49"/>
  <c r="F132" i="49"/>
  <c r="K10" i="31"/>
  <c r="D4" i="48"/>
  <c r="E13" i="48" l="1"/>
  <c r="E18" i="48" s="1"/>
  <c r="E11" i="48"/>
  <c r="F23" i="48" s="1"/>
  <c r="E12" i="48"/>
  <c r="F28" i="48" s="1"/>
  <c r="E14" i="48"/>
  <c r="E23" i="48" s="1"/>
  <c r="E15" i="48"/>
  <c r="E28" i="48" s="1"/>
  <c r="E10" i="48"/>
  <c r="F18" i="48" s="1"/>
  <c r="O11" i="31"/>
  <c r="N11" i="31"/>
  <c r="M11" i="31"/>
  <c r="N10" i="31"/>
  <c r="O10" i="31"/>
  <c r="M10" i="31"/>
  <c r="F201" i="49"/>
  <c r="L203" i="49"/>
  <c r="F217" i="49"/>
  <c r="L219" i="49"/>
  <c r="F191" i="49"/>
  <c r="F189" i="49"/>
  <c r="I127" i="49"/>
  <c r="N167" i="49"/>
  <c r="H167" i="49"/>
  <c r="L167" i="49"/>
  <c r="F167" i="49"/>
  <c r="F131" i="49"/>
  <c r="F127" i="49"/>
  <c r="F10" i="48"/>
  <c r="F12" i="48"/>
  <c r="U12" i="48" l="1"/>
  <c r="F29" i="48"/>
  <c r="L127" i="49"/>
  <c r="I129" i="49"/>
  <c r="L129" i="49"/>
  <c r="J129" i="49"/>
  <c r="J127" i="49"/>
  <c r="K127" i="49"/>
  <c r="K129" i="49"/>
  <c r="K174" i="49" l="1"/>
  <c r="J174" i="49"/>
  <c r="T67" i="31"/>
  <c r="I174" i="49" l="1"/>
  <c r="L174" i="49"/>
  <c r="F11" i="48"/>
  <c r="I198" i="49" l="1"/>
  <c r="L198" i="49"/>
  <c r="K186" i="49"/>
  <c r="J186" i="49"/>
  <c r="J162" i="49"/>
  <c r="K162" i="49"/>
  <c r="K180" i="49"/>
  <c r="J180" i="49"/>
  <c r="K216" i="49"/>
  <c r="J222" i="49"/>
  <c r="J168" i="49"/>
  <c r="N151" i="49"/>
  <c r="H151" i="49"/>
  <c r="F13" i="48"/>
  <c r="E19" i="48" s="1"/>
  <c r="F24" i="48"/>
  <c r="F19" i="48"/>
  <c r="J192" i="49" l="1"/>
  <c r="J198" i="49"/>
  <c r="K192" i="49"/>
  <c r="K198" i="49"/>
  <c r="I168" i="49"/>
  <c r="L168" i="49"/>
  <c r="I146" i="49"/>
  <c r="L146" i="49"/>
  <c r="J130" i="49"/>
  <c r="J128" i="49"/>
  <c r="J170" i="49"/>
  <c r="J172" i="49"/>
  <c r="I148" i="49"/>
  <c r="L148" i="49"/>
  <c r="J152" i="49"/>
  <c r="J154" i="49"/>
  <c r="K148" i="49"/>
  <c r="K146" i="49"/>
  <c r="J202" i="49"/>
  <c r="J206" i="49"/>
  <c r="J208" i="49"/>
  <c r="I128" i="49"/>
  <c r="L128" i="49"/>
  <c r="I204" i="49"/>
  <c r="L204" i="49"/>
  <c r="I162" i="49"/>
  <c r="L162" i="49"/>
  <c r="I218" i="49"/>
  <c r="L218" i="49"/>
  <c r="I154" i="49"/>
  <c r="L154" i="49"/>
  <c r="I140" i="49"/>
  <c r="L140" i="49"/>
  <c r="K206" i="49"/>
  <c r="K208" i="49"/>
  <c r="I180" i="49"/>
  <c r="L180" i="49"/>
  <c r="J136" i="49"/>
  <c r="J134" i="49"/>
  <c r="K170" i="49"/>
  <c r="K172" i="49"/>
  <c r="I220" i="49"/>
  <c r="L220" i="49"/>
  <c r="I152" i="49"/>
  <c r="L152" i="49"/>
  <c r="J142" i="49"/>
  <c r="J140" i="49"/>
  <c r="I208" i="49"/>
  <c r="L208" i="49"/>
  <c r="K128" i="49"/>
  <c r="K130" i="49"/>
  <c r="I134" i="49"/>
  <c r="L134" i="49"/>
  <c r="J160" i="49"/>
  <c r="J158" i="49"/>
  <c r="J218" i="49"/>
  <c r="J220" i="49"/>
  <c r="K152" i="49"/>
  <c r="K154" i="49"/>
  <c r="I194" i="49"/>
  <c r="L194" i="49"/>
  <c r="I130" i="49"/>
  <c r="L130" i="49"/>
  <c r="I160" i="49"/>
  <c r="L160" i="49"/>
  <c r="K218" i="49"/>
  <c r="K220" i="49"/>
  <c r="J148" i="49"/>
  <c r="J146" i="49"/>
  <c r="I216" i="49"/>
  <c r="L216" i="49"/>
  <c r="I136" i="49"/>
  <c r="L136" i="49"/>
  <c r="I186" i="49"/>
  <c r="L186" i="49"/>
  <c r="I142" i="49"/>
  <c r="L142" i="49"/>
  <c r="K168" i="49"/>
  <c r="N168" i="49"/>
  <c r="K140" i="49"/>
  <c r="K142" i="49"/>
  <c r="J204" i="49"/>
  <c r="J216" i="49"/>
  <c r="K136" i="49"/>
  <c r="I172" i="49"/>
  <c r="L172" i="49"/>
  <c r="I158" i="49"/>
  <c r="L158" i="49"/>
  <c r="I206" i="49"/>
  <c r="L206" i="49"/>
  <c r="I170" i="49"/>
  <c r="L170" i="49"/>
  <c r="K160" i="49"/>
  <c r="K158" i="49"/>
  <c r="J19" i="40"/>
  <c r="J20" i="40"/>
  <c r="J21" i="40"/>
  <c r="J22" i="40"/>
  <c r="J23" i="40"/>
  <c r="J24" i="40"/>
  <c r="L6" i="47"/>
  <c r="K15" i="47"/>
  <c r="K41" i="47"/>
  <c r="K40" i="47"/>
  <c r="K39" i="47"/>
  <c r="K37" i="47"/>
  <c r="K36" i="47"/>
  <c r="K35" i="47"/>
  <c r="K33" i="47"/>
  <c r="K32" i="47"/>
  <c r="K31" i="47"/>
  <c r="K29" i="47"/>
  <c r="K28" i="47"/>
  <c r="K27" i="47"/>
  <c r="K25" i="47"/>
  <c r="K24" i="47"/>
  <c r="K23" i="47"/>
  <c r="K21" i="47"/>
  <c r="K20" i="47"/>
  <c r="K19" i="47"/>
  <c r="X18" i="40"/>
  <c r="W18" i="40"/>
  <c r="V18" i="40"/>
  <c r="P18" i="40"/>
  <c r="O18" i="40"/>
  <c r="N18" i="40"/>
  <c r="M18" i="40"/>
  <c r="L18" i="40"/>
  <c r="Q17" i="47"/>
  <c r="P17" i="47"/>
  <c r="O17" i="47"/>
  <c r="N17" i="47"/>
  <c r="M17" i="47"/>
  <c r="U16" i="40"/>
  <c r="K16" i="40"/>
  <c r="L12" i="47"/>
  <c r="D18" i="31"/>
  <c r="F18" i="31"/>
  <c r="T24" i="40"/>
  <c r="T23" i="40"/>
  <c r="T22" i="40"/>
  <c r="T21" i="40"/>
  <c r="T20" i="40"/>
  <c r="T19" i="40"/>
  <c r="N29" i="31"/>
  <c r="N28" i="31"/>
  <c r="N24" i="31"/>
  <c r="N23" i="31"/>
  <c r="N19" i="31"/>
  <c r="N18" i="31"/>
  <c r="N12" i="47" l="1"/>
  <c r="N13" i="47"/>
  <c r="P12" i="47"/>
  <c r="P13" i="47"/>
  <c r="O12" i="47"/>
  <c r="O13" i="47"/>
  <c r="K134" i="49"/>
  <c r="N134" i="49"/>
  <c r="G216" i="49"/>
  <c r="G215" i="49"/>
  <c r="G214" i="49"/>
  <c r="G203" i="49"/>
  <c r="G221" i="49"/>
  <c r="G220" i="49"/>
  <c r="G219" i="49"/>
  <c r="G188" i="49"/>
  <c r="M188" i="49"/>
  <c r="H181" i="49"/>
  <c r="N181" i="49"/>
  <c r="N201" i="49"/>
  <c r="H201" i="49"/>
  <c r="G222" i="49"/>
  <c r="M222" i="49"/>
  <c r="H184" i="49"/>
  <c r="N184" i="49"/>
  <c r="G182" i="49"/>
  <c r="M182" i="49"/>
  <c r="H185" i="49"/>
  <c r="N185" i="49"/>
  <c r="M162" i="49"/>
  <c r="G162" i="49"/>
  <c r="N177" i="49"/>
  <c r="H177" i="49"/>
  <c r="N155" i="49"/>
  <c r="H155" i="49"/>
  <c r="M135" i="49"/>
  <c r="G135" i="49"/>
  <c r="N164" i="49"/>
  <c r="H164" i="49"/>
  <c r="M160" i="49"/>
  <c r="G160" i="49"/>
  <c r="M138" i="49"/>
  <c r="G138" i="49"/>
  <c r="N197" i="49"/>
  <c r="H197" i="49"/>
  <c r="M175" i="49"/>
  <c r="G175" i="49"/>
  <c r="M153" i="49"/>
  <c r="G153" i="49"/>
  <c r="M140" i="49"/>
  <c r="G140" i="49"/>
  <c r="M156" i="49"/>
  <c r="G156" i="49"/>
  <c r="M195" i="49"/>
  <c r="G195" i="49"/>
  <c r="M167" i="49"/>
  <c r="G167" i="49"/>
  <c r="M173" i="49"/>
  <c r="G173" i="49"/>
  <c r="M151" i="49"/>
  <c r="G151" i="49"/>
  <c r="M137" i="49"/>
  <c r="G137" i="49"/>
  <c r="N180" i="49"/>
  <c r="H180" i="49"/>
  <c r="M154" i="49"/>
  <c r="G154" i="49"/>
  <c r="M193" i="49"/>
  <c r="G193" i="49"/>
  <c r="M165" i="49"/>
  <c r="G165" i="49"/>
  <c r="M198" i="49"/>
  <c r="G198" i="49"/>
  <c r="M178" i="49"/>
  <c r="G178" i="49"/>
  <c r="N169" i="49"/>
  <c r="H169" i="49"/>
  <c r="N141" i="49"/>
  <c r="H141" i="49"/>
  <c r="M150" i="49"/>
  <c r="G150" i="49"/>
  <c r="M196" i="49"/>
  <c r="G196" i="49"/>
  <c r="M168" i="49"/>
  <c r="G168" i="49"/>
  <c r="N144" i="49"/>
  <c r="H144" i="49"/>
  <c r="N161" i="49"/>
  <c r="H161" i="49"/>
  <c r="M149" i="49"/>
  <c r="G149" i="49"/>
  <c r="M139" i="49"/>
  <c r="G139" i="49"/>
  <c r="N172" i="49"/>
  <c r="H172" i="49"/>
  <c r="M142" i="49"/>
  <c r="G142" i="49"/>
  <c r="M159" i="49"/>
  <c r="G159" i="49"/>
  <c r="M147" i="49"/>
  <c r="G147" i="49"/>
  <c r="M18" i="48"/>
  <c r="F15" i="48"/>
  <c r="E29" i="48" s="1"/>
  <c r="F14" i="48"/>
  <c r="E24" i="48" s="1"/>
  <c r="N146" i="49"/>
  <c r="N136" i="49" l="1"/>
  <c r="M130" i="49"/>
  <c r="H146" i="49"/>
  <c r="M215" i="49"/>
  <c r="M216" i="49"/>
  <c r="G204" i="49"/>
  <c r="M204" i="49"/>
  <c r="H200" i="49"/>
  <c r="N200" i="49"/>
  <c r="N207" i="49"/>
  <c r="N202" i="49"/>
  <c r="H211" i="49"/>
  <c r="G201" i="49"/>
  <c r="M214" i="49"/>
  <c r="N206" i="49"/>
  <c r="H215" i="49"/>
  <c r="H210" i="49"/>
  <c r="M203" i="49"/>
  <c r="M221" i="49"/>
  <c r="N188" i="49"/>
  <c r="M192" i="49"/>
  <c r="G191" i="49"/>
  <c r="N219" i="49"/>
  <c r="M219" i="49"/>
  <c r="M220" i="49"/>
  <c r="M189" i="49"/>
  <c r="G184" i="49"/>
  <c r="M184" i="49"/>
  <c r="H191" i="49"/>
  <c r="N191" i="49"/>
  <c r="G185" i="49"/>
  <c r="M185" i="49"/>
  <c r="H186" i="49"/>
  <c r="N186" i="49"/>
  <c r="H182" i="49"/>
  <c r="N182" i="49"/>
  <c r="H204" i="49"/>
  <c r="N204" i="49"/>
  <c r="H183" i="49"/>
  <c r="N183" i="49"/>
  <c r="H220" i="49"/>
  <c r="N220" i="49"/>
  <c r="H203" i="49"/>
  <c r="N203" i="49"/>
  <c r="N199" i="49"/>
  <c r="H199" i="49"/>
  <c r="G199" i="49"/>
  <c r="M199" i="49"/>
  <c r="N187" i="49"/>
  <c r="H187" i="49"/>
  <c r="H213" i="49"/>
  <c r="N213" i="49"/>
  <c r="H212" i="49"/>
  <c r="N212" i="49"/>
  <c r="G183" i="49"/>
  <c r="M183" i="49"/>
  <c r="G181" i="49"/>
  <c r="M181" i="49"/>
  <c r="G186" i="49"/>
  <c r="M186" i="49"/>
  <c r="H222" i="49"/>
  <c r="N222" i="49"/>
  <c r="H190" i="49"/>
  <c r="N190" i="49"/>
  <c r="H214" i="49"/>
  <c r="N214" i="49"/>
  <c r="G200" i="49"/>
  <c r="M200" i="49"/>
  <c r="N221" i="49"/>
  <c r="H221" i="49"/>
  <c r="H216" i="49"/>
  <c r="N216" i="49"/>
  <c r="G202" i="49"/>
  <c r="M202" i="49"/>
  <c r="N176" i="49"/>
  <c r="H176" i="49"/>
  <c r="N193" i="49"/>
  <c r="H193" i="49"/>
  <c r="N137" i="49"/>
  <c r="H137" i="49"/>
  <c r="N175" i="49"/>
  <c r="H175" i="49"/>
  <c r="N158" i="49"/>
  <c r="H158" i="49"/>
  <c r="N147" i="49"/>
  <c r="H147" i="49"/>
  <c r="N171" i="49"/>
  <c r="H171" i="49"/>
  <c r="M145" i="49"/>
  <c r="G145" i="49"/>
  <c r="M179" i="49"/>
  <c r="G179" i="49"/>
  <c r="M170" i="49"/>
  <c r="G170" i="49"/>
  <c r="N140" i="49"/>
  <c r="H140" i="49"/>
  <c r="M155" i="49"/>
  <c r="G155" i="49"/>
  <c r="M152" i="49"/>
  <c r="G152" i="49"/>
  <c r="M158" i="49"/>
  <c r="G158" i="49"/>
  <c r="M194" i="49"/>
  <c r="G194" i="49"/>
  <c r="M146" i="49"/>
  <c r="G146" i="49"/>
  <c r="N194" i="49"/>
  <c r="H194" i="49"/>
  <c r="N173" i="49"/>
  <c r="H173" i="49"/>
  <c r="M197" i="49"/>
  <c r="G197" i="49"/>
  <c r="M143" i="49"/>
  <c r="G143" i="49"/>
  <c r="N139" i="49"/>
  <c r="H139" i="49"/>
  <c r="N154" i="49"/>
  <c r="H154" i="49"/>
  <c r="N160" i="49"/>
  <c r="H160" i="49"/>
  <c r="N196" i="49"/>
  <c r="H196" i="49"/>
  <c r="N148" i="49"/>
  <c r="H148" i="49"/>
  <c r="M164" i="49"/>
  <c r="G164" i="49"/>
  <c r="N179" i="49"/>
  <c r="H179" i="49"/>
  <c r="N209" i="49"/>
  <c r="H209" i="49"/>
  <c r="M141" i="49"/>
  <c r="G141" i="49"/>
  <c r="N157" i="49"/>
  <c r="H157" i="49"/>
  <c r="N195" i="49"/>
  <c r="H195" i="49"/>
  <c r="N170" i="49"/>
  <c r="H170" i="49"/>
  <c r="N159" i="49"/>
  <c r="H159" i="49"/>
  <c r="M136" i="49"/>
  <c r="G136" i="49"/>
  <c r="N166" i="49"/>
  <c r="H166" i="49"/>
  <c r="N163" i="49"/>
  <c r="H163" i="49"/>
  <c r="M205" i="49"/>
  <c r="G205" i="49"/>
  <c r="M177" i="49"/>
  <c r="G177" i="49"/>
  <c r="M163" i="49"/>
  <c r="G163" i="49"/>
  <c r="M180" i="49"/>
  <c r="G180" i="49"/>
  <c r="N198" i="49"/>
  <c r="H198" i="49"/>
  <c r="N138" i="49"/>
  <c r="H138" i="49"/>
  <c r="M166" i="49"/>
  <c r="G166" i="49"/>
  <c r="M172" i="49"/>
  <c r="G172" i="49"/>
  <c r="N143" i="49"/>
  <c r="H143" i="49"/>
  <c r="N165" i="49"/>
  <c r="H165" i="49"/>
  <c r="M207" i="49"/>
  <c r="G207" i="49"/>
  <c r="N156" i="49"/>
  <c r="H156" i="49"/>
  <c r="M210" i="49"/>
  <c r="G210" i="49"/>
  <c r="M176" i="49"/>
  <c r="G176" i="49"/>
  <c r="N178" i="49"/>
  <c r="H178" i="49"/>
  <c r="N153" i="49"/>
  <c r="H153" i="49"/>
  <c r="M148" i="49"/>
  <c r="G148" i="49"/>
  <c r="N142" i="49"/>
  <c r="H142" i="49"/>
  <c r="N150" i="49"/>
  <c r="H150" i="49"/>
  <c r="N174" i="49"/>
  <c r="H174" i="49"/>
  <c r="M161" i="49"/>
  <c r="G161" i="49"/>
  <c r="M171" i="49"/>
  <c r="G171" i="49"/>
  <c r="N152" i="49"/>
  <c r="H152" i="49"/>
  <c r="N162" i="49"/>
  <c r="H162" i="49"/>
  <c r="N149" i="49"/>
  <c r="H149" i="49"/>
  <c r="M174" i="49"/>
  <c r="G174" i="49"/>
  <c r="M144" i="49"/>
  <c r="G144" i="49"/>
  <c r="M208" i="49"/>
  <c r="G208" i="49"/>
  <c r="N145" i="49"/>
  <c r="H145" i="49"/>
  <c r="N135" i="49"/>
  <c r="H135" i="49"/>
  <c r="M157" i="49"/>
  <c r="G157" i="49"/>
  <c r="M169" i="49"/>
  <c r="G169" i="49"/>
  <c r="N129" i="49"/>
  <c r="H129" i="49"/>
  <c r="G132" i="49"/>
  <c r="M129" i="49"/>
  <c r="G129" i="49"/>
  <c r="G15" i="48"/>
  <c r="E30" i="48" s="1"/>
  <c r="U15" i="48"/>
  <c r="U26" i="48" s="1"/>
  <c r="G14" i="48"/>
  <c r="E25" i="48" s="1"/>
  <c r="H13" i="48"/>
  <c r="E21" i="48" s="1"/>
  <c r="H14" i="48"/>
  <c r="E26" i="48" s="1"/>
  <c r="G12" i="48"/>
  <c r="H12" i="48"/>
  <c r="G13" i="48"/>
  <c r="E20" i="48" s="1"/>
  <c r="H15" i="48"/>
  <c r="M20" i="48"/>
  <c r="M26" i="48"/>
  <c r="M19" i="48"/>
  <c r="U13" i="48"/>
  <c r="U18" i="48" s="1"/>
  <c r="M24" i="48"/>
  <c r="M23" i="48"/>
  <c r="G11" i="48"/>
  <c r="F25" i="48" s="1"/>
  <c r="H11" i="48"/>
  <c r="U14" i="48"/>
  <c r="U22" i="48" s="1"/>
  <c r="V26" i="48"/>
  <c r="F26" i="48" l="1"/>
  <c r="W11" i="48"/>
  <c r="G130" i="49"/>
  <c r="H136" i="49"/>
  <c r="N130" i="49"/>
  <c r="H130" i="49"/>
  <c r="H207" i="49"/>
  <c r="N210" i="49"/>
  <c r="N211" i="49"/>
  <c r="M201" i="49"/>
  <c r="H202" i="49"/>
  <c r="H206" i="49"/>
  <c r="G192" i="49"/>
  <c r="H188" i="49"/>
  <c r="M191" i="49"/>
  <c r="G211" i="49"/>
  <c r="M211" i="49"/>
  <c r="M206" i="49"/>
  <c r="G206" i="49"/>
  <c r="H208" i="49"/>
  <c r="N208" i="49"/>
  <c r="N215" i="49"/>
  <c r="G213" i="49"/>
  <c r="M213" i="49"/>
  <c r="G212" i="49"/>
  <c r="M212" i="49"/>
  <c r="G189" i="49"/>
  <c r="N205" i="49"/>
  <c r="H205" i="49"/>
  <c r="M209" i="49"/>
  <c r="G209" i="49"/>
  <c r="H219" i="49"/>
  <c r="G190" i="49"/>
  <c r="M190" i="49"/>
  <c r="H189" i="49"/>
  <c r="N189" i="49"/>
  <c r="G187" i="49"/>
  <c r="M187" i="49"/>
  <c r="H192" i="49"/>
  <c r="N192" i="49"/>
  <c r="H132" i="49"/>
  <c r="N128" i="49"/>
  <c r="H128" i="49"/>
  <c r="N127" i="49"/>
  <c r="H127" i="49"/>
  <c r="G131" i="49"/>
  <c r="H131" i="49"/>
  <c r="M127" i="49"/>
  <c r="G127" i="49"/>
  <c r="V15" i="48"/>
  <c r="U27" i="48" s="1"/>
  <c r="W13" i="48"/>
  <c r="U20" i="48" s="1"/>
  <c r="F31" i="48"/>
  <c r="W12" i="48"/>
  <c r="V28" i="48" s="1"/>
  <c r="F30" i="48"/>
  <c r="V12" i="48"/>
  <c r="V27" i="48" s="1"/>
  <c r="E31" i="48"/>
  <c r="W15" i="48"/>
  <c r="U28" i="48" s="1"/>
  <c r="W14" i="48"/>
  <c r="U24" i="48" s="1"/>
  <c r="V14" i="48"/>
  <c r="U23" i="48" s="1"/>
  <c r="M28" i="48"/>
  <c r="V13" i="48"/>
  <c r="U19" i="48" s="1"/>
  <c r="M30" i="48"/>
  <c r="M31" i="48"/>
  <c r="S5" i="37" l="1"/>
  <c r="G6" i="49" s="1"/>
  <c r="M6" i="49" s="1"/>
  <c r="M134" i="49" l="1"/>
  <c r="H218" i="49"/>
  <c r="N218" i="49"/>
  <c r="H10" i="48"/>
  <c r="F21" i="48" s="1"/>
  <c r="G218" i="49"/>
  <c r="M218" i="49"/>
  <c r="G10" i="48"/>
  <c r="D4" i="47"/>
  <c r="N6" i="47" s="1"/>
  <c r="H19" i="35"/>
  <c r="H18" i="35"/>
  <c r="F20" i="48" l="1"/>
  <c r="V10" i="48"/>
  <c r="G134" i="49"/>
  <c r="M128" i="49"/>
  <c r="G128" i="49"/>
  <c r="H217" i="49"/>
  <c r="N217" i="49"/>
  <c r="G217" i="49"/>
  <c r="M217" i="49"/>
  <c r="P7" i="47"/>
  <c r="O7" i="47"/>
  <c r="N7" i="47"/>
  <c r="O6" i="47"/>
  <c r="P6" i="47"/>
  <c r="J38" i="47"/>
  <c r="H38" i="47"/>
  <c r="J34" i="47"/>
  <c r="H34" i="47"/>
  <c r="J30" i="47"/>
  <c r="H30" i="47"/>
  <c r="J26" i="47"/>
  <c r="H26" i="47"/>
  <c r="H22" i="47" l="1"/>
  <c r="F34" i="47"/>
  <c r="E34" i="47"/>
  <c r="D34" i="47"/>
  <c r="F26" i="47"/>
  <c r="E26" i="47"/>
  <c r="D26" i="47"/>
  <c r="J22" i="47"/>
  <c r="J18" i="47"/>
  <c r="H18" i="47"/>
  <c r="F18" i="47"/>
  <c r="E18" i="47"/>
  <c r="D18" i="47"/>
  <c r="R21" i="40"/>
  <c r="H21" i="40"/>
  <c r="F21" i="40"/>
  <c r="E21" i="40"/>
  <c r="D21" i="40"/>
  <c r="V29" i="31"/>
  <c r="V24" i="31"/>
  <c r="V19" i="31"/>
  <c r="U22" i="40" l="1"/>
  <c r="W22" i="40"/>
  <c r="V22" i="40"/>
  <c r="X22" i="40"/>
  <c r="F24" i="31"/>
  <c r="V23" i="31"/>
  <c r="T23" i="31"/>
  <c r="S23" i="31"/>
  <c r="L23" i="31"/>
  <c r="K23" i="31"/>
  <c r="F23" i="31"/>
  <c r="D23" i="31"/>
  <c r="C23" i="31"/>
  <c r="Q22" i="31"/>
  <c r="Z21" i="31"/>
  <c r="Y21" i="31"/>
  <c r="I21" i="31"/>
  <c r="Q24" i="31" l="1"/>
  <c r="O24" i="31"/>
  <c r="L22" i="47"/>
  <c r="L25" i="47"/>
  <c r="P23" i="47"/>
  <c r="Q24" i="47"/>
  <c r="O23" i="47"/>
  <c r="P24" i="47"/>
  <c r="N23" i="47"/>
  <c r="Q22" i="47"/>
  <c r="Q25" i="47"/>
  <c r="O24" i="47"/>
  <c r="M23" i="47"/>
  <c r="P22" i="47"/>
  <c r="P25" i="47"/>
  <c r="N24" i="47"/>
  <c r="L23" i="47"/>
  <c r="O22" i="47"/>
  <c r="O25" i="47"/>
  <c r="M24" i="47"/>
  <c r="N22" i="47"/>
  <c r="N25" i="47"/>
  <c r="L24" i="47"/>
  <c r="M22" i="47"/>
  <c r="M25" i="47"/>
  <c r="Q23" i="47"/>
  <c r="N32" i="47" l="1"/>
  <c r="P31" i="47"/>
  <c r="N30" i="47"/>
  <c r="M32" i="47"/>
  <c r="Q33" i="47"/>
  <c r="O31" i="47"/>
  <c r="M30" i="47"/>
  <c r="L32" i="47"/>
  <c r="P33" i="47"/>
  <c r="N31" i="47"/>
  <c r="L30" i="47"/>
  <c r="O33" i="47"/>
  <c r="M31" i="47"/>
  <c r="N33" i="47"/>
  <c r="L31" i="47"/>
  <c r="Q32" i="47"/>
  <c r="M33" i="47"/>
  <c r="Q30" i="47"/>
  <c r="P32" i="47"/>
  <c r="L33" i="47"/>
  <c r="P30" i="47"/>
  <c r="O32" i="47"/>
  <c r="Q31" i="47"/>
  <c r="O30" i="47"/>
  <c r="P40" i="47"/>
  <c r="N39" i="47"/>
  <c r="L38" i="47"/>
  <c r="Q41" i="47"/>
  <c r="O40" i="47"/>
  <c r="M39" i="47"/>
  <c r="P41" i="47"/>
  <c r="N40" i="47"/>
  <c r="L39" i="47"/>
  <c r="O41" i="47"/>
  <c r="M40" i="47"/>
  <c r="Q38" i="47"/>
  <c r="N41" i="47"/>
  <c r="L40" i="47"/>
  <c r="P38" i="47"/>
  <c r="M41" i="47"/>
  <c r="Q39" i="47"/>
  <c r="O38" i="47"/>
  <c r="L41" i="47"/>
  <c r="P39" i="47"/>
  <c r="N38" i="47"/>
  <c r="Q40" i="47"/>
  <c r="O39" i="47"/>
  <c r="M38" i="47"/>
  <c r="D4" i="31"/>
  <c r="E11" i="31" s="1"/>
  <c r="T66" i="31"/>
  <c r="T65" i="31"/>
  <c r="Z26" i="31"/>
  <c r="Y26" i="31"/>
  <c r="Z16" i="31"/>
  <c r="Y16" i="31"/>
  <c r="D4" i="40"/>
  <c r="S18" i="31"/>
  <c r="T18" i="31"/>
  <c r="V18" i="31"/>
  <c r="S28" i="31"/>
  <c r="T28" i="31"/>
  <c r="V28" i="31"/>
  <c r="R23" i="40"/>
  <c r="R19" i="40"/>
  <c r="H23" i="40"/>
  <c r="H19" i="40"/>
  <c r="F23" i="40"/>
  <c r="E23" i="40"/>
  <c r="D23" i="40"/>
  <c r="E19" i="40"/>
  <c r="F19" i="40"/>
  <c r="D19" i="40"/>
  <c r="F29" i="31"/>
  <c r="F28" i="31"/>
  <c r="F19" i="31"/>
  <c r="L28" i="31"/>
  <c r="K18" i="31"/>
  <c r="K28" i="31"/>
  <c r="C28" i="31"/>
  <c r="C18" i="31"/>
  <c r="L18" i="31"/>
  <c r="D28" i="31"/>
  <c r="D5" i="38"/>
  <c r="C5" i="38"/>
  <c r="D4" i="38"/>
  <c r="K10" i="40" l="1"/>
  <c r="K19" i="40" s="1"/>
  <c r="L10" i="40"/>
  <c r="K21" i="40" s="1"/>
  <c r="M10" i="40"/>
  <c r="K11" i="40"/>
  <c r="K20" i="40" s="1"/>
  <c r="L11" i="40"/>
  <c r="K22" i="40" s="1"/>
  <c r="M11" i="40"/>
  <c r="E12" i="31"/>
  <c r="U12" i="31" s="1"/>
  <c r="X18" i="31" s="1"/>
  <c r="G11" i="31"/>
  <c r="W11" i="31" s="1"/>
  <c r="W29" i="31" s="1"/>
  <c r="F12" i="31"/>
  <c r="F11" i="31"/>
  <c r="V11" i="31" s="1"/>
  <c r="W24" i="31" s="1"/>
  <c r="G12" i="31"/>
  <c r="F13" i="31"/>
  <c r="E10" i="31"/>
  <c r="G13" i="31"/>
  <c r="P19" i="31"/>
  <c r="P18" i="31"/>
  <c r="O19" i="31"/>
  <c r="O29" i="31"/>
  <c r="U10" i="48"/>
  <c r="L18" i="47"/>
  <c r="O18" i="31"/>
  <c r="U24" i="40"/>
  <c r="X24" i="40"/>
  <c r="V24" i="40"/>
  <c r="W24" i="40"/>
  <c r="W20" i="40"/>
  <c r="X20" i="40"/>
  <c r="V20" i="40"/>
  <c r="U20" i="40"/>
  <c r="E13" i="31"/>
  <c r="U13" i="31" s="1"/>
  <c r="X19" i="31" s="1"/>
  <c r="H23" i="31" l="1"/>
  <c r="U10" i="31"/>
  <c r="Z18" i="31"/>
  <c r="AA18" i="31"/>
  <c r="Y18" i="31"/>
  <c r="H28" i="31"/>
  <c r="H24" i="31"/>
  <c r="U11" i="31"/>
  <c r="W19" i="31" s="1"/>
  <c r="Y19" i="31"/>
  <c r="L19" i="40"/>
  <c r="N26" i="48"/>
  <c r="N23" i="48"/>
  <c r="U11" i="48"/>
  <c r="V22" i="48" s="1"/>
  <c r="O28" i="31"/>
  <c r="M18" i="47"/>
  <c r="H19" i="31"/>
  <c r="H18" i="31"/>
  <c r="H29" i="31"/>
  <c r="N19" i="48"/>
  <c r="N18" i="48"/>
  <c r="V18" i="48"/>
  <c r="N24" i="48"/>
  <c r="U19" i="40"/>
  <c r="X19" i="40"/>
  <c r="V19" i="40"/>
  <c r="W19" i="40"/>
  <c r="N19" i="40"/>
  <c r="P19" i="40"/>
  <c r="O19" i="40"/>
  <c r="M19" i="40"/>
  <c r="P22" i="40"/>
  <c r="O22" i="40"/>
  <c r="N22" i="40"/>
  <c r="M22" i="40"/>
  <c r="L22" i="40"/>
  <c r="N20" i="40"/>
  <c r="O20" i="40"/>
  <c r="M20" i="40"/>
  <c r="P20" i="40"/>
  <c r="L20" i="40"/>
  <c r="O21" i="40"/>
  <c r="N21" i="40"/>
  <c r="M21" i="40"/>
  <c r="L21" i="40"/>
  <c r="P21" i="40"/>
  <c r="L21" i="47"/>
  <c r="Q19" i="47"/>
  <c r="P19" i="47"/>
  <c r="L20" i="47"/>
  <c r="N21" i="47"/>
  <c r="N18" i="47"/>
  <c r="L19" i="47"/>
  <c r="P20" i="47"/>
  <c r="O20" i="47"/>
  <c r="M20" i="47"/>
  <c r="Q21" i="47"/>
  <c r="Q20" i="47"/>
  <c r="O18" i="47"/>
  <c r="M21" i="47"/>
  <c r="Q18" i="47"/>
  <c r="N20" i="47"/>
  <c r="N19" i="47"/>
  <c r="O19" i="47"/>
  <c r="O21" i="47"/>
  <c r="P21" i="47"/>
  <c r="M19" i="47"/>
  <c r="P18" i="47"/>
  <c r="K23" i="40"/>
  <c r="K24" i="40"/>
  <c r="Q23" i="31" l="1"/>
  <c r="O23" i="31"/>
  <c r="M35" i="47"/>
  <c r="L35" i="47"/>
  <c r="L34" i="47"/>
  <c r="V24" i="48"/>
  <c r="N20" i="48"/>
  <c r="V19" i="48"/>
  <c r="V11" i="48"/>
  <c r="W10" i="48"/>
  <c r="V20" i="48" s="1"/>
  <c r="V23" i="40"/>
  <c r="U23" i="40"/>
  <c r="X23" i="40"/>
  <c r="W23" i="40"/>
  <c r="V21" i="40"/>
  <c r="U21" i="40"/>
  <c r="X21" i="40"/>
  <c r="W21" i="40"/>
  <c r="P24" i="40"/>
  <c r="N24" i="40"/>
  <c r="O24" i="40"/>
  <c r="L24" i="40"/>
  <c r="M24" i="40"/>
  <c r="P23" i="40"/>
  <c r="O23" i="40"/>
  <c r="N23" i="40"/>
  <c r="M23" i="40"/>
  <c r="L23" i="40"/>
  <c r="V23" i="48" l="1"/>
  <c r="N30" i="35"/>
  <c r="N31" i="35"/>
  <c r="N32" i="35"/>
  <c r="N60" i="35"/>
  <c r="N61" i="35"/>
  <c r="N62" i="35"/>
  <c r="N52" i="35" l="1"/>
  <c r="N53" i="35"/>
  <c r="N54" i="35"/>
  <c r="N55" i="35"/>
  <c r="N56" i="35"/>
  <c r="N57" i="35"/>
  <c r="N58" i="35"/>
  <c r="N59" i="35"/>
  <c r="N3" i="35" l="1"/>
  <c r="N4" i="35"/>
  <c r="N5" i="35"/>
  <c r="N6" i="35"/>
  <c r="N7" i="35"/>
  <c r="N8" i="35"/>
  <c r="N9" i="35"/>
  <c r="N10" i="35"/>
  <c r="N11" i="35"/>
  <c r="N12" i="35"/>
  <c r="N13" i="35"/>
  <c r="N14" i="35"/>
  <c r="N15" i="35"/>
  <c r="N16" i="35"/>
  <c r="N17" i="35"/>
  <c r="N18" i="35"/>
  <c r="N19" i="35"/>
  <c r="N20" i="35"/>
  <c r="N21" i="35"/>
  <c r="N22" i="35"/>
  <c r="N23" i="35"/>
  <c r="N24" i="35"/>
  <c r="N25" i="35"/>
  <c r="N26" i="35"/>
  <c r="N27" i="35"/>
  <c r="N28" i="35"/>
  <c r="N29" i="35"/>
  <c r="N33" i="35"/>
  <c r="N34" i="35"/>
  <c r="N35" i="35"/>
  <c r="N36" i="35"/>
  <c r="N37" i="35"/>
  <c r="N38" i="35"/>
  <c r="N39" i="35"/>
  <c r="N40" i="35"/>
  <c r="N41" i="35"/>
  <c r="N42" i="35"/>
  <c r="N43" i="35"/>
  <c r="N44" i="35"/>
  <c r="N45" i="35"/>
  <c r="N46" i="35"/>
  <c r="N47" i="35"/>
  <c r="N48" i="35"/>
  <c r="N49" i="35"/>
  <c r="N50" i="35"/>
  <c r="N51" i="35"/>
  <c r="N2" i="35"/>
  <c r="Q27" i="31" l="1"/>
  <c r="Q17" i="31"/>
  <c r="P8" i="39" l="1"/>
  <c r="P7" i="39"/>
  <c r="P6" i="39"/>
  <c r="I26" i="31" l="1"/>
  <c r="I16" i="31"/>
  <c r="O27" i="47" l="1"/>
  <c r="L28" i="47"/>
  <c r="O26" i="47"/>
  <c r="N27" i="47"/>
  <c r="P28" i="47"/>
  <c r="L27" i="47"/>
  <c r="Q26" i="47"/>
  <c r="M26" i="47"/>
  <c r="L26" i="47"/>
  <c r="P26" i="47"/>
  <c r="N26" i="47"/>
  <c r="O29" i="47"/>
  <c r="Q28" i="47"/>
  <c r="L29" i="47"/>
  <c r="O28" i="47"/>
  <c r="M28" i="47"/>
  <c r="Q29" i="47"/>
  <c r="P29" i="47"/>
  <c r="Q27" i="47"/>
  <c r="N28" i="47"/>
  <c r="P27" i="47"/>
  <c r="M29" i="47"/>
  <c r="M27" i="47"/>
  <c r="N29" i="47"/>
  <c r="P34" i="47"/>
  <c r="L36" i="47"/>
  <c r="Q37" i="47"/>
  <c r="Q34" i="47"/>
  <c r="O34" i="47"/>
  <c r="P35" i="47"/>
  <c r="L37" i="47"/>
  <c r="Q35" i="47"/>
  <c r="N35" i="47"/>
  <c r="Q36" i="47"/>
  <c r="O35" i="47"/>
  <c r="M37" i="47"/>
  <c r="P37" i="47"/>
  <c r="O36" i="47"/>
  <c r="N37" i="47"/>
  <c r="M34" i="47"/>
  <c r="O37" i="47"/>
  <c r="N34" i="47"/>
  <c r="M36" i="47"/>
  <c r="N36" i="47"/>
  <c r="P36" i="47"/>
  <c r="Q29" i="31" l="1"/>
  <c r="Q28" i="31"/>
  <c r="Q19" i="31"/>
  <c r="Q18" i="31"/>
  <c r="G10" i="31"/>
  <c r="W10" i="31" s="1"/>
  <c r="F10" i="31"/>
  <c r="V10" i="31" s="1"/>
  <c r="W23" i="31" s="1"/>
  <c r="Z19" i="31" l="1"/>
  <c r="Z24" i="31"/>
  <c r="AA24" i="31"/>
  <c r="Y24" i="31"/>
  <c r="G23" i="31"/>
  <c r="I23" i="31" s="1"/>
  <c r="Y23" i="31"/>
  <c r="Z23" i="31"/>
  <c r="V66" i="31"/>
  <c r="V65" i="31"/>
  <c r="Z28" i="31"/>
  <c r="AA28" i="31"/>
  <c r="Y28" i="31"/>
  <c r="Z29" i="31"/>
  <c r="Y29" i="31"/>
  <c r="U66" i="31"/>
  <c r="U65" i="31"/>
  <c r="U67" i="31"/>
  <c r="G19" i="31"/>
  <c r="G24" i="31"/>
  <c r="I24" i="31" s="1"/>
  <c r="G18" i="31"/>
  <c r="W28" i="31"/>
  <c r="G28" i="31"/>
  <c r="I28" i="31" s="1"/>
  <c r="G29" i="31"/>
  <c r="I29" i="31" s="1"/>
  <c r="AA29" i="31"/>
  <c r="AA19" i="31"/>
  <c r="W18" i="31"/>
  <c r="AA23" i="31"/>
  <c r="V67" i="31"/>
  <c r="I18" i="31" l="1"/>
  <c r="I19" i="31"/>
  <c r="U64" i="31"/>
  <c r="V64" i="31"/>
  <c r="N6" i="41" l="1"/>
  <c r="O6" i="41"/>
  <c r="K9" i="49" l="1"/>
  <c r="N9" i="49" s="1"/>
  <c r="N131" i="49" s="1"/>
  <c r="O12" i="31"/>
  <c r="K10" i="49"/>
  <c r="N10" i="49" s="1"/>
  <c r="N132" i="49" s="1"/>
  <c r="O13" i="31"/>
  <c r="L6" i="41"/>
  <c r="N12" i="31" s="1"/>
  <c r="M6" i="41"/>
  <c r="K132" i="49" l="1"/>
  <c r="P23" i="31"/>
  <c r="V12" i="31"/>
  <c r="X23" i="31" s="1"/>
  <c r="J10" i="49"/>
  <c r="M10" i="49" s="1"/>
  <c r="M132" i="49" s="1"/>
  <c r="N13" i="31"/>
  <c r="K131" i="49"/>
  <c r="P29" i="31"/>
  <c r="W13" i="31"/>
  <c r="X29" i="31" s="1"/>
  <c r="P28" i="31"/>
  <c r="W12" i="31"/>
  <c r="X28" i="31" s="1"/>
  <c r="J9" i="49"/>
  <c r="I132" i="49"/>
  <c r="L132" i="49"/>
  <c r="I131" i="49"/>
  <c r="L131" i="49"/>
  <c r="P24" i="31" l="1"/>
  <c r="V13" i="31"/>
  <c r="X24" i="31" s="1"/>
  <c r="J132" i="49"/>
  <c r="M9" i="49"/>
  <c r="M131" i="49" s="1"/>
  <c r="J13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<sst xmlns="http://schemas.openxmlformats.org/spreadsheetml/2006/main" count="1905" uniqueCount="414">
  <si>
    <t>Description of this workbook:</t>
  </si>
  <si>
    <t>The risk calculator workbook contains the following spreadsheets: Dashboard, RR, Inhalation Exposure, Dermal Crosswalk, Dermal Exposure, Exposure Factors, Hazard Values, and List Values. The workbook is designed such that the user need only to use the first two spreadsheets which have tabs colored green and contain the results of the risk calculator i.e. the Dashboard and the RR. The remaining spreadsheets contain data storage and calculation spreadsheets.</t>
  </si>
  <si>
    <t>Worksheet</t>
  </si>
  <si>
    <t>Description</t>
  </si>
  <si>
    <t>Calculation Summary</t>
  </si>
  <si>
    <t>Dashboard</t>
  </si>
  <si>
    <t>RR</t>
  </si>
  <si>
    <t>Aggregate RR</t>
  </si>
  <si>
    <t>Exposure Results,
Dermal Exposure, 
Exposure Factors, 
Hazard Values, and 
List Values</t>
  </si>
  <si>
    <t>As described above the remaining spreadsheets are data storage and calculation spreadsheets. These worksheets store the exposure estimates, health values and store some of the risk calculations. The user does not need to access these worksheets to use the Dashboard and RR spreadsheets as described above; all results are automatically loaded into the Dashboard and RR spreadsheets.</t>
  </si>
  <si>
    <t>Equations and Calculations Used for Risk Calculator</t>
  </si>
  <si>
    <t>Exposure Type</t>
  </si>
  <si>
    <t>Equation</t>
  </si>
  <si>
    <t>Equation Parameters</t>
  </si>
  <si>
    <r>
      <t>Inhalation Exposure Calculations</t>
    </r>
    <r>
      <rPr>
        <b/>
        <vertAlign val="superscript"/>
        <sz val="10"/>
        <color theme="1"/>
        <rFont val="Times New Roman"/>
        <family val="1"/>
      </rPr>
      <t>a</t>
    </r>
  </si>
  <si>
    <t>Acute Dose (AD) (mg/kg/day)</t>
  </si>
  <si>
    <t>AD = 8-hr TWA Concentration x ED x BR / BW</t>
  </si>
  <si>
    <r>
      <t>- ED = 8 hr/day
- BR = Breathing Rate (worker): 1.25 m</t>
    </r>
    <r>
      <rPr>
        <vertAlign val="superscript"/>
        <sz val="10"/>
        <color theme="1"/>
        <rFont val="Times New Roman"/>
        <family val="1"/>
      </rPr>
      <t>3</t>
    </r>
    <r>
      <rPr>
        <sz val="10"/>
        <color theme="1"/>
        <rFont val="Times New Roman"/>
        <family val="1"/>
      </rPr>
      <t>/hr
- BW = Body weight: 80 kg (average adult worker), 72.4 kg (woman of childbearing age)</t>
    </r>
  </si>
  <si>
    <t>Intermediate Average Daily Dose (IADD)(mg/kg/day)</t>
  </si>
  <si>
    <t>IADD = 8-hr TWA concentration x ED x BR x EFint/ (BW x ID)</t>
  </si>
  <si>
    <t>- ED = 8 hr/day
- BR = Breathing Rate (worker): 1.25 m3/hr
- BW = Body weight: 80 kg (average adult worker), 72.4 kg (woman of childbearing age)
- EFint = The exposure days in the numerator will typically be 22 days/yr when the total exposure days/yr is &gt;22 days/yr or equal to the total exposure days/yr if the total is &lt;22 days/yr. This maximizes the number of exposure days in the Intermediate timeframe, accounting for days off.  However, we may adjust this approach if we have specific information about the OES. For example, if we know that facilities operate using a single, week-long campaign, once per month (i.e., 7 days/month x 12 months). In this case, we would use 7 days for the Intermediate exposure days.
- ID = 30 days</t>
  </si>
  <si>
    <t>Chronic Average Daily Dose (ADD)(mg/kg/day)</t>
  </si>
  <si>
    <t>ADD = 8-hr TWA concentration x ED x BR  x EF x WY/ (BW x 365days/yr x WY)</t>
  </si>
  <si>
    <t>- ED = 8 hr/day
- BR = Breathing Rate (worker): 1.25 m3/hr
- BW = Body weight: 80 kg (average adult worker), 72.4 kg (woman of childbearing age)
- EF = 2 to 250 days depending on OES
- WY = 31 (central tendency) to 40 yr (high-end)</t>
  </si>
  <si>
    <t>Inhalation Exposure Risk Calculations</t>
  </si>
  <si>
    <t>Human Equivalent Dose (HED) (mg/kg)</t>
  </si>
  <si>
    <t>see Health Data tab</t>
  </si>
  <si>
    <t>Benchmark Margin of Exposure (MOE) (unitless)</t>
  </si>
  <si>
    <t>Acute MOE (unitless)</t>
  </si>
  <si>
    <t>HED / AD</t>
  </si>
  <si>
    <t>The calculated MOE is then compared with the Benchmark MOE; if the calculated MOE is less than the benchmark MOE then there is risk.</t>
  </si>
  <si>
    <t>Intermediate MOE (unitless)</t>
  </si>
  <si>
    <t>HED / IADD</t>
  </si>
  <si>
    <t>Chronic, Non-Cancer MOE (unitless)</t>
  </si>
  <si>
    <t>HED / ADD</t>
  </si>
  <si>
    <t>Dermal Exposures</t>
  </si>
  <si>
    <t>AD = APDR / BW</t>
  </si>
  <si>
    <t xml:space="preserve"> - AD	= Acute retained dose (mg/kg-day)
 - APDR	= Acute potential dose rate (mg/day)
 - BW	= Body weight (kg)</t>
  </si>
  <si>
    <t>Intermediate Daily Dose (IADD)(mg/kg/day)</t>
  </si>
  <si>
    <r>
      <t>IADD = APDR x EF</t>
    </r>
    <r>
      <rPr>
        <vertAlign val="subscript"/>
        <sz val="10"/>
        <color theme="1"/>
        <rFont val="Times New Roman"/>
        <family val="1"/>
      </rPr>
      <t>int</t>
    </r>
    <r>
      <rPr>
        <sz val="10"/>
        <color theme="1"/>
        <rFont val="Times New Roman"/>
        <family val="1"/>
      </rPr>
      <t xml:space="preserve"> / BW x ID</t>
    </r>
  </si>
  <si>
    <t>- APDR	= Acute potential dose rate (mg/day)
-  EFint = The exposure days in the numerator will typically be 22 days/yr when the total exposure days/yr is &gt;22 days/yr or equal to the total exposure days/yr if the total is &lt;22 days/yr. This maximizes the number of exposure days in the Intermediate timeframe, accounting for days off.  However, we may adjust this approach if we have specific information about the OES. For example, if we know that facilities operate using a single, week-long campaign, once per month (i.e., 7 days/month x 12 months). In this case, we would use 7 days for the Intermediate exposure days.
- ID = 30 days
- BW = Body weight: 80 kg (average adult worker), 72.4 kg (woman of childbearing age)
- IADD	=	Intermediate average daily dose (mg/kg-day)</t>
  </si>
  <si>
    <t>ADD = APDR x EF x WY/ (BW x 365days/yr x WY)</t>
  </si>
  <si>
    <t>-APDR = Acute potential dose rate (mg/day)
- BW = Body weight: 80 kg (average adult worker), 72.4 kg (woman of childbearing age)
- EF = 2 to 250 days depending on OES
- WY = 31 (central tendency) to 40 yr (high-end)</t>
  </si>
  <si>
    <t>Dermal Exposure Risk Calculations</t>
  </si>
  <si>
    <t>HED / ARD</t>
  </si>
  <si>
    <t>HED / SCRD</t>
  </si>
  <si>
    <t>HED / CRD (non-cancer)</t>
  </si>
  <si>
    <t>Occupational Exposure Scenario</t>
  </si>
  <si>
    <t>Inhalation Exposure</t>
  </si>
  <si>
    <t>Personal Protective Equipment (PPE)</t>
  </si>
  <si>
    <t>Dermal</t>
  </si>
  <si>
    <t>Select the Occupational Exposure Scenario (select)</t>
  </si>
  <si>
    <t>Data Type
(Auto-Fill)</t>
  </si>
  <si>
    <t>Respirator Protection Factor (Select)</t>
  </si>
  <si>
    <t>Glove Protection Factor (Select)</t>
  </si>
  <si>
    <t>Worker Type
(Default)</t>
  </si>
  <si>
    <t>Plastics Converting</t>
  </si>
  <si>
    <t>Average Adult Worker</t>
  </si>
  <si>
    <t>Inhalation</t>
  </si>
  <si>
    <t>Aggregate Inhalation and Dermal</t>
  </si>
  <si>
    <t>Exposure Outputs</t>
  </si>
  <si>
    <t>Category</t>
  </si>
  <si>
    <t>Exposure Level</t>
  </si>
  <si>
    <t>Acute Dose</t>
  </si>
  <si>
    <t>Intermediate, Non-Cancer Exposures</t>
  </si>
  <si>
    <t>Average Daily Dose, Chronic Non-Cancer Exposures</t>
  </si>
  <si>
    <t>Intermediate Average Daily Dose</t>
  </si>
  <si>
    <t>AD (mg/kg/day)</t>
  </si>
  <si>
    <t>IADD (mg/kg/day)</t>
  </si>
  <si>
    <t>ADD (mg/kg/day)</t>
  </si>
  <si>
    <t>ADD, non-cancer (mg/kg/day)</t>
  </si>
  <si>
    <t>AD ((mg/kg/day))</t>
  </si>
  <si>
    <t>High-End</t>
  </si>
  <si>
    <t>Central Tendency</t>
  </si>
  <si>
    <t>ONU</t>
  </si>
  <si>
    <t>Risk Estimation for Acute, Non-Cancer Inhalation Exposures</t>
  </si>
  <si>
    <t>Risk Estimation for Acute, Non-Cancer Dermal Exposures</t>
  </si>
  <si>
    <t>Risk Estimation for Acute, Non-Cancer Aggregate Exposures</t>
  </si>
  <si>
    <t>Health Effect, Endpoint and Study</t>
  </si>
  <si>
    <t>POD (mg/kg/day)</t>
  </si>
  <si>
    <t>Benchmark MOE 
(= Total UF)</t>
  </si>
  <si>
    <t>Acute Exposure Estimates</t>
  </si>
  <si>
    <t>Gloved Scenarios</t>
  </si>
  <si>
    <t>Respirator and Glove Scenario</t>
  </si>
  <si>
    <t>Worker MOE</t>
  </si>
  <si>
    <t>ONU MOE</t>
  </si>
  <si>
    <t>Worker MOE, No Gloves</t>
  </si>
  <si>
    <t>ONU MOE, No Gloves</t>
  </si>
  <si>
    <t>Tox1</t>
  </si>
  <si>
    <t>Risk Estimation for Intermediate, Non-Cancer Inhalation Exposures</t>
  </si>
  <si>
    <t>Risk Estimation for Intermediate, Non-Cancer Dermal Exposures</t>
  </si>
  <si>
    <t>Risk Estimation for Intermediate, Non-Cancer Aggregate Exposures</t>
  </si>
  <si>
    <t>Intermediate Exposure Estimates</t>
  </si>
  <si>
    <t>Tox2</t>
  </si>
  <si>
    <t>Risk Estimation for Chronic, Non-Cancer Inhalation Exposures</t>
  </si>
  <si>
    <t>Risk Estimation for Chronic, Non-Cancer Dermal Exposures</t>
  </si>
  <si>
    <t>Risk Estimation for Chronic, Non-Cancer Aggregate Exposures</t>
  </si>
  <si>
    <t>Chronic Exposure Estimates</t>
  </si>
  <si>
    <t>HED (mg/kg)</t>
  </si>
  <si>
    <t>Tox3</t>
  </si>
  <si>
    <t>Worker</t>
  </si>
  <si>
    <t>Aggregate Cancer Risk Estimates</t>
  </si>
  <si>
    <t>Baseline Worker</t>
  </si>
  <si>
    <t>Incorporation into Adhesives and Sealants</t>
  </si>
  <si>
    <t>8-hr TWA Inhalation Exposures</t>
  </si>
  <si>
    <t>Acute Exposures</t>
  </si>
  <si>
    <t>Chronic, Non-Cancer Exposures</t>
  </si>
  <si>
    <t>Acute Retained Dose</t>
  </si>
  <si>
    <t>Chronic Retained Dose, Non-Cancer</t>
  </si>
  <si>
    <t>AD (mg/kg-day)</t>
  </si>
  <si>
    <t>ADD (mg/kg-day)</t>
  </si>
  <si>
    <t>Risk Estimation for Inhalation Exposures</t>
  </si>
  <si>
    <t>Risk Estimation for Dermal Exposures</t>
  </si>
  <si>
    <t>Risk Type</t>
  </si>
  <si>
    <t>Toxicity Endpoint</t>
  </si>
  <si>
    <t>Study</t>
  </si>
  <si>
    <t>POD (mg/kg/day) or IUR (ppm-1)</t>
  </si>
  <si>
    <t>Assigned Protection Factor (APF)</t>
  </si>
  <si>
    <t>No Gloves</t>
  </si>
  <si>
    <t>Protection Factor (PF)</t>
  </si>
  <si>
    <t>No Respirator</t>
  </si>
  <si>
    <t>Acute, Non-Cancer</t>
  </si>
  <si>
    <t>Intermediate, Non-Cancer</t>
  </si>
  <si>
    <t>Chronic, Non-Cancer</t>
  </si>
  <si>
    <t>=</t>
  </si>
  <si>
    <t>Worker Type</t>
  </si>
  <si>
    <t>AD, 24-hr TWA (mg/kg/day)</t>
  </si>
  <si>
    <t>ADD, 24-hr TWA (mg/kg/day)</t>
  </si>
  <si>
    <t>Risk Estimation for Aggregate Exposures</t>
  </si>
  <si>
    <t>Glove Protection Factor</t>
  </si>
  <si>
    <t>Respirator Assigned Protection Factors</t>
  </si>
  <si>
    <t>Exposure Days/yr</t>
  </si>
  <si>
    <t>Eight Hour  TWA Exposures - Vapor</t>
  </si>
  <si>
    <t>Eight Hour  TWA Exposures - Mist</t>
  </si>
  <si>
    <t>Eight Hour  TWA Exposures - Dust</t>
  </si>
  <si>
    <t>Eight Hour  TWA Exposures - All Routes</t>
  </si>
  <si>
    <t>Chronic Average Daily Dose, Non-Cancer Exposures</t>
  </si>
  <si>
    <r>
      <t>C, 8-hr TWA (mg/m</t>
    </r>
    <r>
      <rPr>
        <b/>
        <vertAlign val="superscript"/>
        <sz val="10"/>
        <rFont val="Times New Roman"/>
        <family val="1"/>
      </rPr>
      <t>3</t>
    </r>
    <r>
      <rPr>
        <b/>
        <sz val="10"/>
        <rFont val="Times New Roman"/>
        <family val="1"/>
      </rPr>
      <t>)</t>
    </r>
  </si>
  <si>
    <t>IADD (mg/m3)</t>
  </si>
  <si>
    <t>Column1</t>
  </si>
  <si>
    <t>OES Group</t>
  </si>
  <si>
    <t>OES</t>
  </si>
  <si>
    <t>Vapor Exposure Scenario</t>
  </si>
  <si>
    <t>ED_High-End</t>
  </si>
  <si>
    <t>ED_Central Tendency</t>
  </si>
  <si>
    <t>Vapor_HE</t>
  </si>
  <si>
    <t>Vapor_CT</t>
  </si>
  <si>
    <t>Mist_HE</t>
  </si>
  <si>
    <t>Mist_CT</t>
  </si>
  <si>
    <t>Dust_HE</t>
  </si>
  <si>
    <t>Dust_CT</t>
  </si>
  <si>
    <t>All Routes_HE</t>
  </si>
  <si>
    <t>All Routes_CT</t>
  </si>
  <si>
    <t>24hr_High-End</t>
  </si>
  <si>
    <t>24hr_Central Tendency</t>
  </si>
  <si>
    <t>Int_High-End</t>
  </si>
  <si>
    <t>Int_Central Tendency</t>
  </si>
  <si>
    <t>ADD_High-End</t>
  </si>
  <si>
    <t>ADD_Central Tendency</t>
  </si>
  <si>
    <t>Eight-Hour TWA Data Points</t>
  </si>
  <si>
    <t>Total Data Points</t>
  </si>
  <si>
    <t>Sources &amp; Notes</t>
  </si>
  <si>
    <t>Data Type</t>
  </si>
  <si>
    <t>Manufacturing</t>
  </si>
  <si>
    <t>8-hr</t>
  </si>
  <si>
    <t>None</t>
  </si>
  <si>
    <t>Vapor Inhalation Model for Manufacturing OES acting as representative for all down stream OES</t>
  </si>
  <si>
    <t>Modeled Data</t>
  </si>
  <si>
    <t>Female of Reproductive Age</t>
  </si>
  <si>
    <t>Central Tendancy of Worker used  for ONU bounding exposure.</t>
  </si>
  <si>
    <t>Import and Repackaging</t>
  </si>
  <si>
    <t>Incorporation into Paints and Coatings</t>
  </si>
  <si>
    <t>Formulation into Pre-Catalyst</t>
  </si>
  <si>
    <t>Vapor Inhalation Model for Manufacturing OES acting as representative for all down stream OES
PNOR Dust Model</t>
  </si>
  <si>
    <t>Intermediate in Polypropylene Manufacturing</t>
  </si>
  <si>
    <t>Plastic Compounding</t>
  </si>
  <si>
    <t>Rubber Compounding</t>
  </si>
  <si>
    <t>Rubber Converting</t>
  </si>
  <si>
    <t>Vapor Inhalation Model for Manufacturing OES acting as representative for all down stream OES
Spray Mist Model</t>
  </si>
  <si>
    <t>Use of Laboratory Chemicals (Liquids)</t>
  </si>
  <si>
    <t>Use of Laboratory Chemicals (Solids)</t>
  </si>
  <si>
    <t>Recycling</t>
  </si>
  <si>
    <t>Waste handling, treatment, and disposal</t>
  </si>
  <si>
    <t>Fabrication or Use of Final Products and Articles</t>
  </si>
  <si>
    <t>\</t>
  </si>
  <si>
    <t>Potential Liquid Dose Rate (mg/day)</t>
  </si>
  <si>
    <t>Potential Solid Dose Rate (mg/day)</t>
  </si>
  <si>
    <t>Acute Retained Dose - Adjusted for Worker Type</t>
  </si>
  <si>
    <t>Intermediate Average Daily Dose, Non-Cancer</t>
  </si>
  <si>
    <t>Average Daily Dose, Chronic Non-Cancer</t>
  </si>
  <si>
    <t>sort</t>
  </si>
  <si>
    <t>High-End Exposure to Liquid</t>
  </si>
  <si>
    <t xml:space="preserve"> Central Tendency Exposure to Liquids</t>
  </si>
  <si>
    <t>High-End Exposure to Solids</t>
  </si>
  <si>
    <t>Central Tendency  Exposure to Solids</t>
  </si>
  <si>
    <t>High-End AD (mg/kg-day)</t>
  </si>
  <si>
    <t>Central Tendency AD (mg/kg-day)</t>
  </si>
  <si>
    <r>
      <t>High-End IADD</t>
    </r>
    <r>
      <rPr>
        <b/>
        <vertAlign val="subscript"/>
        <sz val="10"/>
        <rFont val="Times New Roman"/>
        <family val="1"/>
      </rPr>
      <t xml:space="preserve"> </t>
    </r>
    <r>
      <rPr>
        <b/>
        <sz val="10"/>
        <rFont val="Times New Roman"/>
        <family val="1"/>
      </rPr>
      <t>(mg/kg-day)</t>
    </r>
  </si>
  <si>
    <t>Central Tendency IADD (mg/kg-day)</t>
  </si>
  <si>
    <t>High-End ADD (mg/kg-day)</t>
  </si>
  <si>
    <t>Central Tendency ADD (mg/kg-day)</t>
  </si>
  <si>
    <t>Population</t>
  </si>
  <si>
    <t>Inhalation Exposure Estimates</t>
  </si>
  <si>
    <t>Dermal Exposure Estimates</t>
  </si>
  <si>
    <t>Aggregate Exposure Estimates</t>
  </si>
  <si>
    <t>Acute</t>
  </si>
  <si>
    <t>Intermed.</t>
  </si>
  <si>
    <r>
      <t>Chroni</t>
    </r>
    <r>
      <rPr>
        <sz val="9.5"/>
        <color rgb="FF000000"/>
        <rFont val="Times New Roman"/>
        <family val="1"/>
      </rPr>
      <t>c</t>
    </r>
  </si>
  <si>
    <t>Inhalation Risk Estimates</t>
  </si>
  <si>
    <t>Dermal Risk Estimates (Benchmark MOE = 30)</t>
  </si>
  <si>
    <t>Aggregate Risk Estimates (Benchmark MOE = 30)</t>
  </si>
  <si>
    <t>Benchmark:</t>
  </si>
  <si>
    <t>N/A</t>
  </si>
  <si>
    <t>POD</t>
  </si>
  <si>
    <t>Exposure</t>
  </si>
  <si>
    <t>8-hr TWA - All Routes</t>
  </si>
  <si>
    <t>Daily Dose: mg/day</t>
  </si>
  <si>
    <t>Worker Population</t>
  </si>
  <si>
    <t>Exposure Concentration Type</t>
  </si>
  <si>
    <r>
      <t>High-End</t>
    </r>
    <r>
      <rPr>
        <sz val="11"/>
        <color rgb="FF000000"/>
        <rFont val="Times New Roman"/>
        <family val="1"/>
      </rPr>
      <t> </t>
    </r>
  </si>
  <si>
    <t>8-hr TWA Exposure Concentration (mg/m3) - All Routes</t>
  </si>
  <si>
    <t>Dose Rate (APDR, mg/day)</t>
  </si>
  <si>
    <t>Acute (AD, mg/kg-day)</t>
  </si>
  <si>
    <t>Intermediate (IADD, mg/kg-day)</t>
  </si>
  <si>
    <t>Chronic, Non-Cancer (ADD, mg/kg-day)</t>
  </si>
  <si>
    <t>Look-up Values and Risk Parameter Values</t>
  </si>
  <si>
    <t>AEGL Table</t>
  </si>
  <si>
    <t>AEGL-1</t>
  </si>
  <si>
    <t>AEGL-2</t>
  </si>
  <si>
    <t>AEGL-3</t>
  </si>
  <si>
    <t>Look-up Table Values</t>
  </si>
  <si>
    <t>Code</t>
  </si>
  <si>
    <t>AEGL-1 HEC (mg/m3)</t>
  </si>
  <si>
    <t>AEGL-1 HEC (ppm)</t>
  </si>
  <si>
    <t>AEGL-2 HEC (mg/m3)</t>
  </si>
  <si>
    <t>AEGL-2 HEC (ppm)</t>
  </si>
  <si>
    <t>AEGL-3 HEC (mg/m3)</t>
  </si>
  <si>
    <t>AEGL-3 HEC (ppm)</t>
  </si>
  <si>
    <t>HEC Percentiles</t>
  </si>
  <si>
    <t>Exposure Percentiles</t>
  </si>
  <si>
    <t>AEGLs</t>
  </si>
  <si>
    <t>Unknown</t>
  </si>
  <si>
    <t>Maximum</t>
  </si>
  <si>
    <t>99th Percentile</t>
  </si>
  <si>
    <t>HEC</t>
  </si>
  <si>
    <t>95th Percentile</t>
  </si>
  <si>
    <t>50th Percentile</t>
  </si>
  <si>
    <t>Toxicity Table</t>
  </si>
  <si>
    <t>Acute and Chronic, Non-Cancer Parameters</t>
  </si>
  <si>
    <t>Cancer Parameters</t>
  </si>
  <si>
    <t>5th Percentile</t>
  </si>
  <si>
    <t>Health Effect</t>
  </si>
  <si>
    <t>Endpoint</t>
  </si>
  <si>
    <t>HEC (mg/m3)</t>
  </si>
  <si>
    <t>HEC (ppm)</t>
  </si>
  <si>
    <t>HED / POD (mg/kg/day)</t>
  </si>
  <si>
    <t>Benchmark MOE</t>
  </si>
  <si>
    <r>
      <t>IUR (ppm</t>
    </r>
    <r>
      <rPr>
        <b/>
        <vertAlign val="superscript"/>
        <sz val="10"/>
        <rFont val="Times New Roman"/>
        <family val="1"/>
      </rPr>
      <t>-1</t>
    </r>
    <r>
      <rPr>
        <b/>
        <sz val="10"/>
        <rFont val="Times New Roman"/>
        <family val="1"/>
      </rPr>
      <t>)</t>
    </r>
  </si>
  <si>
    <r>
      <t>CSF (mg/kg-day</t>
    </r>
    <r>
      <rPr>
        <b/>
        <vertAlign val="superscript"/>
        <sz val="10"/>
        <rFont val="Times New Roman"/>
        <family val="1"/>
      </rPr>
      <t>-1</t>
    </r>
    <r>
      <rPr>
        <b/>
        <sz val="10"/>
        <rFont val="Times New Roman"/>
        <family val="1"/>
      </rPr>
      <t>)</t>
    </r>
  </si>
  <si>
    <t>Minimum</t>
  </si>
  <si>
    <t>Phthalate syndrome-related effects</t>
  </si>
  <si>
    <t>--</t>
  </si>
  <si>
    <t>Mean</t>
  </si>
  <si>
    <t>HEC conversion factor</t>
  </si>
  <si>
    <r>
      <t>ppm/mg/m</t>
    </r>
    <r>
      <rPr>
        <vertAlign val="superscript"/>
        <sz val="10"/>
        <color theme="1"/>
        <rFont val="Times New Roman"/>
        <family val="1"/>
      </rPr>
      <t>3</t>
    </r>
  </si>
  <si>
    <t>DIBP MW</t>
  </si>
  <si>
    <t>g/mol</t>
  </si>
  <si>
    <t>Occupational Exposure Scenarios</t>
  </si>
  <si>
    <t>Exposure Data Types</t>
  </si>
  <si>
    <t>Monitoring Data</t>
  </si>
  <si>
    <t>Manufacturing - 8-hr TWA</t>
  </si>
  <si>
    <t>1a</t>
  </si>
  <si>
    <t>Manufacturing - 12-hr TWA</t>
  </si>
  <si>
    <t>1b</t>
  </si>
  <si>
    <t>Value</t>
  </si>
  <si>
    <t>Unit</t>
  </si>
  <si>
    <t>MW</t>
  </si>
  <si>
    <t>Repackaging</t>
  </si>
  <si>
    <t>Processing as Reactant/Intermediate - 8-hr TWA</t>
  </si>
  <si>
    <t>12a</t>
  </si>
  <si>
    <t>Parameter Name</t>
  </si>
  <si>
    <t>Symbol</t>
  </si>
  <si>
    <t>Processing as Reactant/Intermediate - 12-hr TWA</t>
  </si>
  <si>
    <t>12b</t>
  </si>
  <si>
    <t>BMDL Percentile</t>
  </si>
  <si>
    <t>Exposure Duration (8-hr)</t>
  </si>
  <si>
    <t>ED_8</t>
  </si>
  <si>
    <t xml:space="preserve">hr/day </t>
  </si>
  <si>
    <t>Exposure Duration (10-hr)</t>
  </si>
  <si>
    <t>ED_10</t>
  </si>
  <si>
    <t>Incorporation into Formulation - Aerosol Packing</t>
  </si>
  <si>
    <t>13a</t>
  </si>
  <si>
    <t>Acute Exposure Averaging Time</t>
  </si>
  <si>
    <t>AT</t>
  </si>
  <si>
    <t>Incorporation into Formulation - Degreasing Solvent</t>
  </si>
  <si>
    <t>13b</t>
  </si>
  <si>
    <t xml:space="preserve">Exposure Frequency </t>
  </si>
  <si>
    <t>EF</t>
  </si>
  <si>
    <t xml:space="preserve">day/yr </t>
  </si>
  <si>
    <t>Incorporation into Formulation - Dry Cleaning Solvent</t>
  </si>
  <si>
    <t>13c</t>
  </si>
  <si>
    <t>Assigned Respirator Protection Factor</t>
  </si>
  <si>
    <t>Exposure Frequency (Intermediate)</t>
  </si>
  <si>
    <t>Incorporation into Formulation - Miscellaneous</t>
  </si>
  <si>
    <t>13d</t>
  </si>
  <si>
    <t>Days for Intermediate Duration</t>
  </si>
  <si>
    <t>ID</t>
  </si>
  <si>
    <t>Open-top Vapor Degreasing</t>
  </si>
  <si>
    <t>2a</t>
  </si>
  <si>
    <t>Working Years Per Lifetime (Mid)</t>
  </si>
  <si>
    <t>WY_mid</t>
  </si>
  <si>
    <t xml:space="preserve">yr </t>
  </si>
  <si>
    <t>Working Years Per Lifetime (High)</t>
  </si>
  <si>
    <t>WY_high</t>
  </si>
  <si>
    <t>Closed Loop Vapor Degreasing</t>
  </si>
  <si>
    <t>LT</t>
  </si>
  <si>
    <t>Averaging time For ADD (Mid)</t>
  </si>
  <si>
    <t>AT_mid</t>
  </si>
  <si>
    <t xml:space="preserve">hr </t>
  </si>
  <si>
    <t>Conveyorized Vapor Degreasing</t>
  </si>
  <si>
    <t>Averaging time For ADD (High)</t>
  </si>
  <si>
    <t>AT_high</t>
  </si>
  <si>
    <t>Assigned Glove Protection Factor</t>
  </si>
  <si>
    <t>Web Degreasing</t>
  </si>
  <si>
    <t>General uses, PF = 5</t>
  </si>
  <si>
    <t>Commercial uses, PF = 10</t>
  </si>
  <si>
    <t>Cold Cleaning</t>
  </si>
  <si>
    <t>6a</t>
  </si>
  <si>
    <t>Industrial uses, PF = 20</t>
  </si>
  <si>
    <t>6b</t>
  </si>
  <si>
    <t>Aerosol Degreasing/Lubricants</t>
  </si>
  <si>
    <t>7a</t>
  </si>
  <si>
    <t>7b</t>
  </si>
  <si>
    <t>Post-2006 Dry Cleaning (including spot cleaning)</t>
  </si>
  <si>
    <t>8a</t>
  </si>
  <si>
    <t>4th/5th Gen Only Dry Cleaning (including spot cleaning)</t>
  </si>
  <si>
    <t>8b</t>
  </si>
  <si>
    <t>8c</t>
  </si>
  <si>
    <t>Paints/Coatings (commercial)</t>
  </si>
  <si>
    <t>9a</t>
  </si>
  <si>
    <t>Paints/Coatings (industrial)</t>
  </si>
  <si>
    <t>9b</t>
  </si>
  <si>
    <t>Adhesives (commercial)</t>
  </si>
  <si>
    <t>9c</t>
  </si>
  <si>
    <t>Adhesives (industrial)</t>
  </si>
  <si>
    <t>9d</t>
  </si>
  <si>
    <t>Chemical Maskant</t>
  </si>
  <si>
    <t>Industrial Processing Aid</t>
  </si>
  <si>
    <t>Other Industrial Uses - Miscellaneous</t>
  </si>
  <si>
    <t>15a</t>
  </si>
  <si>
    <t>Other Industrial Uses - Textile Processing</t>
  </si>
  <si>
    <t>15b</t>
  </si>
  <si>
    <t>Other Industrial Uses - Wood Furniture Manufacturing</t>
  </si>
  <si>
    <t>15c</t>
  </si>
  <si>
    <t>Other Industrial Uses - Foundry Applications</t>
  </si>
  <si>
    <t>15d</t>
  </si>
  <si>
    <t>Metalworking Fluid</t>
  </si>
  <si>
    <t>Wipe Cleaning and Metal/Stone Polishes</t>
  </si>
  <si>
    <t>Other Spot Cleaning/Spot Removers (Including Carpet Cleaning)</t>
  </si>
  <si>
    <t>Other Commercial Uses - Printing</t>
  </si>
  <si>
    <t>19a</t>
  </si>
  <si>
    <t>Other Commercial Uses - Photocopying</t>
  </si>
  <si>
    <t>19b</t>
  </si>
  <si>
    <t>Other Commercial Uses - Photographic Film</t>
  </si>
  <si>
    <t>19c</t>
  </si>
  <si>
    <t>Other Commercial Uses - Mold Release</t>
  </si>
  <si>
    <t>19d</t>
  </si>
  <si>
    <t>Other DOD Uses - Water Pipe Repair</t>
  </si>
  <si>
    <t>20a</t>
  </si>
  <si>
    <t>Other DOD Uses - Oil analysis</t>
  </si>
  <si>
    <t>20b</t>
  </si>
  <si>
    <t>Disposal/Recycling and Disposal</t>
  </si>
  <si>
    <t>Laboratory Chemicals</t>
  </si>
  <si>
    <t>Exposure Factors</t>
  </si>
  <si>
    <t>Characterization of Value</t>
  </si>
  <si>
    <t>Notes on Values:</t>
  </si>
  <si>
    <t>Body Weight, BW (kg)</t>
  </si>
  <si>
    <t>Per the exposure factors handbook 80 kg is the mean body weight for all adults. The "Female of Reproductive Age" weight is the mean for women 16-50 (listed below).</t>
  </si>
  <si>
    <r>
      <t>1 Hand Surface Area (cm</t>
    </r>
    <r>
      <rPr>
        <b/>
        <vertAlign val="superscript"/>
        <sz val="10"/>
        <color theme="1"/>
        <rFont val="Times New Roman"/>
        <family val="1"/>
      </rPr>
      <t>2</t>
    </r>
    <r>
      <rPr>
        <b/>
        <sz val="10"/>
        <color theme="1"/>
        <rFont val="Times New Roman"/>
        <family val="1"/>
      </rPr>
      <t>)</t>
    </r>
  </si>
  <si>
    <r>
      <t>535/1070 cm</t>
    </r>
    <r>
      <rPr>
        <vertAlign val="superscript"/>
        <sz val="10"/>
        <color theme="1"/>
        <rFont val="Times New Roman"/>
        <family val="1"/>
      </rPr>
      <t>2</t>
    </r>
    <r>
      <rPr>
        <sz val="10"/>
        <color theme="1"/>
        <rFont val="Times New Roman"/>
        <family val="1"/>
      </rPr>
      <t xml:space="preserve"> is the average male 1 hand/2 hand area and 445/890 cm</t>
    </r>
    <r>
      <rPr>
        <vertAlign val="superscript"/>
        <sz val="10"/>
        <color theme="1"/>
        <rFont val="Times New Roman"/>
        <family val="1"/>
      </rPr>
      <t>2</t>
    </r>
    <r>
      <rPr>
        <sz val="10"/>
        <color theme="1"/>
        <rFont val="Times New Roman"/>
        <family val="1"/>
      </rPr>
      <t xml:space="preserve"> is the female average.</t>
    </r>
  </si>
  <si>
    <r>
      <t>2 Hand Surface Area (cm</t>
    </r>
    <r>
      <rPr>
        <b/>
        <vertAlign val="superscript"/>
        <sz val="10"/>
        <color theme="1"/>
        <rFont val="Times New Roman"/>
        <family val="1"/>
      </rPr>
      <t>2</t>
    </r>
    <r>
      <rPr>
        <b/>
        <sz val="10"/>
        <color theme="1"/>
        <rFont val="Times New Roman"/>
        <family val="1"/>
      </rPr>
      <t>)</t>
    </r>
  </si>
  <si>
    <t>Working Years - High-End (yr)</t>
  </si>
  <si>
    <t>Working Years - Central Tendency (yr)</t>
  </si>
  <si>
    <t>Lifetime</t>
  </si>
  <si>
    <r>
      <t>Worker Breathing Rate (m</t>
    </r>
    <r>
      <rPr>
        <vertAlign val="superscript"/>
        <sz val="10"/>
        <color theme="1"/>
        <rFont val="Times New Roman"/>
        <family val="1"/>
      </rPr>
      <t>3</t>
    </r>
    <r>
      <rPr>
        <sz val="10"/>
        <color theme="1"/>
        <rFont val="Times New Roman"/>
        <family val="1"/>
      </rPr>
      <t>/hr)</t>
    </r>
  </si>
  <si>
    <t>Discrete</t>
  </si>
  <si>
    <t>Worker breathing rate is the combined average for men and women.</t>
  </si>
  <si>
    <r>
      <t>Resting Breathing Rate (m</t>
    </r>
    <r>
      <rPr>
        <vertAlign val="superscript"/>
        <sz val="10"/>
        <color theme="1"/>
        <rFont val="Times New Roman"/>
        <family val="1"/>
      </rPr>
      <t>3</t>
    </r>
    <r>
      <rPr>
        <sz val="10"/>
        <color theme="1"/>
        <rFont val="Times New Roman"/>
        <family val="1"/>
      </rPr>
      <t>/hr)</t>
    </r>
  </si>
  <si>
    <t>Woman of Childbearing Age Exposure Factors:</t>
  </si>
  <si>
    <t>Body Weight:</t>
  </si>
  <si>
    <t>From the Exposure Factors Handbook Table 8-5: Mean and Percentile Body Weights (kg) for Females Derived from NHANES (1990-2006) (1)</t>
  </si>
  <si>
    <t>Age 16 to &lt;21 years: 65.9 kg (mean)</t>
  </si>
  <si>
    <t>Age 21 to &lt;30 years: 71.9 kg (mean)</t>
  </si>
  <si>
    <t>Age 30 to &lt;40 years: 74.8 kg (mean)</t>
  </si>
  <si>
    <t>Age 40 to &lt;50 years: 77.1 kg (mean)</t>
  </si>
  <si>
    <t>(1) U.S. Environmental Protection Agency (EPA). (2011) Exposure Factors Handbook: 2011 Edition. National Center for Environmental Assessment, Washington, DC; EPA/600/R-09/052F. Available from the National Technical Information Service, Springfield, VA, and online at http://www.epa.gov/ncea/efh.</t>
  </si>
  <si>
    <t xml:space="preserve">(2) U.S. Bureau of Labor Statistics (BLS), Current Population Survey (CPS) tenure data: Employee Tenure News Release (2014). http://www.bls.gov/news.release/archives/tenure_09182014.htm </t>
  </si>
  <si>
    <t>(3) U.S. Census Bureau, Survey of Income and Program Participation (SIPP): SIPP introduction and history (2019). https://www.census.gov/programs-surveys/sipp/about/sipp-introduction-history.html</t>
  </si>
  <si>
    <t>Application of paints and coatings - Spray application</t>
  </si>
  <si>
    <t>Application of paints and coatings - Non spray application</t>
  </si>
  <si>
    <t>Application of Adhesives and Sealants - Spray application</t>
  </si>
  <si>
    <t>Application of Adhesives and Sealants - Non spray application</t>
  </si>
  <si>
    <t>Efint (EFID in formulas)</t>
  </si>
  <si>
    <t>Target Risk Level</t>
  </si>
  <si>
    <t>Lifetime Years</t>
  </si>
  <si>
    <t>An overview of the inhalation and dermal equations utilized to estimate the acute-; intermediate-; and chronic, non-cancer-dose of each Occupational Exposure Scenario (OES) from an estimated concentration or dose to workers and ONUs.</t>
  </si>
  <si>
    <t>The Dashboard is an interactive spreadsheet that allows a user to view exposure results for a selected OES and with a single PPE option of their choosing (i.e. respirator APF or Glove Protection Factor PF). The user can select the desired OES, PPE options and for dermal exposures the worker type (either an average adult or a female of reproductive age) from a drop-down menu. The exposure estimates are shown in the “Exposure Outputs” section for both inhalation and dermal routes and for high-end and central tendency exposures. For inhalation exposures the columns show results for both worker and ONU exposures. The “Risk Estimation” sections are separated into acute, intermediate, and chronic non-cancer sections. For each section there is a brief description of the hazard endpoint and the hazard value i.e. HEC for non-cancer effects from inhalation exposure, HED for non-cancer effects from dermal exposure. The risk estimations show two columns of risk estimates: one column for exposures without PPE and one column for the results of the user-selected PPE option. These two columns allow the user to compare with and without PPE results side-by-side. The Dashboard automatically shades the MOE cells when they exceed the benchmark MOE value.</t>
  </si>
  <si>
    <t>The RR spreadsheet is an expanded version of the Dashboard. Similar to the Dashboard the RR allows the user to select a OES. However, the user also selected to see results for a worker or ONU and instead of requiring a user to select a single exposure reduction option, the Heat Map displays all the PPE options. The RR spreadsheet has a column each for no PPE and each PPE option (i.e. APF or PF). The RR spreadsheet has a row for each toxicity endpoint, and each row shows the MOE values. Similar to the Dashboard, the RR spreadsheet shades results if the MOE exceeds the benchmark MOE.</t>
  </si>
  <si>
    <t>The Aggregate RR spreadsheet is an expanded version of the Aggregate section of the Dashboard.  Similar to the Dashboard the RR allows the user to select a OES. However, the user also selected to see results for a worker or ONU and instead of requiring a user to select a single exposure reduction option, the Heat Map displays all the PPE options. The RR spreadsheet has a column each for no PPE and each PPE option (i.e. APF or PF). The RR spreadsheet has a row for each toxicity endpoint, and each row shows the MOE values. Similar to the Dashboard, the RR spreadsheet shades results if the MOE exceeds the benchmark MOE.</t>
  </si>
  <si>
    <t>PUBLIC RELEASE DRAFT</t>
  </si>
  <si>
    <t>Version – July 2025</t>
  </si>
  <si>
    <t>CASRNs: 84-69-5</t>
  </si>
  <si>
    <t>July 2025</t>
  </si>
  <si>
    <t>Draft Risk Calculator for Occupational Exposures for Diisobutyl Phthalate (DIBP)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</si>
</sst>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00"/>
    <numFmt numFmtId="166" formatCode="0.0E+00"/>
    <numFmt numFmtId="167" formatCode="0.0000"/>
    <numFmt numFmtId="168" formatCode="0.0%"/>
    <numFmt numFmtId="169" formatCode="0.000E+00"/>
    <numFmt numFmtId="170" formatCode="_(* #,##0_);_(* \(#,##0\);_(* &quot;-&quot;??_);_(@_)"/>
    <numFmt numFmtId="171" formatCode="_(* #,##0.0_);_(* \(#,##0.0\);_(* &quot;-&quot;??_);_(@_)"/>
  </numFmts>
  <fonts count="41" x14ac:knownFonts="1">
    <font>
      <sz val="11"/>
      <color theme="1"/>
      <name val="Calibri"/>
      <family val="2"/>
      <scheme val="minor"/>
    </font>
    <font>
      <sz val="10"/>
      <name val="Arial"/>
      <family val="2"/>
    </font>
    <font>
      <sz val="8"/>
      <name val="Calibri"/>
      <family val="2"/>
      <scheme val="minor"/>
    </font>
    <font>
      <sz val="11"/>
      <color theme="1"/>
      <name val="Calibri"/>
      <family val="2"/>
      <scheme val="minor"/>
    </font>
    <font>
      <b/>
      <sz val="16"/>
      <color theme="1"/>
      <name val="Times New Roman"/>
      <family val="1"/>
    </font>
    <font>
      <b/>
      <i/>
      <sz val="14"/>
      <color theme="1"/>
      <name val="Times New Roman"/>
      <family val="1"/>
    </font>
    <font>
      <sz val="10"/>
      <color theme="1"/>
      <name val="Times New Roman"/>
      <family val="1"/>
    </font>
    <font>
      <sz val="11"/>
      <color theme="1"/>
      <name val="Times New Roman"/>
      <family val="1"/>
    </font>
    <font>
      <b/>
      <sz val="10"/>
      <color theme="1"/>
      <name val="Times New Roman"/>
      <family val="1"/>
    </font>
    <font>
      <b/>
      <sz val="10"/>
      <name val="Times New Roman"/>
      <family val="1"/>
    </font>
    <font>
      <b/>
      <vertAlign val="subscript"/>
      <sz val="10"/>
      <name val="Times New Roman"/>
      <family val="1"/>
    </font>
    <font>
      <b/>
      <vertAlign val="superscript"/>
      <sz val="10"/>
      <name val="Times New Roman"/>
      <family val="1"/>
    </font>
    <font>
      <sz val="10"/>
      <name val="Times New Roman"/>
      <family val="1"/>
    </font>
    <font>
      <sz val="10"/>
      <color rgb="FF000000"/>
      <name val="Times New Roman"/>
      <family val="1"/>
    </font>
    <font>
      <b/>
      <i/>
      <sz val="10"/>
      <name val="Times New Roman"/>
      <family val="1"/>
    </font>
    <font>
      <b/>
      <sz val="10"/>
      <color theme="8" tint="0.79998168889431442"/>
      <name val="Times New Roman"/>
      <family val="1"/>
    </font>
    <font>
      <b/>
      <sz val="10"/>
      <color rgb="FF000000"/>
      <name val="Times New Roman"/>
      <family val="1"/>
    </font>
    <font>
      <vertAlign val="superscript"/>
      <sz val="10"/>
      <color theme="1"/>
      <name val="Times New Roman"/>
      <family val="1"/>
    </font>
    <font>
      <sz val="10"/>
      <color rgb="FFFF0000"/>
      <name val="Times New Roman"/>
      <family val="1"/>
    </font>
    <font>
      <sz val="10"/>
      <color theme="0" tint="-4.9989318521683403E-2"/>
      <name val="Times New Roman"/>
      <family val="1"/>
    </font>
    <font>
      <u/>
      <sz val="10"/>
      <color theme="1"/>
      <name val="Times New Roman"/>
      <family val="1"/>
    </font>
    <font>
      <b/>
      <vertAlign val="superscript"/>
      <sz val="10"/>
      <color theme="1"/>
      <name val="Times New Roman"/>
      <family val="1"/>
    </font>
    <font>
      <b/>
      <sz val="10"/>
      <color theme="9" tint="0.79998168889431442"/>
      <name val="Times New Roman"/>
      <family val="1"/>
    </font>
    <font>
      <b/>
      <sz val="12"/>
      <name val="Times New Roman"/>
      <family val="1"/>
    </font>
    <font>
      <i/>
      <sz val="10"/>
      <color theme="1"/>
      <name val="Times New Roman"/>
      <family val="1"/>
    </font>
    <font>
      <b/>
      <sz val="12"/>
      <color theme="1"/>
      <name val="Times New Roman"/>
      <family val="1"/>
    </font>
    <font>
      <b/>
      <i/>
      <sz val="12"/>
      <name val="Times New Roman"/>
      <family val="1"/>
    </font>
    <font>
      <vertAlign val="subscript"/>
      <sz val="10"/>
      <color theme="1"/>
      <name val="Times New Roman"/>
      <family val="1"/>
    </font>
    <font>
      <sz val="10"/>
      <color theme="1"/>
      <name val="Calibri"/>
      <family val="2"/>
      <scheme val="minor"/>
    </font>
    <font>
      <b/>
      <sz val="11"/>
      <color rgb="FF000000"/>
      <name val="Times New Roman"/>
      <family val="1"/>
    </font>
    <font>
      <b/>
      <sz val="9.5"/>
      <color rgb="FF000000"/>
      <name val="Times New Roman"/>
      <family val="1"/>
    </font>
    <font>
      <sz val="9.5"/>
      <color rgb="FF000000"/>
      <name val="Times New Roman"/>
      <family val="1"/>
    </font>
    <font>
      <b/>
      <sz val="9.5"/>
      <name val="Times New Roman"/>
      <family val="1"/>
    </font>
    <font>
      <sz val="11"/>
      <name val="Calibri"/>
      <family val="2"/>
      <scheme val="minor"/>
    </font>
    <font>
      <sz val="11"/>
      <name val="Times New Roman"/>
      <family val="1"/>
    </font>
    <font>
      <sz val="11"/>
      <color rgb="FF000000"/>
      <name val="Times New Roman"/>
      <family val="1"/>
    </font>
    <font>
      <b/>
      <sz val="11"/>
      <name val="Times New Roman"/>
      <family val="1"/>
    </font>
    <font>
      <sz val="11"/>
      <color rgb="FF000000"/>
      <name val="Calibri"/>
      <family val="2"/>
      <scheme val="minor"/>
    </font>
    <font>
      <sz val="11"/>
      <name val="Aptos Narrow"/>
      <family val="2"/>
    </font>
    <font>
      <sz val="11"/>
      <color rgb="FF000000"/>
      <name val="Aptos Narrow"/>
      <family val="2"/>
    </font>
    <font>
      <sz val="12"/>
      <color rgb="FFFF0000"/>
      <name val="Times New Roman"/>
      <family val="1"/>
    </font>
  </fonts>
  <fills count="1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3999450666829432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2F2F2"/>
        <bgColor indexed="64"/>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dashed">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medium">
        <color auto="1"/>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bottom style="medium">
        <color auto="1"/>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indexed="64"/>
      </right>
      <top/>
      <bottom/>
      <diagonal/>
    </border>
    <border>
      <left style="thin">
        <color indexed="64"/>
      </left>
      <right style="medium">
        <color indexed="64"/>
      </right>
      <top/>
      <bottom style="medium">
        <color indexed="64"/>
      </bottom>
      <diagonal/>
    </border>
    <border>
      <left/>
      <right style="medium">
        <color auto="1"/>
      </right>
      <top style="medium">
        <color auto="1"/>
      </top>
      <bottom style="thin">
        <color auto="1"/>
      </bottom>
      <diagonal/>
    </border>
    <border>
      <left style="medium">
        <color indexed="64"/>
      </left>
      <right style="medium">
        <color auto="1"/>
      </right>
      <top style="thin">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thin">
        <color indexed="64"/>
      </right>
      <top style="medium">
        <color auto="1"/>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style="thin">
        <color theme="0" tint="-0.14996795556505021"/>
      </left>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tted">
        <color auto="1"/>
      </left>
      <right style="dotted">
        <color auto="1"/>
      </right>
      <top/>
      <bottom style="dotted">
        <color auto="1"/>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style="dotted">
        <color auto="1"/>
      </right>
      <top/>
      <bottom/>
      <diagonal/>
    </border>
    <border>
      <left style="medium">
        <color auto="1"/>
      </left>
      <right style="dotted">
        <color auto="1"/>
      </right>
      <top style="medium">
        <color auto="1"/>
      </top>
      <bottom/>
      <diagonal/>
    </border>
    <border>
      <left style="medium">
        <color auto="1"/>
      </left>
      <right style="dotted">
        <color auto="1"/>
      </right>
      <top/>
      <bottom style="medium">
        <color indexed="64"/>
      </bottom>
      <diagonal/>
    </border>
    <border>
      <left style="dotted">
        <color auto="1"/>
      </left>
      <right style="dotted">
        <color auto="1"/>
      </right>
      <top style="medium">
        <color indexed="64"/>
      </top>
      <bottom/>
      <diagonal/>
    </border>
    <border>
      <left style="dotted">
        <color indexed="64"/>
      </left>
      <right style="dotted">
        <color auto="1"/>
      </right>
      <top/>
      <bottom style="medium">
        <color indexed="64"/>
      </bottom>
      <diagonal/>
    </border>
    <border>
      <left/>
      <right style="medium">
        <color indexed="64"/>
      </right>
      <top/>
      <bottom style="medium">
        <color indexed="64"/>
      </bottom>
      <diagonal/>
    </border>
    <border>
      <left/>
      <right/>
      <top style="medium">
        <color auto="1"/>
      </top>
      <bottom style="thin">
        <color auto="1"/>
      </bottom>
      <diagonal/>
    </border>
    <border>
      <left/>
      <right style="thin">
        <color indexed="64"/>
      </right>
      <top style="medium">
        <color indexed="64"/>
      </top>
      <bottom/>
      <diagonal/>
    </border>
    <border>
      <left style="medium">
        <color indexed="64"/>
      </left>
      <right style="medium">
        <color indexed="64"/>
      </right>
      <top style="double">
        <color indexed="64"/>
      </top>
      <bottom style="thin">
        <color indexed="64"/>
      </bottom>
      <diagonal/>
    </border>
    <border>
      <left style="medium">
        <color auto="1"/>
      </left>
      <right/>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dotted">
        <color auto="1"/>
      </left>
      <right/>
      <top style="medium">
        <color auto="1"/>
      </top>
      <bottom/>
      <diagonal/>
    </border>
    <border>
      <left style="dotted">
        <color auto="1"/>
      </left>
      <right/>
      <top/>
      <bottom style="dotted">
        <color auto="1"/>
      </bottom>
      <diagonal/>
    </border>
    <border>
      <left style="dotted">
        <color auto="1"/>
      </left>
      <right/>
      <top/>
      <bottom style="medium">
        <color indexed="64"/>
      </bottom>
      <diagonal/>
    </border>
    <border>
      <left style="dotted">
        <color auto="1"/>
      </left>
      <right style="dotted">
        <color auto="1"/>
      </right>
      <top/>
      <bottom/>
      <diagonal/>
    </border>
    <border>
      <left style="dotted">
        <color auto="1"/>
      </left>
      <right style="medium">
        <color auto="1"/>
      </right>
      <top style="medium">
        <color auto="1"/>
      </top>
      <bottom/>
      <diagonal/>
    </border>
    <border>
      <left style="dotted">
        <color auto="1"/>
      </left>
      <right style="medium">
        <color auto="1"/>
      </right>
      <top/>
      <bottom/>
      <diagonal/>
    </border>
    <border>
      <left style="dotted">
        <color auto="1"/>
      </left>
      <right style="medium">
        <color auto="1"/>
      </right>
      <top/>
      <bottom style="medium">
        <color auto="1"/>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medium">
        <color indexed="64"/>
      </top>
      <bottom/>
      <diagonal/>
    </border>
    <border>
      <left style="medium">
        <color indexed="64"/>
      </left>
      <right style="medium">
        <color indexed="64"/>
      </right>
      <top style="thin">
        <color theme="1"/>
      </top>
      <bottom/>
      <diagonal/>
    </border>
    <border>
      <left/>
      <right style="medium">
        <color indexed="64"/>
      </right>
      <top style="thin">
        <color auto="1"/>
      </top>
      <bottom style="thin">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auto="1"/>
      </bottom>
      <diagonal/>
    </border>
    <border>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auto="1"/>
      </left>
      <right/>
      <top style="thin">
        <color rgb="FF000000"/>
      </top>
      <bottom/>
      <diagonal/>
    </border>
    <border>
      <left style="thin">
        <color auto="1"/>
      </left>
      <right/>
      <top/>
      <bottom style="medium">
        <color rgb="FF000000"/>
      </bottom>
      <diagonal/>
    </border>
    <border>
      <left/>
      <right style="thin">
        <color indexed="64"/>
      </right>
      <top style="thin">
        <color rgb="FF000000"/>
      </top>
      <bottom style="thin">
        <color indexed="64"/>
      </bottom>
      <diagonal/>
    </border>
    <border>
      <left/>
      <right style="thin">
        <color auto="1"/>
      </right>
      <top style="thin">
        <color auto="1"/>
      </top>
      <bottom style="medium">
        <color rgb="FF000000"/>
      </bottom>
      <diagonal/>
    </border>
    <border>
      <left style="medium">
        <color rgb="FF000000"/>
      </left>
      <right style="medium">
        <color indexed="64"/>
      </right>
      <top style="medium">
        <color rgb="FF000000"/>
      </top>
      <bottom style="double">
        <color indexed="64"/>
      </bottom>
      <diagonal/>
    </border>
    <border>
      <left/>
      <right style="medium">
        <color indexed="64"/>
      </right>
      <top style="medium">
        <color rgb="FF000000"/>
      </top>
      <bottom style="double">
        <color indexed="64"/>
      </bottom>
      <diagonal/>
    </border>
    <border>
      <left/>
      <right style="medium">
        <color rgb="FF000000"/>
      </right>
      <top style="medium">
        <color rgb="FF000000"/>
      </top>
      <bottom style="double">
        <color indexed="64"/>
      </bottom>
      <diagonal/>
    </border>
    <border>
      <left style="medium">
        <color rgb="FF000000"/>
      </left>
      <right style="thin">
        <color auto="1"/>
      </right>
      <top style="double">
        <color indexed="64"/>
      </top>
      <bottom/>
      <diagonal/>
    </border>
    <border>
      <left style="thin">
        <color indexed="64"/>
      </left>
      <right style="medium">
        <color rgb="FF000000"/>
      </right>
      <top style="double">
        <color indexed="64"/>
      </top>
      <bottom style="thin">
        <color indexed="64"/>
      </bottom>
      <diagonal/>
    </border>
    <border>
      <left style="medium">
        <color rgb="FF000000"/>
      </left>
      <right style="thin">
        <color auto="1"/>
      </right>
      <top/>
      <bottom/>
      <diagonal/>
    </border>
    <border>
      <left style="thin">
        <color auto="1"/>
      </left>
      <right style="medium">
        <color rgb="FF000000"/>
      </right>
      <top style="thin">
        <color auto="1"/>
      </top>
      <bottom style="thin">
        <color auto="1"/>
      </bottom>
      <diagonal/>
    </border>
    <border>
      <left style="medium">
        <color rgb="FF000000"/>
      </left>
      <right style="thin">
        <color auto="1"/>
      </right>
      <top/>
      <bottom style="thin">
        <color auto="1"/>
      </bottom>
      <diagonal/>
    </border>
    <border>
      <left style="medium">
        <color rgb="FF000000"/>
      </left>
      <right style="thin">
        <color auto="1"/>
      </right>
      <top style="thin">
        <color auto="1"/>
      </top>
      <bottom/>
      <diagonal/>
    </border>
    <border>
      <left style="medium">
        <color rgb="FF000000"/>
      </left>
      <right style="thin">
        <color auto="1"/>
      </right>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medium">
        <color auto="1"/>
      </right>
      <top style="medium">
        <color rgb="FF000000"/>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style="medium">
        <color indexed="64"/>
      </right>
      <top/>
      <bottom style="thin">
        <color auto="1"/>
      </bottom>
      <diagonal/>
    </border>
    <border>
      <left style="thin">
        <color rgb="FF000000"/>
      </left>
      <right/>
      <top style="medium">
        <color auto="1"/>
      </top>
      <bottom style="thin">
        <color rgb="FF000000"/>
      </bottom>
      <diagonal/>
    </border>
    <border>
      <left style="thin">
        <color rgb="FF000000"/>
      </left>
      <right/>
      <top style="thin">
        <color rgb="FF000000"/>
      </top>
      <bottom style="medium">
        <color indexed="64"/>
      </bottom>
      <diagonal/>
    </border>
  </borders>
  <cellStyleXfs count="4">
    <xf numFmtId="0" fontId="0" fillId="0" borderId="0"/>
    <xf numFmtId="0" fontId="1" fillId="0" borderId="0"/>
    <xf numFmtId="9" fontId="3" fillId="0" borderId="0" applyFont="0" applyFill="0" applyBorder="0" applyAlignment="0" applyProtection="0"/>
    <xf numFmtId="43" fontId="3" fillId="0" borderId="0" applyFont="0" applyFill="0" applyBorder="0" applyAlignment="0" applyProtection="0"/>
  </cellStyleXfs>
  <cellXfs count="599">
    <xf numFmtId="0" fontId="0" fillId="0" borderId="0" xfId="0"/>
    <xf numFmtId="0" fontId="40" fillId="3" borderId="0" xfId="0" applyFont="1" applyFill="1" applyAlignment="1" applyProtection="1">
      <alignment horizontal="center"/>
    </xf>
    <xf numFmtId="0" fontId="7" fillId="3" borderId="0" xfId="0" applyFont="1" applyFill="1" applyProtection="1"/>
    <xf numFmtId="17" fontId="40" fillId="3" borderId="0" xfId="0" quotePrefix="1" applyNumberFormat="1" applyFont="1" applyFill="1" applyAlignment="1" applyProtection="1">
      <alignment horizontal="center"/>
    </xf>
    <xf numFmtId="0" fontId="4" fillId="3" borderId="0" xfId="0" applyFont="1" applyFill="1" applyAlignment="1" applyProtection="1">
      <alignment horizontal="center" vertical="center" wrapText="1"/>
    </xf>
    <xf numFmtId="49" fontId="5" fillId="3" borderId="0" xfId="0" quotePrefix="1" applyNumberFormat="1" applyFont="1" applyFill="1" applyAlignment="1" applyProtection="1">
      <alignment horizontal="center"/>
    </xf>
    <xf numFmtId="0" fontId="25" fillId="0" borderId="0" xfId="0" applyFont="1" applyAlignment="1" applyProtection="1">
      <alignment vertical="center"/>
    </xf>
    <xf numFmtId="0" fontId="6" fillId="0" borderId="0" xfId="0" applyFont="1" applyAlignment="1" applyProtection="1">
      <alignment vertical="center" wrapText="1"/>
    </xf>
    <xf numFmtId="0" fontId="6" fillId="0" borderId="0" xfId="0" applyFont="1" applyProtection="1"/>
    <xf numFmtId="0" fontId="6" fillId="0" borderId="0" xfId="0" applyFont="1" applyAlignment="1" applyProtection="1">
      <alignment horizontal="left" vertical="center" wrapText="1"/>
    </xf>
    <xf numFmtId="0" fontId="6" fillId="0" borderId="1" xfId="0" applyFont="1" applyBorder="1" applyAlignment="1" applyProtection="1">
      <alignment vertical="center" wrapText="1"/>
    </xf>
    <xf numFmtId="0" fontId="25" fillId="3" borderId="0" xfId="0" applyFont="1" applyFill="1" applyProtection="1"/>
    <xf numFmtId="0" fontId="6" fillId="3" borderId="0" xfId="0" applyFont="1" applyFill="1" applyProtection="1"/>
    <xf numFmtId="0" fontId="8" fillId="6" borderId="1" xfId="0" applyFont="1" applyFill="1" applyBorder="1" applyAlignment="1" applyProtection="1">
      <alignment horizontal="center"/>
    </xf>
    <xf numFmtId="0" fontId="8" fillId="14" borderId="1" xfId="0" applyFont="1" applyFill="1" applyBorder="1" applyAlignment="1" applyProtection="1">
      <alignment horizontal="left"/>
    </xf>
    <xf numFmtId="0" fontId="6" fillId="3" borderId="1" xfId="0" applyFont="1" applyFill="1" applyBorder="1" applyAlignment="1" applyProtection="1">
      <alignment vertical="center"/>
    </xf>
    <xf numFmtId="0" fontId="6" fillId="3" borderId="1" xfId="0" quotePrefix="1" applyFont="1" applyFill="1" applyBorder="1" applyAlignment="1" applyProtection="1">
      <alignment vertical="center" wrapText="1"/>
    </xf>
    <xf numFmtId="0" fontId="6" fillId="3" borderId="1" xfId="0" quotePrefix="1" applyFont="1" applyFill="1" applyBorder="1" applyAlignment="1" applyProtection="1">
      <alignment wrapText="1"/>
    </xf>
    <xf numFmtId="0" fontId="6" fillId="3" borderId="1" xfId="0" quotePrefix="1" applyFont="1" applyFill="1" applyBorder="1" applyAlignment="1" applyProtection="1">
      <alignment vertical="center"/>
    </xf>
    <xf numFmtId="0" fontId="8" fillId="14" borderId="52" xfId="0" applyFont="1" applyFill="1" applyBorder="1" applyAlignment="1" applyProtection="1">
      <alignment horizontal="left"/>
    </xf>
    <xf numFmtId="0" fontId="8" fillId="14" borderId="71" xfId="0" applyFont="1" applyFill="1" applyBorder="1" applyAlignment="1" applyProtection="1">
      <alignment horizontal="left"/>
    </xf>
    <xf numFmtId="0" fontId="8" fillId="14" borderId="70" xfId="0" applyFont="1" applyFill="1" applyBorder="1" applyAlignment="1" applyProtection="1">
      <alignment horizontal="left"/>
    </xf>
    <xf numFmtId="0" fontId="6" fillId="3" borderId="1" xfId="0" applyFont="1" applyFill="1" applyBorder="1" applyAlignment="1" applyProtection="1">
      <alignment horizontal="left" wrapText="1"/>
    </xf>
    <xf numFmtId="0" fontId="6" fillId="3" borderId="1" xfId="0" applyFont="1" applyFill="1" applyBorder="1" applyAlignment="1" applyProtection="1">
      <alignment horizontal="left"/>
    </xf>
    <xf numFmtId="0" fontId="8" fillId="3" borderId="31" xfId="0" applyFont="1" applyFill="1" applyBorder="1" applyAlignment="1" applyProtection="1">
      <alignment horizontal="left"/>
    </xf>
    <xf numFmtId="0" fontId="8" fillId="3" borderId="24" xfId="0" applyFont="1" applyFill="1" applyBorder="1" applyAlignment="1" applyProtection="1">
      <alignment horizontal="left"/>
    </xf>
    <xf numFmtId="0" fontId="6" fillId="3" borderId="1" xfId="0" quotePrefix="1" applyFont="1" applyFill="1" applyBorder="1" applyAlignment="1" applyProtection="1">
      <alignment horizontal="left" wrapText="1"/>
    </xf>
    <xf numFmtId="0" fontId="6" fillId="3" borderId="0" xfId="0" applyFont="1" applyFill="1" applyAlignment="1" applyProtection="1">
      <alignment vertical="center"/>
    </xf>
    <xf numFmtId="0" fontId="6" fillId="3" borderId="0" xfId="0" applyFont="1" applyFill="1" applyAlignment="1" applyProtection="1">
      <alignment horizontal="center" vertical="center"/>
    </xf>
    <xf numFmtId="0" fontId="12" fillId="3" borderId="0" xfId="0" applyFont="1" applyFill="1" applyAlignment="1" applyProtection="1">
      <alignment vertical="center"/>
    </xf>
    <xf numFmtId="0" fontId="12" fillId="3" borderId="0" xfId="0" applyFont="1" applyFill="1" applyAlignment="1" applyProtection="1">
      <alignment horizontal="center" vertical="center"/>
    </xf>
    <xf numFmtId="0" fontId="14" fillId="5" borderId="36" xfId="0" applyFont="1" applyFill="1" applyBorder="1" applyAlignment="1" applyProtection="1">
      <alignment horizontal="center" vertical="center" wrapText="1"/>
    </xf>
    <xf numFmtId="0" fontId="14" fillId="5" borderId="40" xfId="0" applyFont="1" applyFill="1" applyBorder="1" applyAlignment="1" applyProtection="1">
      <alignment horizontal="center" vertical="center" wrapText="1"/>
    </xf>
    <xf numFmtId="0" fontId="14" fillId="5" borderId="41"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9" xfId="0" applyFont="1" applyFill="1" applyBorder="1" applyAlignment="1" applyProtection="1">
      <alignment horizontal="center" vertical="center" wrapText="1"/>
    </xf>
    <xf numFmtId="0" fontId="14" fillId="4" borderId="84" xfId="0" applyFont="1" applyFill="1" applyBorder="1" applyAlignment="1" applyProtection="1">
      <alignment horizontal="center" vertical="center" wrapText="1"/>
    </xf>
    <xf numFmtId="0" fontId="9" fillId="5" borderId="35" xfId="0" applyFont="1" applyFill="1" applyBorder="1" applyAlignment="1" applyProtection="1">
      <alignment horizontal="center" vertical="center" wrapText="1"/>
    </xf>
    <xf numFmtId="0" fontId="9" fillId="5" borderId="18" xfId="0" applyFont="1" applyFill="1" applyBorder="1" applyAlignment="1" applyProtection="1">
      <alignment horizontal="center" vertical="center" wrapText="1"/>
    </xf>
    <xf numFmtId="0" fontId="9" fillId="5" borderId="44"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9" xfId="0" applyFont="1" applyFill="1" applyBorder="1" applyAlignment="1" applyProtection="1">
      <alignment horizontal="center" vertical="center" wrapText="1"/>
    </xf>
    <xf numFmtId="0" fontId="12" fillId="2" borderId="72" xfId="0" applyFont="1" applyFill="1" applyBorder="1" applyAlignment="1" applyProtection="1">
      <alignment horizontal="center" vertical="center" wrapText="1"/>
    </xf>
    <xf numFmtId="0" fontId="12" fillId="2" borderId="59" xfId="0" applyFont="1" applyFill="1" applyBorder="1" applyAlignment="1" applyProtection="1">
      <alignment horizontal="center" vertical="center" wrapText="1"/>
    </xf>
    <xf numFmtId="1" fontId="12" fillId="2" borderId="16" xfId="2" applyNumberFormat="1"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3" borderId="0" xfId="0" applyFont="1" applyFill="1" applyAlignment="1" applyProtection="1">
      <alignment horizontal="center" vertical="center" wrapText="1"/>
    </xf>
    <xf numFmtId="0" fontId="12" fillId="3" borderId="0" xfId="0" applyFont="1" applyFill="1" applyAlignment="1" applyProtection="1">
      <alignment vertical="center" wrapText="1"/>
    </xf>
    <xf numFmtId="1" fontId="12" fillId="3" borderId="0" xfId="2" applyNumberFormat="1" applyFont="1" applyFill="1" applyBorder="1" applyAlignment="1" applyProtection="1">
      <alignment horizontal="center" vertical="center" wrapText="1"/>
    </xf>
    <xf numFmtId="0" fontId="14" fillId="3" borderId="0" xfId="0" applyFont="1" applyFill="1" applyAlignment="1" applyProtection="1">
      <alignment vertical="center"/>
    </xf>
    <xf numFmtId="0" fontId="8" fillId="3" borderId="0" xfId="0" applyFont="1" applyFill="1" applyAlignment="1" applyProtection="1">
      <alignment vertical="center"/>
    </xf>
    <xf numFmtId="0" fontId="22" fillId="3" borderId="30"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0" xfId="0" applyFont="1" applyFill="1" applyAlignment="1" applyProtection="1">
      <alignment vertical="center"/>
    </xf>
    <xf numFmtId="0" fontId="6" fillId="3" borderId="0" xfId="0" applyFont="1" applyFill="1" applyAlignment="1" applyProtection="1">
      <alignment vertical="center" wrapText="1"/>
    </xf>
    <xf numFmtId="0" fontId="9" fillId="5" borderId="34" xfId="0" applyFont="1" applyFill="1" applyBorder="1" applyAlignment="1" applyProtection="1">
      <alignment horizontal="center" vertical="center"/>
    </xf>
    <xf numFmtId="0" fontId="9" fillId="5" borderId="25" xfId="0" applyFont="1" applyFill="1" applyBorder="1" applyAlignment="1" applyProtection="1">
      <alignment horizontal="center" vertical="center" wrapText="1"/>
    </xf>
    <xf numFmtId="0" fontId="9" fillId="5" borderId="15"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0" xfId="0" applyFont="1" applyFill="1" applyAlignment="1" applyProtection="1">
      <alignment horizontal="center" vertical="center" wrapText="1"/>
    </xf>
    <xf numFmtId="0" fontId="9" fillId="5" borderId="17" xfId="0" applyFont="1" applyFill="1" applyBorder="1" applyAlignment="1" applyProtection="1">
      <alignment horizontal="center" vertical="center"/>
    </xf>
    <xf numFmtId="0" fontId="9" fillId="5" borderId="15" xfId="0" applyFont="1" applyFill="1" applyBorder="1" applyAlignment="1" applyProtection="1">
      <alignment horizontal="center" vertical="center"/>
    </xf>
    <xf numFmtId="0" fontId="9" fillId="5" borderId="42" xfId="0" applyFont="1" applyFill="1" applyBorder="1" applyAlignment="1" applyProtection="1">
      <alignment horizontal="center" vertical="center"/>
    </xf>
    <xf numFmtId="0" fontId="9" fillId="5" borderId="26" xfId="0" applyFont="1" applyFill="1" applyBorder="1" applyAlignment="1" applyProtection="1">
      <alignment horizontal="center" vertical="center" wrapText="1"/>
    </xf>
    <xf numFmtId="0" fontId="9" fillId="5" borderId="16" xfId="0" applyFont="1" applyFill="1" applyBorder="1" applyAlignment="1" applyProtection="1">
      <alignment horizontal="center" vertical="center" wrapText="1"/>
    </xf>
    <xf numFmtId="0" fontId="9" fillId="5" borderId="33" xfId="0" applyFont="1" applyFill="1" applyBorder="1" applyAlignment="1" applyProtection="1">
      <alignment horizontal="center" vertical="center"/>
    </xf>
    <xf numFmtId="0" fontId="9" fillId="5" borderId="31" xfId="0" applyFont="1" applyFill="1" applyBorder="1" applyAlignment="1" applyProtection="1">
      <alignment horizontal="center" vertical="center"/>
    </xf>
    <xf numFmtId="0" fontId="9" fillId="5" borderId="31"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79" xfId="0" applyFont="1" applyBorder="1" applyAlignment="1" applyProtection="1">
      <alignment vertical="center" wrapText="1"/>
    </xf>
    <xf numFmtId="2" fontId="6" fillId="0" borderId="34" xfId="0" applyNumberFormat="1" applyFont="1" applyBorder="1" applyAlignment="1" applyProtection="1">
      <alignment horizontal="center" vertical="center"/>
    </xf>
    <xf numFmtId="2" fontId="6" fillId="0" borderId="25" xfId="0" applyNumberFormat="1" applyFont="1" applyBorder="1" applyAlignment="1" applyProtection="1">
      <alignment horizontal="center" vertical="center"/>
    </xf>
    <xf numFmtId="2" fontId="6" fillId="3" borderId="5" xfId="0" applyNumberFormat="1" applyFont="1" applyFill="1" applyBorder="1" applyAlignment="1" applyProtection="1">
      <alignment horizontal="center" vertical="center"/>
    </xf>
    <xf numFmtId="165" fontId="12" fillId="3" borderId="0" xfId="0" applyNumberFormat="1" applyFont="1" applyFill="1" applyAlignment="1" applyProtection="1">
      <alignment horizontal="center" vertical="center"/>
    </xf>
    <xf numFmtId="0" fontId="6" fillId="0" borderId="55" xfId="0" applyFont="1" applyBorder="1" applyAlignment="1" applyProtection="1">
      <alignment vertical="center" wrapText="1"/>
    </xf>
    <xf numFmtId="2" fontId="6" fillId="0" borderId="15" xfId="0" applyNumberFormat="1" applyFont="1" applyBorder="1" applyAlignment="1" applyProtection="1">
      <alignment horizontal="center" vertical="center"/>
    </xf>
    <xf numFmtId="0" fontId="6" fillId="2" borderId="50" xfId="0" applyFont="1" applyFill="1" applyBorder="1" applyAlignment="1" applyProtection="1">
      <alignment horizontal="center" vertical="center" wrapText="1"/>
    </xf>
    <xf numFmtId="0" fontId="6" fillId="0" borderId="58" xfId="0" applyFont="1" applyBorder="1" applyAlignment="1" applyProtection="1">
      <alignment vertical="center" wrapText="1"/>
    </xf>
    <xf numFmtId="2" fontId="6" fillId="0" borderId="33" xfId="0" applyNumberFormat="1" applyFont="1" applyBorder="1" applyAlignment="1" applyProtection="1">
      <alignment horizontal="center" vertical="center"/>
    </xf>
    <xf numFmtId="2" fontId="6" fillId="0" borderId="31" xfId="0" applyNumberFormat="1" applyFont="1" applyBorder="1" applyAlignment="1" applyProtection="1">
      <alignment horizontal="center" vertical="center"/>
    </xf>
    <xf numFmtId="0" fontId="6" fillId="0" borderId="56" xfId="0" applyFont="1" applyBorder="1" applyAlignment="1" applyProtection="1">
      <alignment vertical="center" wrapText="1"/>
    </xf>
    <xf numFmtId="0" fontId="6" fillId="2" borderId="47" xfId="0" applyFont="1" applyFill="1" applyBorder="1" applyAlignment="1" applyProtection="1">
      <alignment horizontal="center" vertical="center"/>
    </xf>
    <xf numFmtId="0" fontId="6" fillId="0" borderId="48" xfId="0" applyFont="1" applyBorder="1" applyAlignment="1" applyProtection="1">
      <alignment vertical="center" wrapText="1"/>
    </xf>
    <xf numFmtId="2" fontId="6" fillId="0" borderId="17" xfId="0" applyNumberFormat="1" applyFont="1" applyBorder="1" applyAlignment="1" applyProtection="1">
      <alignment horizontal="center" vertical="center"/>
    </xf>
    <xf numFmtId="0" fontId="6" fillId="0" borderId="36" xfId="0" applyFont="1" applyBorder="1" applyAlignment="1" applyProtection="1">
      <alignment vertical="center" wrapText="1"/>
    </xf>
    <xf numFmtId="0" fontId="6" fillId="2" borderId="50" xfId="0" applyFont="1" applyFill="1" applyBorder="1" applyAlignment="1" applyProtection="1">
      <alignment horizontal="center" vertical="center"/>
    </xf>
    <xf numFmtId="2" fontId="6" fillId="0" borderId="22" xfId="0" applyNumberFormat="1" applyFont="1" applyBorder="1" applyAlignment="1" applyProtection="1">
      <alignment horizontal="center" vertical="center"/>
    </xf>
    <xf numFmtId="2" fontId="6" fillId="0" borderId="16" xfId="0" applyNumberFormat="1" applyFont="1" applyBorder="1" applyAlignment="1" applyProtection="1">
      <alignment horizontal="center" vertical="center"/>
    </xf>
    <xf numFmtId="2" fontId="6" fillId="0" borderId="40" xfId="0" applyNumberFormat="1" applyFont="1" applyBorder="1" applyAlignment="1" applyProtection="1">
      <alignment horizontal="center" vertical="center"/>
    </xf>
    <xf numFmtId="2" fontId="6" fillId="3" borderId="0" xfId="0" applyNumberFormat="1" applyFont="1" applyFill="1" applyAlignment="1" applyProtection="1">
      <alignment vertical="center"/>
    </xf>
    <xf numFmtId="0" fontId="9" fillId="3" borderId="0" xfId="0" applyFont="1" applyFill="1" applyAlignment="1" applyProtection="1">
      <alignment vertical="center" wrapText="1"/>
    </xf>
    <xf numFmtId="0" fontId="6" fillId="0" borderId="0" xfId="0" applyFont="1" applyAlignment="1" applyProtection="1">
      <alignment vertical="center"/>
    </xf>
    <xf numFmtId="3" fontId="12" fillId="3" borderId="0" xfId="0" applyNumberFormat="1" applyFont="1" applyFill="1" applyAlignment="1" applyProtection="1">
      <alignment horizontal="center" vertical="center" wrapText="1"/>
    </xf>
    <xf numFmtId="0" fontId="9" fillId="3" borderId="0" xfId="0" applyFont="1" applyFill="1" applyAlignment="1" applyProtection="1">
      <alignment vertical="center"/>
    </xf>
    <xf numFmtId="0" fontId="9" fillId="3" borderId="30" xfId="0" applyFont="1" applyFill="1" applyBorder="1" applyAlignment="1" applyProtection="1">
      <alignment horizontal="left" vertical="center"/>
    </xf>
    <xf numFmtId="0" fontId="9" fillId="3" borderId="0" xfId="0" applyFont="1" applyFill="1" applyAlignment="1" applyProtection="1">
      <alignment horizontal="left" vertical="center"/>
    </xf>
    <xf numFmtId="0" fontId="9" fillId="5" borderId="17" xfId="0" applyFont="1" applyFill="1" applyBorder="1" applyAlignment="1" applyProtection="1">
      <alignment horizontal="center" vertical="center" wrapText="1"/>
    </xf>
    <xf numFmtId="0" fontId="9" fillId="5" borderId="15" xfId="0" applyFont="1" applyFill="1" applyBorder="1" applyAlignment="1" applyProtection="1">
      <alignment horizontal="center" vertical="center" wrapText="1"/>
    </xf>
    <xf numFmtId="0" fontId="9" fillId="5" borderId="25" xfId="0" applyFont="1" applyFill="1" applyBorder="1" applyAlignment="1" applyProtection="1">
      <alignment horizontal="center" vertical="center"/>
    </xf>
    <xf numFmtId="0" fontId="9" fillId="7" borderId="19" xfId="0" applyFont="1" applyFill="1" applyBorder="1" applyAlignment="1" applyProtection="1">
      <alignment horizontal="center" vertical="center" wrapText="1"/>
    </xf>
    <xf numFmtId="0" fontId="9" fillId="5" borderId="55" xfId="0" applyFont="1" applyFill="1" applyBorder="1" applyAlignment="1" applyProtection="1">
      <alignment horizontal="center" vertical="center" wrapText="1"/>
    </xf>
    <xf numFmtId="0" fontId="9" fillId="5" borderId="34" xfId="0" applyFont="1" applyFill="1" applyBorder="1" applyAlignment="1" applyProtection="1">
      <alignment horizontal="center" vertical="center" wrapText="1"/>
    </xf>
    <xf numFmtId="0" fontId="9" fillId="7" borderId="15" xfId="0" applyFont="1" applyFill="1" applyBorder="1" applyAlignment="1" applyProtection="1">
      <alignment vertical="center" wrapText="1"/>
    </xf>
    <xf numFmtId="1" fontId="9" fillId="7" borderId="15" xfId="0" applyNumberFormat="1" applyFont="1" applyFill="1" applyBorder="1" applyAlignment="1" applyProtection="1">
      <alignment horizontal="center" vertical="center" wrapText="1"/>
    </xf>
    <xf numFmtId="0" fontId="9" fillId="7" borderId="19" xfId="0" applyFont="1" applyFill="1" applyBorder="1" applyAlignment="1" applyProtection="1">
      <alignment vertical="center" wrapText="1"/>
    </xf>
    <xf numFmtId="0" fontId="9" fillId="5" borderId="33" xfId="0" applyFont="1" applyFill="1" applyBorder="1" applyAlignment="1" applyProtection="1">
      <alignment horizontal="center" vertical="center" wrapText="1"/>
    </xf>
    <xf numFmtId="0" fontId="9" fillId="5" borderId="31" xfId="0" applyFont="1" applyFill="1" applyBorder="1" applyAlignment="1" applyProtection="1">
      <alignment horizontal="center" vertical="center" wrapText="1"/>
    </xf>
    <xf numFmtId="0" fontId="9" fillId="5" borderId="26" xfId="0" applyFont="1" applyFill="1" applyBorder="1" applyAlignment="1" applyProtection="1">
      <alignment horizontal="center" vertical="center"/>
    </xf>
    <xf numFmtId="0" fontId="9" fillId="5" borderId="2" xfId="0" applyFont="1" applyFill="1" applyBorder="1" applyAlignment="1" applyProtection="1">
      <alignment horizontal="center" vertical="center" wrapText="1"/>
    </xf>
    <xf numFmtId="0" fontId="9" fillId="5" borderId="32" xfId="0" applyFont="1" applyFill="1" applyBorder="1" applyAlignment="1" applyProtection="1">
      <alignment horizontal="center" vertical="center" wrapText="1"/>
    </xf>
    <xf numFmtId="168" fontId="9" fillId="5" borderId="32" xfId="0" applyNumberFormat="1" applyFont="1" applyFill="1" applyBorder="1" applyAlignment="1" applyProtection="1">
      <alignment horizontal="center" vertical="center" wrapText="1"/>
    </xf>
    <xf numFmtId="0" fontId="9" fillId="5" borderId="42"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1" fontId="6" fillId="3" borderId="25" xfId="0" applyNumberFormat="1" applyFont="1" applyFill="1" applyBorder="1" applyAlignment="1" applyProtection="1">
      <alignment horizontal="center" vertical="center"/>
    </xf>
    <xf numFmtId="0" fontId="6" fillId="3" borderId="15" xfId="0" applyFont="1" applyFill="1" applyBorder="1" applyAlignment="1" applyProtection="1">
      <alignment vertical="center"/>
    </xf>
    <xf numFmtId="0" fontId="6" fillId="3" borderId="15" xfId="0" applyFont="1" applyFill="1" applyBorder="1" applyAlignment="1" applyProtection="1">
      <alignment horizontal="center" vertical="center"/>
    </xf>
    <xf numFmtId="165" fontId="12" fillId="0" borderId="15" xfId="0" applyNumberFormat="1" applyFont="1" applyBorder="1" applyAlignment="1" applyProtection="1">
      <alignment horizontal="center" vertical="center"/>
    </xf>
    <xf numFmtId="2" fontId="12" fillId="0" borderId="15" xfId="0" applyNumberFormat="1" applyFont="1" applyBorder="1" applyAlignment="1" applyProtection="1">
      <alignment horizontal="center" vertical="center"/>
    </xf>
    <xf numFmtId="2" fontId="12" fillId="0" borderId="44" xfId="0" applyNumberFormat="1" applyFont="1" applyBorder="1" applyAlignment="1" applyProtection="1">
      <alignment horizontal="center" vertical="center"/>
    </xf>
    <xf numFmtId="165" fontId="12" fillId="0" borderId="15" xfId="0" applyNumberFormat="1" applyFont="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1" fontId="6" fillId="3" borderId="15" xfId="0" applyNumberFormat="1" applyFont="1" applyFill="1" applyBorder="1" applyAlignment="1" applyProtection="1">
      <alignment horizontal="center" vertical="center"/>
    </xf>
    <xf numFmtId="2" fontId="12" fillId="0" borderId="19" xfId="0" applyNumberFormat="1" applyFont="1" applyBorder="1" applyAlignment="1" applyProtection="1">
      <alignment horizontal="center" vertical="center"/>
    </xf>
    <xf numFmtId="0" fontId="12" fillId="2" borderId="39" xfId="0" applyFont="1" applyFill="1" applyBorder="1" applyAlignment="1" applyProtection="1">
      <alignment horizontal="center" vertical="center" wrapText="1"/>
    </xf>
    <xf numFmtId="1" fontId="6" fillId="3" borderId="37" xfId="0" applyNumberFormat="1" applyFont="1" applyFill="1" applyBorder="1" applyAlignment="1" applyProtection="1">
      <alignment horizontal="center" vertical="center"/>
    </xf>
    <xf numFmtId="0" fontId="6" fillId="3" borderId="16" xfId="0" applyFont="1" applyFill="1" applyBorder="1" applyAlignment="1" applyProtection="1">
      <alignment vertical="center"/>
    </xf>
    <xf numFmtId="0" fontId="6" fillId="3" borderId="16" xfId="0" applyFont="1" applyFill="1" applyBorder="1" applyAlignment="1" applyProtection="1">
      <alignment horizontal="center" vertical="center"/>
    </xf>
    <xf numFmtId="165" fontId="12" fillId="0" borderId="37" xfId="0" applyNumberFormat="1" applyFont="1" applyBorder="1" applyAlignment="1" applyProtection="1">
      <alignment horizontal="center" vertical="center"/>
    </xf>
    <xf numFmtId="2" fontId="12" fillId="0" borderId="37" xfId="0" applyNumberFormat="1" applyFont="1" applyBorder="1" applyAlignment="1" applyProtection="1">
      <alignment horizontal="center" vertical="center"/>
    </xf>
    <xf numFmtId="2" fontId="12" fillId="0" borderId="78" xfId="0" applyNumberFormat="1" applyFont="1" applyBorder="1" applyAlignment="1" applyProtection="1">
      <alignment horizontal="center" vertical="center"/>
    </xf>
    <xf numFmtId="165" fontId="12" fillId="0" borderId="37" xfId="0" applyNumberFormat="1" applyFont="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1" fontId="6" fillId="3" borderId="16" xfId="0" applyNumberFormat="1" applyFont="1" applyFill="1" applyBorder="1" applyAlignment="1" applyProtection="1">
      <alignment horizontal="center" vertical="center"/>
    </xf>
    <xf numFmtId="165" fontId="12" fillId="0" borderId="16" xfId="0" applyNumberFormat="1" applyFont="1" applyBorder="1" applyAlignment="1" applyProtection="1">
      <alignment horizontal="center" vertical="center"/>
    </xf>
    <xf numFmtId="2" fontId="12" fillId="0" borderId="16" xfId="0" applyNumberFormat="1" applyFont="1" applyBorder="1" applyAlignment="1" applyProtection="1">
      <alignment horizontal="center" vertical="center"/>
    </xf>
    <xf numFmtId="2" fontId="12" fillId="0" borderId="23" xfId="0" applyNumberFormat="1" applyFont="1" applyBorder="1" applyAlignment="1" applyProtection="1">
      <alignment horizontal="center" vertical="center"/>
    </xf>
    <xf numFmtId="165" fontId="12" fillId="0" borderId="19" xfId="0" applyNumberFormat="1" applyFont="1" applyBorder="1" applyAlignment="1" applyProtection="1">
      <alignment horizontal="center" vertical="center"/>
    </xf>
    <xf numFmtId="165" fontId="12" fillId="0" borderId="43" xfId="0" applyNumberFormat="1" applyFont="1" applyBorder="1" applyAlignment="1" applyProtection="1">
      <alignment horizontal="center" vertical="center"/>
    </xf>
    <xf numFmtId="0" fontId="9" fillId="3" borderId="30" xfId="0" applyFont="1" applyFill="1" applyBorder="1" applyAlignment="1" applyProtection="1">
      <alignment vertical="center"/>
    </xf>
    <xf numFmtId="0" fontId="12" fillId="3" borderId="30"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165" fontId="9" fillId="3" borderId="30" xfId="0" applyNumberFormat="1" applyFont="1" applyFill="1" applyBorder="1" applyAlignment="1" applyProtection="1">
      <alignment vertical="center" wrapText="1"/>
    </xf>
    <xf numFmtId="0" fontId="9" fillId="3" borderId="30" xfId="0" applyFont="1" applyFill="1" applyBorder="1" applyAlignment="1" applyProtection="1">
      <alignment vertical="center" wrapText="1"/>
    </xf>
    <xf numFmtId="0" fontId="9" fillId="5" borderId="39"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xf>
    <xf numFmtId="1" fontId="12" fillId="0" borderId="15" xfId="0" applyNumberFormat="1" applyFont="1" applyBorder="1" applyAlignment="1" applyProtection="1">
      <alignment horizontal="center" vertical="center"/>
    </xf>
    <xf numFmtId="1" fontId="12" fillId="0" borderId="19" xfId="0" applyNumberFormat="1" applyFont="1" applyBorder="1" applyAlignment="1" applyProtection="1">
      <alignment horizontal="center" vertical="center"/>
    </xf>
    <xf numFmtId="2" fontId="12" fillId="3" borderId="0" xfId="0" applyNumberFormat="1" applyFont="1" applyFill="1" applyAlignment="1" applyProtection="1">
      <alignment horizontal="center" vertical="center"/>
    </xf>
    <xf numFmtId="1" fontId="12" fillId="0" borderId="16" xfId="0" applyNumberFormat="1" applyFont="1" applyBorder="1" applyAlignment="1" applyProtection="1">
      <alignment horizontal="center" vertical="center"/>
    </xf>
    <xf numFmtId="1" fontId="12" fillId="0" borderId="23" xfId="0" applyNumberFormat="1" applyFont="1" applyBorder="1" applyAlignment="1" applyProtection="1">
      <alignment horizontal="center" vertical="center"/>
    </xf>
    <xf numFmtId="2" fontId="12" fillId="3" borderId="0" xfId="0" applyNumberFormat="1" applyFont="1" applyFill="1" applyAlignment="1" applyProtection="1">
      <alignment horizontal="center" vertical="center" wrapText="1"/>
    </xf>
    <xf numFmtId="1" fontId="9" fillId="3" borderId="0" xfId="0" applyNumberFormat="1" applyFont="1" applyFill="1" applyAlignment="1" applyProtection="1">
      <alignment horizontal="center" vertical="center" wrapText="1"/>
    </xf>
    <xf numFmtId="169" fontId="12" fillId="3" borderId="0" xfId="0" applyNumberFormat="1" applyFont="1" applyFill="1" applyAlignment="1" applyProtection="1">
      <alignment vertical="center"/>
    </xf>
    <xf numFmtId="11" fontId="12" fillId="3" borderId="0" xfId="0" applyNumberFormat="1" applyFont="1" applyFill="1" applyAlignment="1" applyProtection="1">
      <alignment vertical="center"/>
    </xf>
    <xf numFmtId="0" fontId="19" fillId="3" borderId="0" xfId="0" applyFont="1" applyFill="1" applyAlignment="1" applyProtection="1">
      <alignment vertical="center" wrapText="1"/>
    </xf>
    <xf numFmtId="0" fontId="19" fillId="3" borderId="0" xfId="0" applyFont="1" applyFill="1" applyAlignment="1" applyProtection="1">
      <alignment vertical="center"/>
    </xf>
    <xf numFmtId="0" fontId="18" fillId="3" borderId="0" xfId="0" applyFont="1" applyFill="1" applyAlignment="1" applyProtection="1">
      <alignment horizontal="center" vertical="center"/>
    </xf>
    <xf numFmtId="0" fontId="18" fillId="3" borderId="0" xfId="0" applyFont="1" applyFill="1" applyAlignment="1" applyProtection="1">
      <alignment vertical="center"/>
    </xf>
    <xf numFmtId="0" fontId="18" fillId="3" borderId="0" xfId="0" applyFont="1" applyFill="1" applyAlignment="1" applyProtection="1">
      <alignment vertical="center" wrapText="1"/>
    </xf>
    <xf numFmtId="0" fontId="6" fillId="3" borderId="0" xfId="0" applyFont="1" applyFill="1" applyBorder="1" applyAlignment="1" applyProtection="1">
      <alignment vertical="center"/>
    </xf>
    <xf numFmtId="0" fontId="6"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wrapText="1"/>
    </xf>
    <xf numFmtId="11" fontId="6" fillId="3" borderId="0" xfId="0" applyNumberFormat="1"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0" xfId="0" applyFill="1" applyBorder="1" applyAlignment="1" applyProtection="1">
      <alignment horizontal="center" vertical="center" wrapText="1"/>
    </xf>
    <xf numFmtId="0" fontId="0" fillId="8" borderId="1" xfId="0" applyFill="1" applyBorder="1" applyAlignment="1" applyProtection="1">
      <alignment horizontal="center" vertical="center"/>
    </xf>
    <xf numFmtId="0" fontId="0" fillId="3" borderId="0" xfId="0" applyFill="1" applyBorder="1" applyAlignment="1" applyProtection="1">
      <alignment vertical="center"/>
    </xf>
    <xf numFmtId="11" fontId="0" fillId="3" borderId="0" xfId="0" applyNumberFormat="1" applyFill="1" applyBorder="1" applyAlignment="1" applyProtection="1">
      <alignment horizontal="center" vertical="center"/>
    </xf>
    <xf numFmtId="0" fontId="0" fillId="5" borderId="1" xfId="0" applyFill="1" applyBorder="1" applyAlignment="1" applyProtection="1">
      <alignment vertical="center"/>
    </xf>
    <xf numFmtId="11" fontId="0" fillId="3" borderId="1" xfId="0" applyNumberFormat="1" applyFill="1" applyBorder="1" applyAlignment="1" applyProtection="1">
      <alignment horizontal="center" vertical="center"/>
    </xf>
    <xf numFmtId="168" fontId="6" fillId="3" borderId="0" xfId="0" applyNumberFormat="1" applyFont="1" applyFill="1" applyBorder="1" applyAlignment="1" applyProtection="1">
      <alignment vertical="center"/>
    </xf>
    <xf numFmtId="168" fontId="0" fillId="3" borderId="0" xfId="0" applyNumberFormat="1" applyFill="1" applyBorder="1" applyAlignment="1" applyProtection="1">
      <alignment vertical="center"/>
    </xf>
    <xf numFmtId="1" fontId="0" fillId="5" borderId="1" xfId="0" applyNumberFormat="1" applyFill="1" applyBorder="1" applyAlignment="1" applyProtection="1">
      <alignment vertical="center"/>
    </xf>
    <xf numFmtId="0" fontId="14" fillId="5" borderId="57" xfId="0" applyFont="1" applyFill="1" applyBorder="1" applyAlignment="1" applyProtection="1">
      <alignment horizontal="center" vertical="center" wrapText="1"/>
    </xf>
    <xf numFmtId="0" fontId="14" fillId="5" borderId="49" xfId="0" applyFont="1" applyFill="1" applyBorder="1" applyAlignment="1" applyProtection="1">
      <alignment horizontal="center" vertical="center" wrapText="1"/>
    </xf>
    <xf numFmtId="0" fontId="6" fillId="3" borderId="0" xfId="0" applyFont="1" applyFill="1" applyAlignment="1" applyProtection="1">
      <alignment horizontal="center" vertical="center" wrapText="1"/>
    </xf>
    <xf numFmtId="0" fontId="12" fillId="3" borderId="0" xfId="0" applyFont="1" applyFill="1" applyAlignment="1" applyProtection="1">
      <alignment horizontal="left" vertical="center" wrapText="1"/>
    </xf>
    <xf numFmtId="0" fontId="26" fillId="3" borderId="0" xfId="0" applyFont="1" applyFill="1" applyAlignment="1" applyProtection="1">
      <alignment vertical="center"/>
    </xf>
    <xf numFmtId="0" fontId="25" fillId="3" borderId="0" xfId="0" applyFont="1" applyFill="1" applyAlignment="1" applyProtection="1">
      <alignment vertical="center"/>
    </xf>
    <xf numFmtId="0" fontId="9" fillId="5" borderId="18" xfId="0" applyFont="1" applyFill="1" applyBorder="1" applyAlignment="1" applyProtection="1">
      <alignment horizontal="center" vertical="center" wrapText="1"/>
    </xf>
    <xf numFmtId="0" fontId="9" fillId="3" borderId="82"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0" fontId="6" fillId="0" borderId="104" xfId="0" applyFont="1" applyBorder="1" applyAlignment="1" applyProtection="1">
      <alignment vertical="center" wrapText="1"/>
    </xf>
    <xf numFmtId="2" fontId="6" fillId="0" borderId="105" xfId="0" applyNumberFormat="1" applyFont="1" applyBorder="1" applyAlignment="1" applyProtection="1">
      <alignment horizontal="center" vertical="center"/>
    </xf>
    <xf numFmtId="2" fontId="6" fillId="0" borderId="129" xfId="0" applyNumberFormat="1" applyFont="1" applyBorder="1" applyAlignment="1" applyProtection="1">
      <alignment horizontal="center" vertical="center"/>
    </xf>
    <xf numFmtId="2" fontId="6" fillId="3" borderId="82" xfId="0" applyNumberFormat="1" applyFont="1" applyFill="1" applyBorder="1" applyAlignment="1" applyProtection="1">
      <alignment horizontal="center" vertical="center"/>
    </xf>
    <xf numFmtId="0" fontId="16" fillId="3" borderId="0" xfId="0" applyFont="1" applyFill="1" applyAlignment="1" applyProtection="1">
      <alignment horizontal="center" vertical="center" wrapText="1"/>
    </xf>
    <xf numFmtId="0" fontId="6" fillId="0" borderId="106" xfId="0" applyFont="1" applyBorder="1" applyAlignment="1" applyProtection="1">
      <alignment vertical="center" wrapText="1"/>
    </xf>
    <xf numFmtId="2" fontId="6" fillId="0" borderId="107" xfId="0" applyNumberFormat="1" applyFont="1" applyBorder="1" applyAlignment="1" applyProtection="1">
      <alignment horizontal="center" vertical="center"/>
    </xf>
    <xf numFmtId="2" fontId="6" fillId="0" borderId="130" xfId="0" applyNumberFormat="1" applyFont="1" applyBorder="1" applyAlignment="1" applyProtection="1">
      <alignment horizontal="center" vertical="center"/>
    </xf>
    <xf numFmtId="168" fontId="28" fillId="3" borderId="98" xfId="0" applyNumberFormat="1" applyFont="1" applyFill="1" applyBorder="1" applyAlignment="1" applyProtection="1">
      <alignment horizontal="center" vertical="center" wrapText="1"/>
    </xf>
    <xf numFmtId="0" fontId="28" fillId="3" borderId="0" xfId="0" applyFont="1" applyFill="1" applyAlignment="1" applyProtection="1">
      <alignment horizontal="left" vertical="center"/>
    </xf>
    <xf numFmtId="2" fontId="6" fillId="3" borderId="0" xfId="0" applyNumberFormat="1" applyFont="1" applyFill="1" applyAlignment="1" applyProtection="1">
      <alignment horizontal="center" vertical="center"/>
    </xf>
    <xf numFmtId="168" fontId="28" fillId="3" borderId="0" xfId="0" applyNumberFormat="1" applyFont="1" applyFill="1" applyAlignment="1" applyProtection="1">
      <alignment horizontal="center" vertical="center" wrapText="1"/>
    </xf>
    <xf numFmtId="0" fontId="23" fillId="3" borderId="0" xfId="0" applyFont="1" applyFill="1" applyAlignment="1" applyProtection="1">
      <alignment vertical="center"/>
    </xf>
    <xf numFmtId="0" fontId="15" fillId="3" borderId="0" xfId="0" applyFont="1" applyFill="1" applyAlignment="1" applyProtection="1">
      <alignment horizontal="center" vertical="center" wrapText="1"/>
    </xf>
    <xf numFmtId="0" fontId="15" fillId="3" borderId="0" xfId="0" applyFont="1" applyFill="1" applyAlignment="1" applyProtection="1">
      <alignment horizontal="center" vertical="center" wrapText="1"/>
    </xf>
    <xf numFmtId="0" fontId="23" fillId="3" borderId="30" xfId="0" applyFont="1" applyFill="1" applyBorder="1" applyAlignment="1" applyProtection="1">
      <alignment vertical="center"/>
    </xf>
    <xf numFmtId="0" fontId="8" fillId="3" borderId="47" xfId="0" applyFont="1" applyFill="1" applyBorder="1" applyAlignment="1" applyProtection="1">
      <alignment horizontal="center" vertical="center" wrapText="1"/>
    </xf>
    <xf numFmtId="0" fontId="8" fillId="3" borderId="53" xfId="0" applyFont="1" applyFill="1" applyBorder="1" applyAlignment="1" applyProtection="1">
      <alignment horizontal="center" vertical="center" wrapText="1"/>
    </xf>
    <xf numFmtId="0" fontId="8" fillId="9" borderId="47" xfId="0" applyFont="1" applyFill="1" applyBorder="1" applyAlignment="1" applyProtection="1">
      <alignment horizontal="center" vertical="center"/>
    </xf>
    <xf numFmtId="0" fontId="9" fillId="5" borderId="79" xfId="0" applyFont="1" applyFill="1" applyBorder="1" applyAlignment="1" applyProtection="1">
      <alignment horizontal="center" vertical="center" wrapText="1"/>
    </xf>
    <xf numFmtId="0" fontId="9" fillId="5" borderId="69" xfId="0" applyFont="1" applyFill="1" applyBorder="1" applyAlignment="1" applyProtection="1">
      <alignment horizontal="center" vertical="center" wrapText="1"/>
    </xf>
    <xf numFmtId="0" fontId="8" fillId="3" borderId="54" xfId="0" applyFont="1" applyFill="1" applyBorder="1" applyAlignment="1" applyProtection="1">
      <alignment horizontal="center" vertical="center" wrapText="1"/>
    </xf>
    <xf numFmtId="0" fontId="8" fillId="3" borderId="82" xfId="0" applyFont="1" applyFill="1" applyBorder="1" applyAlignment="1" applyProtection="1">
      <alignment horizontal="center" vertical="center" wrapText="1"/>
    </xf>
    <xf numFmtId="0" fontId="8" fillId="9" borderId="54" xfId="0" applyFont="1" applyFill="1" applyBorder="1" applyAlignment="1" applyProtection="1">
      <alignment horizontal="center" vertical="center"/>
    </xf>
    <xf numFmtId="0" fontId="9" fillId="5" borderId="5"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5" borderId="52" xfId="0" applyFont="1" applyFill="1" applyBorder="1" applyAlignment="1" applyProtection="1">
      <alignment horizontal="center" vertical="center" wrapText="1"/>
    </xf>
    <xf numFmtId="0" fontId="9" fillId="5" borderId="71" xfId="0" applyFont="1" applyFill="1" applyBorder="1" applyAlignment="1" applyProtection="1">
      <alignment horizontal="center" vertical="center" wrapText="1"/>
    </xf>
    <xf numFmtId="0" fontId="9" fillId="5" borderId="100" xfId="0" applyFont="1" applyFill="1" applyBorder="1" applyAlignment="1" applyProtection="1">
      <alignment horizontal="center" vertical="center" wrapText="1"/>
    </xf>
    <xf numFmtId="0" fontId="16" fillId="5" borderId="108"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0" fontId="9" fillId="5" borderId="22" xfId="0" applyFont="1" applyFill="1" applyBorder="1" applyAlignment="1" applyProtection="1">
      <alignment horizontal="center" vertical="center" wrapText="1"/>
    </xf>
    <xf numFmtId="0" fontId="16" fillId="5" borderId="109" xfId="0" applyFont="1" applyFill="1" applyBorder="1" applyAlignment="1" applyProtection="1">
      <alignment horizontal="center" vertical="center" wrapText="1"/>
    </xf>
    <xf numFmtId="0" fontId="16" fillId="5" borderId="31" xfId="0" applyFont="1" applyFill="1" applyBorder="1" applyAlignment="1" applyProtection="1">
      <alignment horizontal="center" vertical="center" wrapText="1"/>
    </xf>
    <xf numFmtId="0" fontId="16" fillId="5" borderId="32" xfId="0" applyFont="1" applyFill="1" applyBorder="1" applyAlignment="1" applyProtection="1">
      <alignment horizontal="center" vertical="center" wrapText="1"/>
    </xf>
    <xf numFmtId="0" fontId="8" fillId="3" borderId="74" xfId="0" applyFont="1" applyFill="1" applyBorder="1" applyAlignment="1" applyProtection="1">
      <alignment horizontal="center" vertical="center" wrapText="1"/>
    </xf>
    <xf numFmtId="0" fontId="20" fillId="3" borderId="76" xfId="0" applyFont="1" applyFill="1" applyBorder="1" applyAlignment="1" applyProtection="1">
      <alignment horizontal="left" vertical="center" wrapText="1"/>
    </xf>
    <xf numFmtId="0" fontId="20" fillId="3" borderId="85" xfId="0" applyFont="1" applyFill="1" applyBorder="1" applyAlignment="1" applyProtection="1">
      <alignment horizontal="left" vertical="center" wrapText="1"/>
    </xf>
    <xf numFmtId="0" fontId="6" fillId="9" borderId="54" xfId="0" applyFont="1" applyFill="1" applyBorder="1" applyAlignment="1" applyProtection="1">
      <alignment horizontal="left" vertical="center"/>
    </xf>
    <xf numFmtId="1" fontId="6" fillId="3" borderId="53" xfId="0" applyNumberFormat="1" applyFont="1" applyFill="1" applyBorder="1" applyAlignment="1" applyProtection="1">
      <alignment horizontal="center" vertical="center"/>
    </xf>
    <xf numFmtId="0" fontId="6" fillId="3" borderId="17" xfId="0" applyFont="1" applyFill="1" applyBorder="1" applyAlignment="1" applyProtection="1">
      <alignment vertical="center"/>
    </xf>
    <xf numFmtId="1" fontId="6" fillId="3" borderId="34" xfId="0" applyNumberFormat="1" applyFont="1" applyFill="1" applyBorder="1" applyAlignment="1" applyProtection="1">
      <alignment horizontal="center" vertical="center"/>
    </xf>
    <xf numFmtId="2" fontId="12" fillId="0" borderId="24" xfId="0" applyNumberFormat="1" applyFont="1" applyBorder="1" applyAlignment="1" applyProtection="1">
      <alignment horizontal="center" vertical="center"/>
    </xf>
    <xf numFmtId="0" fontId="8" fillId="3" borderId="73" xfId="0" applyFont="1" applyFill="1" applyBorder="1" applyAlignment="1" applyProtection="1">
      <alignment horizontal="center" vertical="center" wrapText="1"/>
    </xf>
    <xf numFmtId="0" fontId="20" fillId="3" borderId="68" xfId="0" applyFont="1" applyFill="1" applyBorder="1" applyAlignment="1" applyProtection="1">
      <alignment horizontal="left" vertical="center" wrapText="1"/>
    </xf>
    <xf numFmtId="0" fontId="20" fillId="3" borderId="86" xfId="0" applyFont="1" applyFill="1" applyBorder="1" applyAlignment="1" applyProtection="1">
      <alignment horizontal="left" vertical="center" wrapText="1"/>
    </xf>
    <xf numFmtId="1" fontId="6" fillId="3" borderId="101" xfId="0" applyNumberFormat="1" applyFont="1" applyFill="1" applyBorder="1" applyAlignment="1" applyProtection="1">
      <alignment horizontal="center" vertical="center"/>
    </xf>
    <xf numFmtId="0" fontId="6" fillId="3" borderId="22" xfId="0" applyFont="1" applyFill="1" applyBorder="1" applyAlignment="1" applyProtection="1">
      <alignment vertical="center"/>
    </xf>
    <xf numFmtId="2" fontId="12" fillId="0" borderId="43" xfId="0" applyNumberFormat="1" applyFont="1" applyBorder="1" applyAlignment="1" applyProtection="1">
      <alignment horizontal="center" vertical="center"/>
    </xf>
    <xf numFmtId="1" fontId="6" fillId="3" borderId="39" xfId="0" applyNumberFormat="1" applyFont="1" applyFill="1" applyBorder="1" applyAlignment="1" applyProtection="1">
      <alignment horizontal="center" vertical="center"/>
    </xf>
    <xf numFmtId="0" fontId="6" fillId="9" borderId="54" xfId="0" applyFont="1" applyFill="1" applyBorder="1" applyAlignment="1" applyProtection="1">
      <alignment horizontal="left" vertical="center" wrapText="1"/>
    </xf>
    <xf numFmtId="0" fontId="8" fillId="3" borderId="75" xfId="0" applyFont="1" applyFill="1" applyBorder="1" applyAlignment="1" applyProtection="1">
      <alignment horizontal="center" vertical="center" wrapText="1"/>
    </xf>
    <xf numFmtId="0" fontId="20" fillId="3" borderId="77" xfId="0" applyFont="1" applyFill="1" applyBorder="1" applyAlignment="1" applyProtection="1">
      <alignment horizontal="left" vertical="center" wrapText="1"/>
    </xf>
    <xf numFmtId="0" fontId="20" fillId="3" borderId="87" xfId="0" applyFont="1" applyFill="1" applyBorder="1" applyAlignment="1" applyProtection="1">
      <alignment horizontal="left" vertical="center" wrapText="1"/>
    </xf>
    <xf numFmtId="0" fontId="6" fillId="9" borderId="50" xfId="0" applyFont="1" applyFill="1" applyBorder="1" applyAlignment="1" applyProtection="1">
      <alignment horizontal="left" vertical="center" wrapText="1"/>
    </xf>
    <xf numFmtId="0" fontId="6" fillId="3" borderId="59" xfId="0" applyFont="1" applyFill="1" applyBorder="1" applyAlignment="1" applyProtection="1">
      <alignment vertical="center"/>
    </xf>
    <xf numFmtId="0" fontId="6" fillId="3" borderId="29" xfId="0" applyFont="1" applyFill="1" applyBorder="1" applyAlignment="1" applyProtection="1">
      <alignment horizontal="center" vertical="center"/>
    </xf>
    <xf numFmtId="0" fontId="6" fillId="3" borderId="29" xfId="0" applyFont="1" applyFill="1" applyBorder="1" applyAlignment="1" applyProtection="1">
      <alignment vertical="center"/>
    </xf>
    <xf numFmtId="0" fontId="18" fillId="3" borderId="0" xfId="0" applyFont="1" applyFill="1" applyAlignment="1" applyProtection="1">
      <alignment horizontal="center" vertical="center" wrapText="1"/>
    </xf>
    <xf numFmtId="0" fontId="8" fillId="3" borderId="0" xfId="0" applyFont="1" applyFill="1" applyAlignment="1" applyProtection="1">
      <alignment vertical="center" wrapText="1"/>
    </xf>
    <xf numFmtId="0" fontId="8" fillId="3" borderId="0" xfId="0" applyFont="1" applyFill="1" applyAlignment="1" applyProtection="1">
      <alignment horizontal="center" vertical="center"/>
    </xf>
    <xf numFmtId="11" fontId="6" fillId="3" borderId="0" xfId="0" applyNumberFormat="1" applyFont="1" applyFill="1" applyAlignment="1" applyProtection="1">
      <alignment horizontal="center" vertical="center"/>
    </xf>
    <xf numFmtId="0" fontId="16" fillId="3" borderId="0" xfId="0" applyFont="1" applyFill="1" applyAlignment="1" applyProtection="1">
      <alignment horizontal="left" vertical="center" wrapText="1"/>
    </xf>
    <xf numFmtId="0" fontId="12" fillId="2" borderId="83" xfId="0" applyFont="1" applyFill="1" applyBorder="1" applyAlignment="1" applyProtection="1">
      <alignment horizontal="center" vertical="center" wrapText="1"/>
    </xf>
    <xf numFmtId="0" fontId="6" fillId="0" borderId="15" xfId="0" applyFont="1" applyBorder="1" applyAlignment="1" applyProtection="1">
      <alignment vertical="center" wrapText="1"/>
    </xf>
    <xf numFmtId="0" fontId="6" fillId="0" borderId="16" xfId="0" applyFont="1" applyBorder="1" applyAlignment="1" applyProtection="1">
      <alignment vertical="center" wrapText="1"/>
    </xf>
    <xf numFmtId="2" fontId="6" fillId="0" borderId="36" xfId="0" applyNumberFormat="1" applyFont="1" applyBorder="1" applyAlignment="1" applyProtection="1">
      <alignment horizontal="center" vertical="center"/>
    </xf>
    <xf numFmtId="0" fontId="9" fillId="5" borderId="98" xfId="0" applyFont="1" applyFill="1" applyBorder="1" applyAlignment="1" applyProtection="1">
      <alignment horizontal="center" vertical="center" wrapText="1"/>
    </xf>
    <xf numFmtId="0" fontId="9" fillId="5" borderId="7" xfId="0" applyFont="1" applyFill="1" applyBorder="1" applyAlignment="1" applyProtection="1">
      <alignment horizontal="center" vertical="center" wrapText="1"/>
    </xf>
    <xf numFmtId="0" fontId="9" fillId="5" borderId="110" xfId="0" applyFont="1" applyFill="1" applyBorder="1" applyAlignment="1" applyProtection="1">
      <alignment horizontal="center" vertical="center" wrapText="1"/>
    </xf>
    <xf numFmtId="0" fontId="9" fillId="5" borderId="21"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9" fillId="5" borderId="111" xfId="0" applyFont="1" applyFill="1" applyBorder="1" applyAlignment="1" applyProtection="1">
      <alignment horizontal="center" vertical="center" wrapText="1"/>
    </xf>
    <xf numFmtId="0" fontId="12" fillId="3" borderId="38" xfId="0" applyFont="1" applyFill="1" applyBorder="1" applyAlignment="1" applyProtection="1">
      <alignment horizontal="center" vertical="center" wrapText="1"/>
    </xf>
    <xf numFmtId="0" fontId="20" fillId="3" borderId="76" xfId="0" applyFont="1" applyFill="1" applyBorder="1" applyAlignment="1" applyProtection="1">
      <alignment horizontal="center" vertical="center" wrapText="1"/>
    </xf>
    <xf numFmtId="0" fontId="20" fillId="3" borderId="89" xfId="0" applyFont="1" applyFill="1" applyBorder="1" applyAlignment="1" applyProtection="1">
      <alignment horizontal="center" vertical="center" wrapText="1"/>
    </xf>
    <xf numFmtId="1" fontId="6" fillId="3" borderId="55" xfId="0" applyNumberFormat="1" applyFont="1" applyFill="1" applyBorder="1" applyAlignment="1" applyProtection="1">
      <alignment horizontal="center" vertical="center"/>
    </xf>
    <xf numFmtId="0" fontId="6" fillId="3" borderId="15"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xf>
    <xf numFmtId="0" fontId="16" fillId="5" borderId="15" xfId="0" applyFont="1" applyFill="1" applyBorder="1" applyAlignment="1" applyProtection="1">
      <alignment horizontal="center" vertical="center" wrapText="1"/>
    </xf>
    <xf numFmtId="0" fontId="20" fillId="3" borderId="88" xfId="0" applyFont="1" applyFill="1" applyBorder="1" applyAlignment="1" applyProtection="1">
      <alignment horizontal="center" vertical="center" wrapText="1"/>
    </xf>
    <xf numFmtId="0" fontId="20" fillId="3" borderId="90" xfId="0" applyFont="1" applyFill="1" applyBorder="1" applyAlignment="1" applyProtection="1">
      <alignment horizontal="center" vertical="center" wrapText="1"/>
    </xf>
    <xf numFmtId="1" fontId="6" fillId="3" borderId="70"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xf>
    <xf numFmtId="0" fontId="16" fillId="5" borderId="1" xfId="0" applyFont="1" applyFill="1" applyBorder="1" applyAlignment="1" applyProtection="1">
      <alignment horizontal="center" vertical="center" wrapText="1"/>
    </xf>
    <xf numFmtId="2" fontId="12" fillId="0" borderId="1" xfId="0" applyNumberFormat="1" applyFont="1" applyBorder="1" applyAlignment="1" applyProtection="1">
      <alignment horizontal="center" vertical="center"/>
    </xf>
    <xf numFmtId="2" fontId="12" fillId="0" borderId="21" xfId="0" applyNumberFormat="1" applyFont="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20" fillId="3" borderId="77" xfId="0" applyFont="1" applyFill="1" applyBorder="1" applyAlignment="1" applyProtection="1">
      <alignment horizontal="center" vertical="center" wrapText="1"/>
    </xf>
    <xf numFmtId="0" fontId="20" fillId="3" borderId="91" xfId="0" applyFont="1" applyFill="1" applyBorder="1" applyAlignment="1" applyProtection="1">
      <alignment horizontal="center" vertical="center" wrapText="1"/>
    </xf>
    <xf numFmtId="1" fontId="6" fillId="3" borderId="83" xfId="0" applyNumberFormat="1" applyFont="1" applyFill="1" applyBorder="1" applyAlignment="1" applyProtection="1">
      <alignment horizontal="center" vertical="center"/>
    </xf>
    <xf numFmtId="0" fontId="6" fillId="3" borderId="16"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xf>
    <xf numFmtId="1" fontId="6" fillId="3" borderId="9" xfId="0" applyNumberFormat="1" applyFont="1" applyFill="1" applyBorder="1" applyAlignment="1" applyProtection="1">
      <alignment horizontal="center" vertical="center"/>
    </xf>
    <xf numFmtId="0" fontId="6" fillId="3" borderId="24" xfId="0" applyFont="1" applyFill="1" applyBorder="1" applyAlignment="1" applyProtection="1">
      <alignment horizontal="center" vertical="center" wrapText="1"/>
    </xf>
    <xf numFmtId="0" fontId="16" fillId="5" borderId="24" xfId="0" applyFont="1" applyFill="1" applyBorder="1" applyAlignment="1" applyProtection="1">
      <alignment horizontal="center" vertical="center" wrapText="1"/>
    </xf>
    <xf numFmtId="2" fontId="12" fillId="0" borderId="28" xfId="0" applyNumberFormat="1" applyFont="1" applyBorder="1" applyAlignment="1" applyProtection="1">
      <alignment horizontal="center" vertical="center"/>
    </xf>
    <xf numFmtId="1" fontId="6" fillId="3" borderId="4" xfId="0" applyNumberFormat="1" applyFont="1" applyFill="1" applyBorder="1" applyAlignment="1" applyProtection="1">
      <alignment horizontal="center" vertical="center"/>
    </xf>
    <xf numFmtId="0" fontId="6" fillId="3" borderId="31"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xf>
    <xf numFmtId="2" fontId="12" fillId="0" borderId="31" xfId="0" applyNumberFormat="1" applyFont="1" applyBorder="1" applyAlignment="1" applyProtection="1">
      <alignment horizontal="center" vertical="center"/>
    </xf>
    <xf numFmtId="2" fontId="12" fillId="0" borderId="32" xfId="0" applyNumberFormat="1" applyFont="1" applyBorder="1" applyAlignment="1" applyProtection="1">
      <alignment horizontal="center" vertical="center"/>
    </xf>
    <xf numFmtId="0" fontId="6" fillId="3" borderId="15" xfId="0" applyFont="1" applyFill="1" applyBorder="1" applyAlignment="1" applyProtection="1">
      <alignment horizontal="center" vertical="center"/>
    </xf>
    <xf numFmtId="0" fontId="16" fillId="5" borderId="16" xfId="0" applyFont="1" applyFill="1" applyBorder="1" applyAlignment="1" applyProtection="1">
      <alignment horizontal="center" vertical="center" wrapText="1"/>
    </xf>
    <xf numFmtId="0" fontId="8" fillId="3" borderId="0" xfId="0" applyFont="1" applyFill="1" applyAlignment="1" applyProtection="1">
      <alignment horizontal="center" vertical="center" wrapText="1"/>
    </xf>
    <xf numFmtId="11" fontId="6" fillId="3" borderId="0" xfId="0" applyNumberFormat="1" applyFont="1" applyFill="1" applyAlignment="1" applyProtection="1">
      <alignment horizontal="center" vertical="center" wrapText="1"/>
    </xf>
    <xf numFmtId="0" fontId="6" fillId="0" borderId="0" xfId="0" applyFont="1" applyAlignment="1" applyProtection="1">
      <alignment horizontal="center" vertical="center"/>
    </xf>
    <xf numFmtId="0" fontId="18" fillId="0" borderId="0" xfId="0" applyFont="1" applyProtection="1"/>
    <xf numFmtId="0" fontId="8" fillId="2" borderId="25" xfId="0" applyFont="1" applyFill="1" applyBorder="1" applyAlignment="1" applyProtection="1">
      <alignment vertical="center" wrapText="1"/>
    </xf>
    <xf numFmtId="0" fontId="8" fillId="2" borderId="69" xfId="0" applyFont="1" applyFill="1" applyBorder="1" applyAlignment="1" applyProtection="1">
      <alignment horizontal="center" vertical="center" wrapText="1"/>
    </xf>
    <xf numFmtId="0" fontId="8" fillId="2" borderId="98" xfId="0" applyFont="1" applyFill="1" applyBorder="1" applyAlignment="1" applyProtection="1">
      <alignment horizontal="center" vertical="center" wrapText="1"/>
    </xf>
    <xf numFmtId="0" fontId="9" fillId="2" borderId="34" xfId="0" applyFont="1" applyFill="1" applyBorder="1" applyAlignment="1" applyProtection="1">
      <alignment horizontal="center" vertical="top" wrapText="1"/>
    </xf>
    <xf numFmtId="0" fontId="9" fillId="2" borderId="25" xfId="0" applyFont="1" applyFill="1" applyBorder="1" applyAlignment="1" applyProtection="1">
      <alignment horizontal="center" vertical="top" wrapText="1"/>
    </xf>
    <xf numFmtId="0" fontId="9" fillId="2" borderId="27" xfId="0" applyFont="1" applyFill="1" applyBorder="1" applyAlignment="1" applyProtection="1">
      <alignment horizontal="center" vertical="top" wrapText="1"/>
    </xf>
    <xf numFmtId="0" fontId="9" fillId="13" borderId="51" xfId="0" applyFont="1" applyFill="1" applyBorder="1" applyAlignment="1" applyProtection="1">
      <alignment horizontal="center" vertical="center" wrapText="1"/>
    </xf>
    <xf numFmtId="0" fontId="9" fillId="13" borderId="100" xfId="0" applyFont="1" applyFill="1" applyBorder="1" applyAlignment="1" applyProtection="1">
      <alignment horizontal="center" vertical="center" wrapText="1"/>
    </xf>
    <xf numFmtId="0" fontId="8" fillId="2" borderId="31" xfId="0" applyFont="1" applyFill="1" applyBorder="1" applyAlignment="1" applyProtection="1">
      <alignment vertical="center"/>
    </xf>
    <xf numFmtId="0" fontId="8" fillId="2" borderId="26" xfId="0" applyFont="1" applyFill="1" applyBorder="1" applyAlignment="1" applyProtection="1">
      <alignment vertical="center" wrapText="1"/>
    </xf>
    <xf numFmtId="0" fontId="8" fillId="2" borderId="6"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12" fillId="0" borderId="0" xfId="0" applyFont="1" applyProtection="1"/>
    <xf numFmtId="0" fontId="9" fillId="2" borderId="24" xfId="0" applyFont="1" applyFill="1" applyBorder="1" applyAlignment="1" applyProtection="1">
      <alignment vertical="center" wrapText="1"/>
    </xf>
    <xf numFmtId="0" fontId="9" fillId="2" borderId="1"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9" fillId="13" borderId="1" xfId="0" applyFont="1" applyFill="1" applyBorder="1" applyAlignment="1" applyProtection="1">
      <alignment horizontal="center" vertical="center" wrapText="1"/>
    </xf>
    <xf numFmtId="0" fontId="33" fillId="0" borderId="46" xfId="0" applyFont="1" applyBorder="1" applyAlignment="1" applyProtection="1">
      <alignment horizontal="center" vertical="center" wrapText="1"/>
    </xf>
    <xf numFmtId="0" fontId="33" fillId="0" borderId="46" xfId="0" applyFont="1" applyBorder="1" applyAlignment="1" applyProtection="1">
      <alignment vertical="center" wrapText="1"/>
    </xf>
    <xf numFmtId="0" fontId="13"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11" fontId="37" fillId="11" borderId="6" xfId="0" applyNumberFormat="1" applyFont="1" applyFill="1" applyBorder="1" applyAlignment="1" applyProtection="1">
      <alignment horizontal="center" vertical="center"/>
    </xf>
    <xf numFmtId="0" fontId="0" fillId="11" borderId="24" xfId="0" applyFill="1" applyBorder="1" applyAlignment="1" applyProtection="1">
      <alignment horizontal="center" vertical="center"/>
    </xf>
    <xf numFmtId="11" fontId="0" fillId="11" borderId="24" xfId="0" applyNumberFormat="1" applyFill="1" applyBorder="1" applyAlignment="1" applyProtection="1">
      <alignment horizontal="center" vertical="center"/>
    </xf>
    <xf numFmtId="2" fontId="6" fillId="0" borderId="1" xfId="0" applyNumberFormat="1" applyFont="1" applyBorder="1" applyAlignment="1" applyProtection="1">
      <alignment horizontal="center" vertical="center"/>
    </xf>
    <xf numFmtId="166" fontId="6" fillId="0" borderId="1" xfId="0" applyNumberFormat="1" applyFont="1" applyBorder="1" applyAlignment="1" applyProtection="1">
      <alignment horizontal="center" vertical="center"/>
    </xf>
    <xf numFmtId="1" fontId="6" fillId="0" borderId="1" xfId="0" applyNumberFormat="1" applyFont="1" applyBorder="1" applyAlignment="1" applyProtection="1">
      <alignment horizontal="center" vertical="center"/>
    </xf>
    <xf numFmtId="0" fontId="6" fillId="0" borderId="21" xfId="0" applyFont="1" applyBorder="1" applyAlignment="1" applyProtection="1">
      <alignment vertical="center" wrapText="1"/>
    </xf>
    <xf numFmtId="0" fontId="6" fillId="0" borderId="7" xfId="0" applyFont="1" applyBorder="1" applyProtection="1"/>
    <xf numFmtId="11" fontId="37" fillId="11" borderId="52" xfId="0" applyNumberFormat="1" applyFont="1" applyFill="1" applyBorder="1" applyAlignment="1" applyProtection="1">
      <alignment horizontal="center" vertical="center"/>
    </xf>
    <xf numFmtId="0" fontId="0" fillId="11" borderId="1" xfId="0" applyFill="1" applyBorder="1" applyAlignment="1" applyProtection="1">
      <alignment horizontal="center" vertical="center"/>
    </xf>
    <xf numFmtId="11" fontId="0" fillId="11" borderId="1" xfId="0" applyNumberFormat="1" applyFill="1" applyBorder="1" applyAlignment="1" applyProtection="1">
      <alignment horizontal="center" vertical="center"/>
    </xf>
    <xf numFmtId="2" fontId="6" fillId="3" borderId="1" xfId="0" applyNumberFormat="1" applyFont="1" applyFill="1" applyBorder="1" applyAlignment="1" applyProtection="1">
      <alignment horizontal="center" vertical="center"/>
    </xf>
    <xf numFmtId="166" fontId="6" fillId="3" borderId="1" xfId="0" applyNumberFormat="1" applyFont="1" applyFill="1" applyBorder="1" applyAlignment="1" applyProtection="1">
      <alignment horizontal="center" vertical="center"/>
    </xf>
    <xf numFmtId="0" fontId="0" fillId="0" borderId="46" xfId="0" applyBorder="1" applyAlignment="1" applyProtection="1">
      <alignment horizontal="center" vertical="center" wrapText="1"/>
    </xf>
    <xf numFmtId="0" fontId="0" fillId="0" borderId="46" xfId="0" applyBorder="1" applyAlignment="1" applyProtection="1">
      <alignment vertical="center" wrapText="1"/>
    </xf>
    <xf numFmtId="0" fontId="6" fillId="0" borderId="46" xfId="0" applyFont="1" applyBorder="1" applyAlignment="1" applyProtection="1">
      <alignment horizontal="center" vertical="center" wrapText="1"/>
    </xf>
    <xf numFmtId="0" fontId="6" fillId="0" borderId="46" xfId="0" applyFont="1" applyBorder="1" applyAlignment="1" applyProtection="1">
      <alignment vertical="center" wrapText="1"/>
    </xf>
    <xf numFmtId="11" fontId="39" fillId="11" borderId="1" xfId="0" applyNumberFormat="1" applyFont="1" applyFill="1" applyBorder="1" applyAlignment="1" applyProtection="1">
      <alignment horizontal="center" vertical="center"/>
    </xf>
    <xf numFmtId="11" fontId="6" fillId="0" borderId="1" xfId="0" applyNumberFormat="1" applyFont="1" applyBorder="1" applyAlignment="1" applyProtection="1">
      <alignment horizontal="center" vertical="center"/>
    </xf>
    <xf numFmtId="11" fontId="6" fillId="11" borderId="1" xfId="0" applyNumberFormat="1" applyFont="1" applyFill="1" applyBorder="1" applyAlignment="1" applyProtection="1">
      <alignment horizontal="center" vertical="center"/>
    </xf>
    <xf numFmtId="11" fontId="38" fillId="11" borderId="1" xfId="0" applyNumberFormat="1" applyFont="1" applyFill="1"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125" xfId="0" applyBorder="1" applyAlignment="1" applyProtection="1">
      <alignment vertical="center" wrapText="1"/>
    </xf>
    <xf numFmtId="0" fontId="13" fillId="0" borderId="31" xfId="0" applyFont="1" applyBorder="1" applyAlignment="1" applyProtection="1">
      <alignment horizontal="center" vertical="center" wrapText="1"/>
    </xf>
    <xf numFmtId="0" fontId="6" fillId="0" borderId="31" xfId="0" applyFont="1" applyBorder="1" applyAlignment="1" applyProtection="1">
      <alignment horizontal="center" vertical="center"/>
    </xf>
    <xf numFmtId="11" fontId="37" fillId="11" borderId="2" xfId="0" applyNumberFormat="1" applyFont="1" applyFill="1" applyBorder="1" applyAlignment="1" applyProtection="1">
      <alignment horizontal="center" vertical="center"/>
    </xf>
    <xf numFmtId="11" fontId="39" fillId="11" borderId="31" xfId="0" applyNumberFormat="1" applyFont="1" applyFill="1" applyBorder="1" applyAlignment="1" applyProtection="1">
      <alignment horizontal="center" vertical="center"/>
    </xf>
    <xf numFmtId="2" fontId="6" fillId="3" borderId="31" xfId="0" applyNumberFormat="1" applyFont="1" applyFill="1" applyBorder="1" applyAlignment="1" applyProtection="1">
      <alignment horizontal="center" vertical="center"/>
    </xf>
    <xf numFmtId="166" fontId="6" fillId="3" borderId="31" xfId="0" applyNumberFormat="1" applyFont="1" applyFill="1" applyBorder="1" applyAlignment="1" applyProtection="1">
      <alignment horizontal="center" vertical="center"/>
    </xf>
    <xf numFmtId="1" fontId="6" fillId="0" borderId="31" xfId="0" applyNumberFormat="1" applyFont="1" applyBorder="1" applyAlignment="1" applyProtection="1">
      <alignment horizontal="center" vertical="center"/>
    </xf>
    <xf numFmtId="0" fontId="6" fillId="0" borderId="31" xfId="0" applyFont="1" applyBorder="1" applyAlignment="1" applyProtection="1">
      <alignment vertical="center" wrapText="1"/>
    </xf>
    <xf numFmtId="0" fontId="6" fillId="0" borderId="32" xfId="0" applyFont="1" applyBorder="1" applyAlignment="1" applyProtection="1">
      <alignment vertical="center" wrapText="1"/>
    </xf>
    <xf numFmtId="0" fontId="6" fillId="0" borderId="126" xfId="0" applyFont="1" applyFill="1" applyBorder="1" applyAlignment="1" applyProtection="1">
      <alignment horizontal="center" vertical="center" wrapText="1"/>
    </xf>
    <xf numFmtId="11" fontId="37" fillId="11" borderId="1" xfId="0" applyNumberFormat="1" applyFont="1" applyFill="1" applyBorder="1" applyAlignment="1" applyProtection="1">
      <alignment horizontal="center" vertical="center"/>
    </xf>
    <xf numFmtId="0" fontId="6" fillId="0" borderId="0" xfId="0" applyFont="1" applyAlignment="1" applyProtection="1">
      <alignment horizontal="center"/>
    </xf>
    <xf numFmtId="11" fontId="6" fillId="0" borderId="0" xfId="0" applyNumberFormat="1" applyFont="1" applyAlignment="1" applyProtection="1">
      <alignment horizontal="center"/>
    </xf>
    <xf numFmtId="11" fontId="6" fillId="0" borderId="0" xfId="0" applyNumberFormat="1" applyFont="1" applyAlignment="1" applyProtection="1">
      <alignment horizontal="center" vertical="center"/>
    </xf>
    <xf numFmtId="0" fontId="8" fillId="2" borderId="17"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80" xfId="0" applyFont="1" applyFill="1" applyBorder="1" applyAlignment="1" applyProtection="1">
      <alignment horizontal="center" vertical="center" wrapText="1"/>
    </xf>
    <xf numFmtId="0" fontId="8" fillId="2" borderId="127" xfId="0" applyFont="1" applyFill="1" applyBorder="1" applyAlignment="1" applyProtection="1">
      <alignment horizontal="center" vertical="center" wrapText="1"/>
    </xf>
    <xf numFmtId="0" fontId="9" fillId="13" borderId="70" xfId="0" applyFont="1" applyFill="1" applyBorder="1" applyAlignment="1" applyProtection="1">
      <alignment horizontal="center" vertical="center" wrapText="1"/>
    </xf>
    <xf numFmtId="0" fontId="9" fillId="13" borderId="1" xfId="0" applyFont="1" applyFill="1" applyBorder="1" applyAlignment="1" applyProtection="1">
      <alignment horizontal="center" vertical="center" wrapText="1"/>
    </xf>
    <xf numFmtId="0" fontId="6" fillId="0" borderId="8" xfId="0" applyFont="1" applyBorder="1" applyProtection="1"/>
    <xf numFmtId="0" fontId="8" fillId="2" borderId="20"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128" xfId="0" applyFont="1" applyFill="1" applyBorder="1" applyAlignment="1" applyProtection="1">
      <alignment horizontal="center" vertical="center" wrapText="1"/>
    </xf>
    <xf numFmtId="0" fontId="16" fillId="12" borderId="1" xfId="0" applyFont="1" applyFill="1" applyBorder="1" applyAlignment="1" applyProtection="1">
      <alignment horizontal="center" vertical="center" wrapText="1"/>
    </xf>
    <xf numFmtId="0" fontId="16" fillId="12" borderId="52"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02" xfId="0" applyFont="1" applyFill="1" applyBorder="1" applyAlignment="1" applyProtection="1">
      <alignment horizontal="center" vertical="center" wrapText="1"/>
    </xf>
    <xf numFmtId="0" fontId="9" fillId="13" borderId="70" xfId="0" applyFont="1" applyFill="1" applyBorder="1" applyAlignment="1" applyProtection="1">
      <alignment horizontal="center" vertical="center" wrapText="1"/>
    </xf>
    <xf numFmtId="0" fontId="34" fillId="0" borderId="46" xfId="0" applyFont="1" applyBorder="1" applyAlignment="1" applyProtection="1">
      <alignment horizontal="center" vertical="center" wrapText="1"/>
    </xf>
    <xf numFmtId="0" fontId="13" fillId="0" borderId="52" xfId="0" applyFont="1" applyBorder="1" applyAlignment="1" applyProtection="1">
      <alignment horizontal="center" vertical="center" wrapText="1"/>
    </xf>
    <xf numFmtId="11" fontId="6" fillId="0" borderId="31" xfId="0" applyNumberFormat="1" applyFont="1" applyBorder="1" applyAlignment="1" applyProtection="1">
      <alignment horizontal="center" vertical="center"/>
    </xf>
    <xf numFmtId="0" fontId="6" fillId="0" borderId="32" xfId="0" applyFont="1" applyBorder="1" applyAlignment="1" applyProtection="1">
      <alignment horizontal="center" vertical="center"/>
    </xf>
    <xf numFmtId="166" fontId="6" fillId="0" borderId="70" xfId="0" applyNumberFormat="1" applyFont="1" applyBorder="1" applyAlignment="1" applyProtection="1">
      <alignment horizontal="center" vertical="center" wrapText="1"/>
    </xf>
    <xf numFmtId="166" fontId="6" fillId="0" borderId="1" xfId="0" applyNumberFormat="1" applyFont="1" applyBorder="1" applyAlignment="1" applyProtection="1">
      <alignment horizontal="center" vertical="center" wrapText="1"/>
    </xf>
    <xf numFmtId="11" fontId="12" fillId="0" borderId="24" xfId="0" applyNumberFormat="1" applyFont="1" applyBorder="1" applyAlignment="1" applyProtection="1">
      <alignment horizontal="center" vertical="center" wrapText="1"/>
    </xf>
    <xf numFmtId="166" fontId="12" fillId="0" borderId="1" xfId="0" applyNumberFormat="1" applyFont="1" applyBorder="1" applyAlignment="1" applyProtection="1">
      <alignment horizontal="center" vertical="center" wrapText="1"/>
    </xf>
    <xf numFmtId="0" fontId="28" fillId="0" borderId="21" xfId="0" applyFont="1" applyBorder="1" applyAlignment="1" applyProtection="1">
      <alignment horizontal="center" vertical="center" wrapText="1"/>
    </xf>
    <xf numFmtId="166" fontId="6" fillId="0" borderId="31" xfId="0" applyNumberFormat="1" applyFont="1" applyBorder="1" applyAlignment="1" applyProtection="1">
      <alignment horizontal="center" vertical="center"/>
    </xf>
    <xf numFmtId="0" fontId="7" fillId="0" borderId="46" xfId="0" applyFont="1" applyBorder="1" applyAlignment="1" applyProtection="1">
      <alignment horizontal="center" vertical="center" wrapText="1"/>
    </xf>
    <xf numFmtId="0" fontId="7" fillId="0" borderId="51" xfId="0" applyFont="1" applyBorder="1" applyAlignment="1" applyProtection="1">
      <alignment horizontal="center" vertical="center" wrapText="1"/>
    </xf>
    <xf numFmtId="11" fontId="6" fillId="0" borderId="21" xfId="0" applyNumberFormat="1" applyFont="1" applyBorder="1" applyAlignment="1" applyProtection="1">
      <alignment horizontal="center" vertical="center"/>
    </xf>
    <xf numFmtId="0" fontId="6" fillId="0" borderId="21" xfId="0" applyFont="1" applyBorder="1" applyAlignment="1" applyProtection="1">
      <alignment horizontal="center" vertical="center"/>
    </xf>
    <xf numFmtId="0" fontId="28" fillId="0" borderId="1" xfId="0" applyFont="1" applyBorder="1" applyAlignment="1" applyProtection="1">
      <alignment horizontal="center" vertical="center" wrapText="1"/>
    </xf>
    <xf numFmtId="166" fontId="6" fillId="0" borderId="24" xfId="0" applyNumberFormat="1" applyFont="1" applyBorder="1" applyAlignment="1" applyProtection="1">
      <alignment horizontal="center" vertical="center"/>
    </xf>
    <xf numFmtId="11" fontId="28" fillId="0" borderId="1" xfId="0" applyNumberFormat="1" applyFont="1" applyBorder="1" applyAlignment="1" applyProtection="1">
      <alignment horizontal="center" vertical="center" wrapText="1"/>
    </xf>
    <xf numFmtId="11" fontId="28" fillId="0" borderId="31" xfId="0" applyNumberFormat="1" applyFont="1" applyBorder="1" applyAlignment="1" applyProtection="1">
      <alignment horizontal="center" vertical="center" wrapText="1"/>
    </xf>
    <xf numFmtId="11" fontId="28" fillId="0" borderId="32" xfId="0" applyNumberFormat="1" applyFont="1" applyBorder="1" applyAlignment="1" applyProtection="1">
      <alignment horizontal="center" vertical="center" wrapText="1"/>
    </xf>
    <xf numFmtId="0" fontId="6" fillId="0" borderId="33" xfId="0" applyFont="1" applyBorder="1" applyAlignment="1" applyProtection="1">
      <alignment horizontal="center" vertical="center"/>
    </xf>
    <xf numFmtId="0" fontId="7" fillId="0" borderId="45" xfId="0" applyFont="1" applyBorder="1" applyAlignment="1" applyProtection="1">
      <alignment horizontal="center" vertical="center" wrapText="1"/>
    </xf>
    <xf numFmtId="0" fontId="6" fillId="0" borderId="26" xfId="0" applyFont="1" applyBorder="1" applyAlignment="1" applyProtection="1">
      <alignment horizontal="center" vertical="center"/>
    </xf>
    <xf numFmtId="0" fontId="30" fillId="15" borderId="47" xfId="0" applyFont="1" applyFill="1" applyBorder="1" applyAlignment="1" applyProtection="1">
      <alignment vertical="center" wrapText="1"/>
    </xf>
    <xf numFmtId="0" fontId="30" fillId="15" borderId="48" xfId="0" applyFont="1" applyFill="1" applyBorder="1" applyAlignment="1" applyProtection="1">
      <alignment horizontal="center" vertical="center" wrapText="1"/>
    </xf>
    <xf numFmtId="0" fontId="30" fillId="15" borderId="58" xfId="0" applyFont="1" applyFill="1" applyBorder="1" applyAlignment="1" applyProtection="1">
      <alignment horizontal="center" vertical="center" wrapText="1"/>
    </xf>
    <xf numFmtId="0" fontId="30" fillId="15" borderId="49" xfId="0" applyFont="1" applyFill="1" applyBorder="1" applyAlignment="1" applyProtection="1">
      <alignment horizontal="center" vertical="center" wrapText="1"/>
    </xf>
    <xf numFmtId="0" fontId="30" fillId="15" borderId="54" xfId="0" applyFont="1" applyFill="1" applyBorder="1" applyAlignment="1" applyProtection="1">
      <alignment vertical="center" wrapText="1"/>
    </xf>
    <xf numFmtId="0" fontId="12" fillId="0" borderId="17" xfId="0" applyFont="1" applyBorder="1" applyAlignment="1" applyProtection="1">
      <alignment vertical="center"/>
    </xf>
    <xf numFmtId="0" fontId="12" fillId="0" borderId="15" xfId="0" applyFont="1" applyBorder="1" applyAlignment="1" applyProtection="1">
      <alignment vertical="center"/>
    </xf>
    <xf numFmtId="0" fontId="12" fillId="0" borderId="15" xfId="0" applyFont="1" applyBorder="1" applyAlignment="1" applyProtection="1">
      <alignment horizontal="left" vertical="center"/>
    </xf>
    <xf numFmtId="0" fontId="12" fillId="0" borderId="20" xfId="0" applyFont="1" applyBorder="1" applyAlignment="1" applyProtection="1">
      <alignment vertical="center"/>
    </xf>
    <xf numFmtId="0" fontId="12" fillId="0" borderId="1" xfId="0" applyFont="1" applyBorder="1" applyAlignment="1" applyProtection="1">
      <alignment vertical="center"/>
    </xf>
    <xf numFmtId="0" fontId="12" fillId="0" borderId="1" xfId="0" applyFont="1" applyBorder="1" applyAlignment="1" applyProtection="1">
      <alignment horizontal="left" vertical="center"/>
    </xf>
    <xf numFmtId="0" fontId="12" fillId="0" borderId="16" xfId="0" applyFont="1" applyBorder="1" applyAlignment="1" applyProtection="1">
      <alignment vertical="center"/>
    </xf>
    <xf numFmtId="0" fontId="12" fillId="0" borderId="16" xfId="0" applyFont="1" applyBorder="1" applyAlignment="1" applyProtection="1">
      <alignment horizontal="left" vertical="center"/>
    </xf>
    <xf numFmtId="0" fontId="12" fillId="0" borderId="0" xfId="0" applyFont="1" applyBorder="1" applyAlignment="1" applyProtection="1">
      <alignment vertical="center"/>
    </xf>
    <xf numFmtId="2" fontId="12" fillId="0" borderId="0" xfId="0" applyNumberFormat="1" applyFont="1" applyBorder="1" applyAlignment="1" applyProtection="1">
      <alignment horizontal="center" vertical="center"/>
    </xf>
    <xf numFmtId="2" fontId="6" fillId="0" borderId="0" xfId="0" applyNumberFormat="1" applyFont="1" applyBorder="1" applyAlignment="1" applyProtection="1">
      <alignment horizontal="center" vertical="center"/>
    </xf>
    <xf numFmtId="0" fontId="9" fillId="3" borderId="0" xfId="0" applyFont="1" applyFill="1" applyAlignment="1" applyProtection="1">
      <alignment horizontal="center" vertical="center"/>
    </xf>
    <xf numFmtId="2" fontId="32" fillId="3" borderId="0" xfId="0" applyNumberFormat="1" applyFont="1" applyFill="1" applyAlignment="1" applyProtection="1">
      <alignment vertical="center"/>
    </xf>
    <xf numFmtId="0" fontId="30" fillId="15" borderId="101" xfId="0" applyFont="1" applyFill="1" applyBorder="1" applyAlignment="1" applyProtection="1">
      <alignment horizontal="center" vertical="center" wrapText="1"/>
    </xf>
    <xf numFmtId="0" fontId="30" fillId="15" borderId="30" xfId="0" applyFont="1" applyFill="1" applyBorder="1" applyAlignment="1" applyProtection="1">
      <alignment horizontal="center" vertical="center" wrapText="1"/>
    </xf>
    <xf numFmtId="0" fontId="6" fillId="3" borderId="0" xfId="0" applyFont="1" applyFill="1" applyAlignment="1" applyProtection="1">
      <alignment horizontal="right" vertical="center"/>
    </xf>
    <xf numFmtId="0" fontId="30" fillId="15" borderId="58" xfId="0" applyFont="1" applyFill="1" applyBorder="1" applyAlignment="1" applyProtection="1">
      <alignment horizontal="left" vertical="center" wrapText="1"/>
    </xf>
    <xf numFmtId="0" fontId="30" fillId="15" borderId="54" xfId="0" applyFont="1" applyFill="1" applyBorder="1" applyAlignment="1" applyProtection="1">
      <alignment horizontal="right" vertical="center" wrapText="1"/>
    </xf>
    <xf numFmtId="0" fontId="30" fillId="15" borderId="0" xfId="0" applyFont="1" applyFill="1" applyAlignment="1" applyProtection="1">
      <alignment vertical="center" wrapText="1"/>
    </xf>
    <xf numFmtId="170" fontId="12" fillId="0" borderId="15" xfId="3" applyNumberFormat="1" applyFont="1" applyBorder="1" applyAlignment="1" applyProtection="1">
      <alignment horizontal="center" vertical="center" wrapText="1"/>
    </xf>
    <xf numFmtId="164" fontId="12" fillId="0" borderId="15" xfId="0" applyNumberFormat="1" applyFont="1" applyBorder="1" applyAlignment="1" applyProtection="1">
      <alignment horizontal="center" vertical="center" wrapText="1"/>
    </xf>
    <xf numFmtId="171" fontId="12" fillId="0" borderId="15" xfId="3" applyNumberFormat="1" applyFont="1" applyBorder="1" applyAlignment="1" applyProtection="1">
      <alignment horizontal="center" vertical="center" wrapText="1"/>
    </xf>
    <xf numFmtId="0" fontId="14" fillId="5" borderId="41" xfId="0" applyFont="1" applyFill="1" applyBorder="1" applyAlignment="1" applyProtection="1">
      <alignment vertical="center" wrapText="1"/>
    </xf>
    <xf numFmtId="0" fontId="12" fillId="3" borderId="0" xfId="0" applyFont="1" applyFill="1" applyProtection="1"/>
    <xf numFmtId="0" fontId="9" fillId="5" borderId="19" xfId="0" applyFont="1" applyFill="1" applyBorder="1" applyAlignment="1" applyProtection="1">
      <alignment vertical="center" wrapText="1"/>
    </xf>
    <xf numFmtId="0" fontId="12" fillId="2" borderId="23" xfId="0" applyFont="1" applyFill="1" applyBorder="1" applyAlignment="1" applyProtection="1">
      <alignment vertical="center" wrapText="1"/>
    </xf>
    <xf numFmtId="0" fontId="9" fillId="5" borderId="39" xfId="0" applyFont="1" applyFill="1" applyBorder="1" applyAlignment="1" applyProtection="1">
      <alignment horizontal="center" vertical="center"/>
    </xf>
    <xf numFmtId="0" fontId="13" fillId="0" borderId="3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2" xfId="0" applyFont="1" applyBorder="1" applyAlignment="1" applyProtection="1">
      <alignment horizontal="center" vertical="center"/>
    </xf>
    <xf numFmtId="0" fontId="6" fillId="0" borderId="37" xfId="0" applyFont="1" applyBorder="1" applyAlignment="1" applyProtection="1">
      <alignment horizontal="center" vertical="center" wrapText="1"/>
    </xf>
    <xf numFmtId="0" fontId="6" fillId="0" borderId="34" xfId="0" applyFont="1" applyBorder="1" applyAlignment="1" applyProtection="1">
      <alignment horizontal="center" vertical="center"/>
    </xf>
    <xf numFmtId="2" fontId="6" fillId="0" borderId="26" xfId="0" applyNumberFormat="1" applyFont="1" applyBorder="1" applyAlignment="1" applyProtection="1">
      <alignment horizontal="center" vertical="center"/>
    </xf>
    <xf numFmtId="0" fontId="34" fillId="3" borderId="0" xfId="0" applyFont="1" applyFill="1" applyAlignment="1" applyProtection="1">
      <alignment vertical="center"/>
    </xf>
    <xf numFmtId="0" fontId="7" fillId="3" borderId="0" xfId="0" applyFont="1" applyFill="1" applyAlignment="1" applyProtection="1">
      <alignment vertical="center"/>
    </xf>
    <xf numFmtId="0" fontId="29" fillId="15" borderId="124" xfId="0" applyFont="1" applyFill="1" applyBorder="1" applyAlignment="1" applyProtection="1">
      <alignment horizontal="center" vertical="center"/>
    </xf>
    <xf numFmtId="0" fontId="29" fillId="15" borderId="113" xfId="0" applyFont="1" applyFill="1" applyBorder="1" applyAlignment="1" applyProtection="1">
      <alignment horizontal="center" vertical="center"/>
    </xf>
    <xf numFmtId="0" fontId="29" fillId="15" borderId="113" xfId="0" applyFont="1" applyFill="1" applyBorder="1" applyAlignment="1" applyProtection="1">
      <alignment horizontal="left" vertical="center"/>
    </xf>
    <xf numFmtId="0" fontId="29" fillId="15" borderId="114" xfId="0" applyFont="1" applyFill="1" applyBorder="1" applyAlignment="1" applyProtection="1">
      <alignment horizontal="left" vertical="center"/>
    </xf>
    <xf numFmtId="0" fontId="36" fillId="3" borderId="0" xfId="0" applyFont="1" applyFill="1" applyAlignment="1" applyProtection="1">
      <alignment horizontal="center" vertical="center" wrapText="1"/>
    </xf>
    <xf numFmtId="1" fontId="34" fillId="3" borderId="0" xfId="2" applyNumberFormat="1" applyFont="1" applyFill="1" applyBorder="1" applyAlignment="1" applyProtection="1">
      <alignment horizontal="center" vertical="center" wrapText="1"/>
    </xf>
    <xf numFmtId="0" fontId="29" fillId="15" borderId="112" xfId="0" applyFont="1" applyFill="1" applyBorder="1" applyAlignment="1" applyProtection="1">
      <alignment horizontal="center" vertical="center"/>
    </xf>
    <xf numFmtId="0" fontId="29" fillId="15" borderId="114" xfId="0" applyFont="1" applyFill="1" applyBorder="1" applyAlignment="1" applyProtection="1">
      <alignment horizontal="center" vertical="center"/>
    </xf>
    <xf numFmtId="0" fontId="29" fillId="15" borderId="60" xfId="0" applyFont="1" applyFill="1" applyBorder="1" applyAlignment="1" applyProtection="1">
      <alignment horizontal="center" vertical="center"/>
    </xf>
    <xf numFmtId="0" fontId="29" fillId="15" borderId="61" xfId="0" applyFont="1" applyFill="1" applyBorder="1" applyAlignment="1" applyProtection="1">
      <alignment horizontal="center" vertical="center"/>
    </xf>
    <xf numFmtId="0" fontId="7" fillId="0" borderId="0" xfId="0" applyFont="1" applyAlignment="1" applyProtection="1">
      <alignment vertical="center"/>
    </xf>
    <xf numFmtId="0" fontId="7" fillId="0" borderId="120" xfId="0" applyFont="1" applyBorder="1" applyAlignment="1" applyProtection="1">
      <alignment horizontal="center" vertical="center" wrapText="1"/>
    </xf>
    <xf numFmtId="0" fontId="7" fillId="0" borderId="24" xfId="0" applyFont="1" applyBorder="1" applyAlignment="1" applyProtection="1">
      <alignment vertical="center"/>
    </xf>
    <xf numFmtId="166" fontId="7" fillId="0" borderId="1" xfId="0" applyNumberFormat="1" applyFont="1" applyBorder="1" applyAlignment="1" applyProtection="1">
      <alignment horizontal="center" vertical="center"/>
    </xf>
    <xf numFmtId="2" fontId="7" fillId="0" borderId="118" xfId="0" applyNumberFormat="1" applyFont="1" applyBorder="1" applyAlignment="1" applyProtection="1">
      <alignment horizontal="center" vertical="center"/>
    </xf>
    <xf numFmtId="166" fontId="36" fillId="3" borderId="0" xfId="0" applyNumberFormat="1" applyFont="1" applyFill="1" applyAlignment="1" applyProtection="1">
      <alignment horizontal="center" vertical="center" wrapText="1"/>
    </xf>
    <xf numFmtId="166" fontId="34" fillId="3" borderId="0" xfId="2" applyNumberFormat="1" applyFont="1" applyFill="1" applyBorder="1" applyAlignment="1" applyProtection="1">
      <alignment horizontal="center" vertical="center" wrapText="1"/>
    </xf>
    <xf numFmtId="0" fontId="7" fillId="0" borderId="115" xfId="0" applyFont="1" applyBorder="1" applyAlignment="1" applyProtection="1">
      <alignment horizontal="center" vertical="center" wrapText="1"/>
    </xf>
    <xf numFmtId="0" fontId="7" fillId="0" borderId="66" xfId="0" applyFont="1" applyBorder="1" applyAlignment="1" applyProtection="1">
      <alignment vertical="center"/>
    </xf>
    <xf numFmtId="2" fontId="7" fillId="0" borderId="66" xfId="0" applyNumberFormat="1" applyFont="1" applyBorder="1" applyAlignment="1" applyProtection="1">
      <alignment horizontal="center" vertical="center"/>
    </xf>
    <xf numFmtId="2" fontId="7" fillId="0" borderId="116" xfId="0" applyNumberFormat="1" applyFont="1" applyBorder="1" applyAlignment="1" applyProtection="1">
      <alignment horizontal="center" vertical="center"/>
    </xf>
    <xf numFmtId="0" fontId="7" fillId="0" borderId="24" xfId="0" applyFont="1" applyBorder="1" applyAlignment="1" applyProtection="1">
      <alignment vertical="center"/>
    </xf>
    <xf numFmtId="0" fontId="7" fillId="0" borderId="1" xfId="0" applyFont="1" applyBorder="1" applyAlignment="1" applyProtection="1">
      <alignment vertical="center"/>
    </xf>
    <xf numFmtId="166" fontId="7" fillId="0" borderId="24" xfId="0" applyNumberFormat="1" applyFont="1" applyBorder="1" applyAlignment="1" applyProtection="1">
      <alignment horizontal="center" vertical="center"/>
    </xf>
    <xf numFmtId="2" fontId="7" fillId="0" borderId="24" xfId="0" applyNumberFormat="1" applyFont="1" applyBorder="1" applyAlignment="1" applyProtection="1">
      <alignment horizontal="center" vertical="center"/>
    </xf>
    <xf numFmtId="0" fontId="7" fillId="0" borderId="117" xfId="0" applyFont="1" applyBorder="1" applyAlignment="1" applyProtection="1">
      <alignment horizontal="center" vertical="center" wrapText="1"/>
    </xf>
    <xf numFmtId="166" fontId="7" fillId="0" borderId="118" xfId="0" applyNumberFormat="1" applyFont="1" applyBorder="1" applyAlignment="1" applyProtection="1">
      <alignment horizontal="center" vertical="center"/>
    </xf>
    <xf numFmtId="3" fontId="34" fillId="3" borderId="0" xfId="0" applyNumberFormat="1" applyFont="1" applyFill="1" applyAlignment="1" applyProtection="1">
      <alignment horizontal="center" vertical="center" wrapText="1"/>
    </xf>
    <xf numFmtId="0" fontId="7" fillId="0" borderId="1" xfId="0" applyFont="1" applyBorder="1" applyAlignment="1" applyProtection="1">
      <alignment vertical="center"/>
    </xf>
    <xf numFmtId="2" fontId="7" fillId="0" borderId="1" xfId="0" applyNumberFormat="1" applyFont="1" applyBorder="1" applyAlignment="1" applyProtection="1">
      <alignment horizontal="center" vertical="center"/>
    </xf>
    <xf numFmtId="11" fontId="7" fillId="0" borderId="118" xfId="0" applyNumberFormat="1" applyFont="1" applyBorder="1" applyAlignment="1" applyProtection="1">
      <alignment horizontal="center" vertical="center"/>
    </xf>
    <xf numFmtId="0" fontId="7" fillId="0" borderId="119" xfId="0" applyFont="1" applyBorder="1" applyAlignment="1" applyProtection="1">
      <alignment horizontal="center" vertical="center" wrapText="1"/>
    </xf>
    <xf numFmtId="0" fontId="0" fillId="0" borderId="0" xfId="0" applyProtection="1"/>
    <xf numFmtId="0" fontId="7" fillId="0" borderId="121" xfId="0" applyFont="1" applyBorder="1" applyAlignment="1" applyProtection="1">
      <alignment horizontal="center" vertical="center" wrapText="1"/>
    </xf>
    <xf numFmtId="0" fontId="7" fillId="0" borderId="122" xfId="0" applyFont="1" applyBorder="1" applyAlignment="1" applyProtection="1">
      <alignment vertical="center"/>
    </xf>
    <xf numFmtId="166" fontId="7" fillId="0" borderId="122" xfId="0" applyNumberFormat="1" applyFont="1" applyBorder="1" applyAlignment="1" applyProtection="1">
      <alignment horizontal="center" vertical="center"/>
    </xf>
    <xf numFmtId="166" fontId="7" fillId="0" borderId="123" xfId="0" applyNumberFormat="1" applyFont="1" applyBorder="1" applyAlignment="1" applyProtection="1">
      <alignment horizontal="center" vertical="center"/>
    </xf>
    <xf numFmtId="0" fontId="36" fillId="3" borderId="0" xfId="0" applyFont="1" applyFill="1" applyAlignment="1" applyProtection="1">
      <alignment vertical="center" wrapText="1"/>
    </xf>
    <xf numFmtId="0" fontId="7" fillId="3" borderId="0" xfId="0" applyFont="1" applyFill="1" applyAlignment="1" applyProtection="1">
      <alignment horizontal="center" vertical="center"/>
    </xf>
    <xf numFmtId="0" fontId="6" fillId="3" borderId="0" xfId="0" applyFont="1" applyFill="1" applyAlignment="1" applyProtection="1">
      <alignment horizontal="center"/>
    </xf>
    <xf numFmtId="0" fontId="6" fillId="3" borderId="2" xfId="0" applyFont="1" applyFill="1" applyBorder="1" applyProtection="1"/>
    <xf numFmtId="0" fontId="6" fillId="3" borderId="3" xfId="0" applyFont="1" applyFill="1" applyBorder="1" applyProtection="1"/>
    <xf numFmtId="0" fontId="8" fillId="3" borderId="3"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2" xfId="0" applyFont="1" applyFill="1" applyBorder="1" applyAlignment="1" applyProtection="1">
      <alignment horizontal="center"/>
    </xf>
    <xf numFmtId="0" fontId="9" fillId="3" borderId="13" xfId="0" applyFont="1" applyFill="1" applyBorder="1" applyAlignment="1" applyProtection="1">
      <alignment horizontal="center"/>
    </xf>
    <xf numFmtId="0" fontId="9" fillId="3" borderId="13" xfId="0" applyFont="1" applyFill="1" applyBorder="1" applyAlignment="1" applyProtection="1">
      <alignment horizontal="center" wrapText="1"/>
    </xf>
    <xf numFmtId="0" fontId="8" fillId="3" borderId="12" xfId="0" applyFont="1" applyFill="1" applyBorder="1" applyAlignment="1" applyProtection="1">
      <alignment horizontal="center" wrapText="1"/>
    </xf>
    <xf numFmtId="0" fontId="8" fillId="3" borderId="13" xfId="0" applyFont="1" applyFill="1" applyBorder="1" applyAlignment="1" applyProtection="1">
      <alignment horizontal="center" wrapText="1"/>
    </xf>
    <xf numFmtId="0" fontId="8" fillId="3" borderId="14" xfId="0" applyFont="1" applyFill="1" applyBorder="1" applyAlignment="1" applyProtection="1">
      <alignment horizontal="center" wrapText="1"/>
    </xf>
    <xf numFmtId="0" fontId="12" fillId="3" borderId="11" xfId="0" applyFont="1" applyFill="1" applyBorder="1" applyAlignment="1" applyProtection="1">
      <alignment horizontal="left"/>
    </xf>
    <xf numFmtId="0" fontId="6" fillId="3" borderId="0" xfId="0" applyFont="1" applyFill="1" applyAlignment="1" applyProtection="1">
      <alignment horizontal="left" vertical="center" wrapText="1"/>
    </xf>
    <xf numFmtId="0" fontId="6" fillId="3" borderId="11" xfId="0" applyFont="1" applyFill="1" applyBorder="1" applyAlignment="1" applyProtection="1">
      <alignment vertical="center" wrapText="1"/>
    </xf>
    <xf numFmtId="0" fontId="12" fillId="3" borderId="11" xfId="0" applyFont="1" applyFill="1" applyBorder="1" applyAlignment="1" applyProtection="1">
      <alignment horizontal="center" vertical="center"/>
    </xf>
    <xf numFmtId="2" fontId="12" fillId="3" borderId="11" xfId="0" applyNumberFormat="1" applyFont="1" applyFill="1" applyBorder="1" applyAlignment="1" applyProtection="1">
      <alignment horizontal="center" vertical="center"/>
    </xf>
    <xf numFmtId="164" fontId="12" fillId="3" borderId="11" xfId="0" applyNumberFormat="1" applyFont="1" applyFill="1" applyBorder="1" applyAlignment="1" applyProtection="1">
      <alignment horizontal="center" vertical="center"/>
    </xf>
    <xf numFmtId="0" fontId="12" fillId="3" borderId="11" xfId="0" quotePrefix="1" applyFont="1" applyFill="1" applyBorder="1" applyAlignment="1" applyProtection="1">
      <alignment horizontal="center" vertical="center"/>
    </xf>
    <xf numFmtId="1" fontId="12" fillId="3" borderId="11" xfId="0" quotePrefix="1" applyNumberFormat="1" applyFont="1" applyFill="1" applyBorder="1" applyAlignment="1" applyProtection="1">
      <alignment horizontal="center" vertical="center"/>
    </xf>
    <xf numFmtId="0" fontId="6" fillId="3" borderId="5" xfId="0" applyFont="1" applyFill="1" applyBorder="1" applyProtection="1"/>
    <xf numFmtId="166" fontId="6" fillId="3" borderId="7" xfId="0" applyNumberFormat="1" applyFont="1" applyFill="1" applyBorder="1" applyProtection="1"/>
    <xf numFmtId="0" fontId="12" fillId="3" borderId="0" xfId="0" applyFont="1" applyFill="1" applyAlignment="1" applyProtection="1">
      <alignment horizontal="left" vertical="center"/>
    </xf>
    <xf numFmtId="0" fontId="12" fillId="3" borderId="0" xfId="0" quotePrefix="1" applyFont="1" applyFill="1" applyAlignment="1" applyProtection="1">
      <alignment horizontal="center" vertical="center"/>
    </xf>
    <xf numFmtId="164" fontId="12" fillId="3" borderId="0" xfId="0" quotePrefix="1" applyNumberFormat="1" applyFont="1" applyFill="1" applyAlignment="1" applyProtection="1">
      <alignment horizontal="center" vertical="center"/>
    </xf>
    <xf numFmtId="0" fontId="6" fillId="3" borderId="0" xfId="0" applyFont="1" applyFill="1" applyAlignment="1" applyProtection="1">
      <alignment wrapText="1"/>
    </xf>
    <xf numFmtId="0" fontId="6" fillId="3" borderId="8" xfId="0" applyFont="1" applyFill="1" applyBorder="1" applyProtection="1"/>
    <xf numFmtId="0" fontId="6" fillId="3" borderId="8" xfId="0" applyFont="1" applyFill="1" applyBorder="1" applyAlignment="1" applyProtection="1">
      <alignment horizontal="center"/>
    </xf>
    <xf numFmtId="0" fontId="6" fillId="3" borderId="7" xfId="0" applyFont="1" applyFill="1" applyBorder="1" applyProtection="1"/>
    <xf numFmtId="0" fontId="6" fillId="3" borderId="3" xfId="0" applyFont="1" applyFill="1" applyBorder="1" applyAlignment="1" applyProtection="1">
      <alignment horizontal="center"/>
    </xf>
    <xf numFmtId="0" fontId="8" fillId="3" borderId="3" xfId="0" applyFont="1" applyFill="1" applyBorder="1" applyProtection="1"/>
    <xf numFmtId="0" fontId="8" fillId="3" borderId="3" xfId="0" applyFont="1" applyFill="1" applyBorder="1" applyAlignment="1" applyProtection="1">
      <alignment horizontal="center" wrapText="1"/>
    </xf>
    <xf numFmtId="0" fontId="8" fillId="3" borderId="4" xfId="0" applyFont="1" applyFill="1" applyBorder="1" applyAlignment="1" applyProtection="1">
      <alignment horizontal="center" wrapText="1"/>
    </xf>
    <xf numFmtId="0" fontId="6" fillId="3" borderId="7" xfId="0" applyFont="1" applyFill="1" applyBorder="1" applyAlignment="1" applyProtection="1">
      <alignment wrapText="1"/>
    </xf>
    <xf numFmtId="0" fontId="6" fillId="3" borderId="11" xfId="0" applyFont="1" applyFill="1" applyBorder="1" applyAlignment="1" applyProtection="1">
      <alignment horizontal="center" vertical="center" wrapText="1"/>
    </xf>
    <xf numFmtId="0" fontId="8" fillId="3" borderId="0" xfId="0" applyFont="1" applyFill="1" applyAlignment="1" applyProtection="1">
      <alignment horizontal="center" wrapText="1"/>
    </xf>
    <xf numFmtId="0" fontId="6" fillId="3" borderId="6" xfId="0" applyFont="1" applyFill="1" applyBorder="1" applyProtection="1"/>
    <xf numFmtId="0" fontId="6" fillId="3" borderId="9" xfId="0" applyFont="1" applyFill="1" applyBorder="1" applyProtection="1"/>
    <xf numFmtId="0" fontId="6" fillId="3" borderId="11" xfId="0" quotePrefix="1" applyFont="1" applyFill="1" applyBorder="1" applyAlignment="1" applyProtection="1">
      <alignment horizontal="center" vertical="center"/>
    </xf>
    <xf numFmtId="0" fontId="6" fillId="3" borderId="11" xfId="0" applyFont="1" applyFill="1" applyBorder="1" applyAlignment="1" applyProtection="1">
      <alignment horizontal="left" vertical="center" wrapText="1"/>
    </xf>
    <xf numFmtId="0" fontId="6" fillId="3" borderId="0" xfId="0" applyFont="1" applyFill="1" applyAlignment="1" applyProtection="1">
      <alignment horizontal="left"/>
    </xf>
    <xf numFmtId="0" fontId="6" fillId="3" borderId="11" xfId="0" applyFont="1" applyFill="1" applyBorder="1" applyProtection="1"/>
    <xf numFmtId="0" fontId="6" fillId="3" borderId="11" xfId="0" applyFont="1" applyFill="1" applyBorder="1" applyAlignment="1" applyProtection="1">
      <alignment horizontal="center" wrapText="1"/>
    </xf>
    <xf numFmtId="0" fontId="6" fillId="3" borderId="11" xfId="0" applyFont="1" applyFill="1" applyBorder="1" applyAlignment="1" applyProtection="1">
      <alignment horizontal="center"/>
    </xf>
    <xf numFmtId="0" fontId="6" fillId="3" borderId="11" xfId="0" applyFont="1" applyFill="1" applyBorder="1" applyAlignment="1" applyProtection="1">
      <alignment horizontal="center" vertical="center"/>
    </xf>
    <xf numFmtId="0" fontId="6" fillId="0" borderId="11" xfId="0" quotePrefix="1" applyFont="1" applyBorder="1" applyAlignment="1" applyProtection="1">
      <alignment horizontal="center" vertical="center"/>
    </xf>
    <xf numFmtId="165" fontId="6" fillId="3" borderId="1" xfId="0" applyNumberFormat="1" applyFont="1" applyFill="1" applyBorder="1" applyProtection="1"/>
    <xf numFmtId="0" fontId="6" fillId="3" borderId="1" xfId="0" applyFont="1" applyFill="1" applyBorder="1" applyProtection="1"/>
    <xf numFmtId="0" fontId="6" fillId="3" borderId="0" xfId="0" applyFont="1" applyFill="1" applyAlignment="1" applyProtection="1">
      <alignment horizontal="center"/>
    </xf>
    <xf numFmtId="167" fontId="12" fillId="3" borderId="0" xfId="0" applyNumberFormat="1" applyFont="1" applyFill="1" applyAlignment="1" applyProtection="1">
      <alignment horizontal="center" vertical="center"/>
    </xf>
    <xf numFmtId="165" fontId="12" fillId="3" borderId="0" xfId="0" applyNumberFormat="1" applyFont="1" applyFill="1" applyAlignment="1" applyProtection="1">
      <alignment horizontal="center" vertical="center" wrapText="1"/>
    </xf>
    <xf numFmtId="0" fontId="6" fillId="11" borderId="0" xfId="0" applyFont="1" applyFill="1" applyProtection="1"/>
    <xf numFmtId="0" fontId="9" fillId="10" borderId="47" xfId="1" applyFont="1" applyFill="1" applyBorder="1" applyAlignment="1" applyProtection="1">
      <alignment horizontal="center" vertical="center" wrapText="1"/>
    </xf>
    <xf numFmtId="0" fontId="9" fillId="10" borderId="60" xfId="1" applyFont="1" applyFill="1" applyBorder="1" applyAlignment="1" applyProtection="1">
      <alignment horizontal="center" vertical="center" wrapText="1"/>
    </xf>
    <xf numFmtId="0" fontId="6" fillId="11" borderId="64" xfId="0" applyFont="1" applyFill="1" applyBorder="1" applyAlignment="1" applyProtection="1">
      <alignment horizontal="center" vertical="center"/>
    </xf>
    <xf numFmtId="0" fontId="33" fillId="0" borderId="103" xfId="0" applyFont="1" applyBorder="1" applyAlignment="1" applyProtection="1">
      <alignment vertical="center" wrapText="1"/>
    </xf>
    <xf numFmtId="0" fontId="6" fillId="0" borderId="46" xfId="0" applyFont="1" applyBorder="1" applyProtection="1"/>
    <xf numFmtId="9" fontId="6" fillId="0" borderId="46" xfId="0" applyNumberFormat="1" applyFont="1" applyBorder="1" applyProtection="1"/>
    <xf numFmtId="0" fontId="6" fillId="0" borderId="1" xfId="0" applyFont="1" applyBorder="1" applyAlignment="1" applyProtection="1">
      <alignment vertical="center"/>
    </xf>
    <xf numFmtId="0" fontId="6" fillId="0" borderId="71"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45" xfId="0" applyFont="1" applyBorder="1" applyProtection="1"/>
    <xf numFmtId="9" fontId="6" fillId="0" borderId="45" xfId="0" applyNumberFormat="1" applyFont="1" applyBorder="1" applyProtection="1"/>
    <xf numFmtId="0" fontId="6" fillId="11" borderId="0" xfId="0" applyFont="1" applyFill="1" applyAlignment="1" applyProtection="1">
      <alignment vertical="center" wrapText="1"/>
    </xf>
    <xf numFmtId="0" fontId="9" fillId="10" borderId="61" xfId="1" applyFont="1" applyFill="1" applyBorder="1" applyAlignment="1" applyProtection="1">
      <alignment horizontal="center" vertical="center" wrapText="1"/>
    </xf>
    <xf numFmtId="0" fontId="12" fillId="11" borderId="0" xfId="1" applyFont="1" applyFill="1" applyProtection="1"/>
    <xf numFmtId="0" fontId="6" fillId="11" borderId="0" xfId="0" applyFont="1" applyFill="1" applyAlignment="1" applyProtection="1">
      <alignment wrapText="1"/>
    </xf>
    <xf numFmtId="0" fontId="6" fillId="0" borderId="62" xfId="0" applyFont="1" applyBorder="1" applyProtection="1"/>
    <xf numFmtId="0" fontId="12" fillId="0" borderId="35" xfId="1" applyFont="1" applyBorder="1" applyAlignment="1" applyProtection="1">
      <alignment vertical="center" wrapText="1"/>
    </xf>
    <xf numFmtId="0" fontId="12" fillId="0" borderId="24" xfId="1" applyFont="1" applyBorder="1" applyAlignment="1" applyProtection="1">
      <alignment horizontal="center" vertical="center" wrapText="1"/>
    </xf>
    <xf numFmtId="0" fontId="12" fillId="0" borderId="28" xfId="1" applyFont="1" applyBorder="1" applyAlignment="1" applyProtection="1">
      <alignment vertical="center" wrapText="1"/>
    </xf>
    <xf numFmtId="0" fontId="6" fillId="0" borderId="99" xfId="0" applyFont="1" applyBorder="1" applyProtection="1"/>
    <xf numFmtId="0" fontId="6" fillId="0" borderId="63" xfId="0" applyFont="1" applyBorder="1" applyProtection="1"/>
    <xf numFmtId="0" fontId="12" fillId="0" borderId="65" xfId="1" applyFont="1" applyBorder="1" applyAlignment="1" applyProtection="1">
      <alignment vertical="center" wrapText="1"/>
    </xf>
    <xf numFmtId="0" fontId="12" fillId="0" borderId="66" xfId="1" applyFont="1" applyBorder="1" applyAlignment="1" applyProtection="1">
      <alignment horizontal="center" vertical="center" wrapText="1"/>
    </xf>
    <xf numFmtId="0" fontId="12" fillId="0" borderId="20" xfId="1" applyFont="1" applyBorder="1" applyAlignment="1" applyProtection="1">
      <alignment vertical="center" wrapText="1"/>
    </xf>
    <xf numFmtId="0" fontId="12" fillId="0" borderId="1" xfId="1" applyFont="1" applyBorder="1" applyAlignment="1" applyProtection="1">
      <alignment horizontal="center" vertical="center" wrapText="1"/>
    </xf>
    <xf numFmtId="0" fontId="12" fillId="0" borderId="67" xfId="1" applyFont="1" applyBorder="1" applyAlignment="1" applyProtection="1">
      <alignment vertical="center" wrapText="1"/>
    </xf>
    <xf numFmtId="9" fontId="6" fillId="0" borderId="46" xfId="0" applyNumberFormat="1" applyFont="1" applyBorder="1" applyAlignment="1" applyProtection="1">
      <alignment horizontal="center"/>
    </xf>
    <xf numFmtId="0" fontId="12" fillId="0" borderId="21" xfId="1" applyFont="1" applyBorder="1" applyAlignment="1" applyProtection="1">
      <alignment vertical="center" wrapText="1"/>
    </xf>
    <xf numFmtId="9" fontId="6" fillId="0" borderId="45" xfId="0" applyNumberFormat="1" applyFont="1" applyBorder="1" applyAlignment="1" applyProtection="1">
      <alignment horizontal="center"/>
    </xf>
    <xf numFmtId="3" fontId="12" fillId="0" borderId="1" xfId="1" applyNumberFormat="1" applyFont="1" applyBorder="1" applyAlignment="1" applyProtection="1">
      <alignment horizontal="center" vertical="center" wrapText="1"/>
    </xf>
    <xf numFmtId="0" fontId="39" fillId="0" borderId="45" xfId="0" applyFont="1" applyBorder="1" applyProtection="1"/>
    <xf numFmtId="0" fontId="6" fillId="0" borderId="81" xfId="0" applyFont="1" applyBorder="1" applyProtection="1"/>
    <xf numFmtId="0" fontId="16" fillId="3" borderId="82" xfId="0" applyFont="1" applyFill="1" applyBorder="1" applyAlignment="1" applyProtection="1">
      <alignment horizontal="left" vertical="center" wrapText="1"/>
    </xf>
    <xf numFmtId="0" fontId="6" fillId="0" borderId="31" xfId="0" applyFont="1" applyBorder="1" applyAlignment="1" applyProtection="1">
      <alignment vertical="center"/>
    </xf>
    <xf numFmtId="0" fontId="6" fillId="0" borderId="37" xfId="0" applyFont="1" applyBorder="1" applyAlignment="1" applyProtection="1">
      <alignment vertical="center"/>
    </xf>
    <xf numFmtId="0" fontId="6" fillId="0" borderId="23" xfId="0" applyFont="1" applyBorder="1" applyAlignment="1" applyProtection="1">
      <alignment horizontal="center" vertical="center"/>
    </xf>
    <xf numFmtId="0" fontId="6" fillId="0" borderId="39" xfId="0" applyFont="1" applyBorder="1" applyAlignment="1" applyProtection="1">
      <alignment horizontal="center" vertical="center"/>
    </xf>
    <xf numFmtId="0" fontId="8" fillId="6" borderId="47" xfId="0" applyFont="1" applyFill="1" applyBorder="1" applyAlignment="1" applyProtection="1">
      <alignment horizontal="center" vertical="center" wrapText="1"/>
    </xf>
    <xf numFmtId="0" fontId="8" fillId="6" borderId="27" xfId="0" applyFont="1" applyFill="1" applyBorder="1" applyAlignment="1" applyProtection="1">
      <alignment horizontal="center" vertical="center" wrapText="1"/>
    </xf>
    <xf numFmtId="0" fontId="8" fillId="6" borderId="92" xfId="0" applyFont="1" applyFill="1" applyBorder="1" applyAlignment="1" applyProtection="1">
      <alignment horizontal="center" vertical="center" wrapText="1"/>
    </xf>
    <xf numFmtId="0" fontId="8" fillId="6" borderId="51" xfId="0" applyFont="1" applyFill="1" applyBorder="1" applyAlignment="1" applyProtection="1">
      <alignment horizontal="left" wrapText="1"/>
    </xf>
    <xf numFmtId="0" fontId="6" fillId="3" borderId="17" xfId="0" applyFont="1" applyFill="1" applyBorder="1" applyAlignment="1" applyProtection="1">
      <alignment horizontal="center"/>
    </xf>
    <xf numFmtId="164" fontId="6" fillId="3" borderId="15" xfId="0" applyNumberFormat="1" applyFont="1" applyFill="1" applyBorder="1" applyAlignment="1" applyProtection="1">
      <alignment horizontal="center"/>
    </xf>
    <xf numFmtId="0" fontId="6" fillId="3" borderId="18" xfId="0" applyFont="1" applyFill="1" applyBorder="1" applyProtection="1"/>
    <xf numFmtId="0" fontId="6" fillId="0" borderId="93" xfId="0" applyFont="1" applyBorder="1" applyAlignment="1" applyProtection="1">
      <alignment wrapText="1"/>
    </xf>
    <xf numFmtId="0" fontId="6" fillId="3" borderId="20"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52" xfId="0" applyFont="1" applyFill="1" applyBorder="1" applyProtection="1"/>
    <xf numFmtId="0" fontId="6" fillId="3" borderId="96" xfId="0" applyFont="1" applyFill="1" applyBorder="1" applyAlignment="1" applyProtection="1">
      <alignment horizontal="left" wrapText="1"/>
    </xf>
    <xf numFmtId="3" fontId="6" fillId="0" borderId="20" xfId="0" applyNumberFormat="1" applyFont="1" applyBorder="1" applyAlignment="1" applyProtection="1">
      <alignment horizontal="center" vertical="center"/>
    </xf>
    <xf numFmtId="1" fontId="6" fillId="3" borderId="1" xfId="0" applyNumberFormat="1" applyFont="1" applyFill="1" applyBorder="1" applyAlignment="1" applyProtection="1">
      <alignment horizontal="center"/>
    </xf>
    <xf numFmtId="0" fontId="6" fillId="3" borderId="97" xfId="0" applyFont="1" applyFill="1" applyBorder="1" applyAlignment="1" applyProtection="1">
      <alignment horizontal="left" wrapText="1"/>
    </xf>
    <xf numFmtId="0" fontId="6" fillId="3" borderId="94" xfId="0" applyFont="1" applyFill="1" applyBorder="1" applyAlignment="1" applyProtection="1">
      <alignment wrapText="1"/>
    </xf>
    <xf numFmtId="0" fontId="6" fillId="3" borderId="51" xfId="0" applyFont="1" applyFill="1" applyBorder="1" applyAlignment="1" applyProtection="1">
      <alignment horizontal="center"/>
    </xf>
    <xf numFmtId="0" fontId="6" fillId="3" borderId="70" xfId="0" applyFont="1" applyFill="1" applyBorder="1" applyAlignment="1" applyProtection="1">
      <alignment horizontal="center"/>
    </xf>
    <xf numFmtId="0" fontId="8" fillId="6" borderId="59" xfId="0" applyFont="1" applyFill="1" applyBorder="1" applyAlignment="1" applyProtection="1">
      <alignment horizontal="left" wrapText="1"/>
    </xf>
    <xf numFmtId="0" fontId="6" fillId="3" borderId="59" xfId="0" applyFont="1" applyFill="1" applyBorder="1" applyProtection="1"/>
    <xf numFmtId="0" fontId="6" fillId="3" borderId="83" xfId="0" applyFont="1" applyFill="1" applyBorder="1" applyProtection="1"/>
    <xf numFmtId="0" fontId="6" fillId="3" borderId="29" xfId="0" applyFont="1" applyFill="1" applyBorder="1" applyProtection="1"/>
    <xf numFmtId="0" fontId="6" fillId="3" borderId="95" xfId="0" applyFont="1" applyFill="1" applyBorder="1" applyAlignment="1" applyProtection="1">
      <alignment wrapText="1"/>
    </xf>
    <xf numFmtId="0" fontId="6" fillId="3" borderId="0" xfId="0" applyFont="1" applyFill="1" applyAlignment="1" applyProtection="1">
      <alignment vertical="top" wrapText="1"/>
    </xf>
    <xf numFmtId="0" fontId="8" fillId="3" borderId="0" xfId="0" applyFont="1" applyFill="1" applyProtection="1"/>
    <xf numFmtId="0" fontId="24" fillId="3" borderId="0" xfId="0" applyFont="1" applyFill="1" applyProtection="1"/>
    <xf numFmtId="0" fontId="6" fillId="3" borderId="0" xfId="0" applyFont="1" applyFill="1" applyAlignment="1" applyProtection="1">
      <alignment horizontal="left" wrapText="1"/>
    </xf>
    <xf numFmtId="0" fontId="6" fillId="3" borderId="0" xfId="0" applyFont="1" applyFill="1" applyAlignment="1" applyProtection="1">
      <alignment wrapText="1"/>
    </xf>
  </cellXfs>
  <cellStyles count="4">
    <cellStyle name="Comma" xfId="3" builtinId="3"/>
    <cellStyle name="Normal" xfId="0" builtinId="0"/>
    <cellStyle name="Normal 2" xfId="1" xr:uid="{BC27F4E2-20B8-47A4-9D90-F2F490171813}"/>
    <cellStyle name="Percent" xfId="2" builtinId="5"/>
  </cellStyles>
  <dxfs count="536">
    <dxf>
      <font>
        <strike val="0"/>
        <outline val="0"/>
        <shadow val="0"/>
        <u val="none"/>
        <vertAlign val="baseline"/>
        <sz val="10"/>
        <color auto="1"/>
        <name val="Times New Roman"/>
        <family val="1"/>
        <scheme val="none"/>
      </font>
      <protection locked="1" hidden="0"/>
    </dxf>
    <dxf>
      <font>
        <b/>
        <i val="0"/>
        <strike val="0"/>
        <condense val="0"/>
        <extend val="0"/>
        <outline val="0"/>
        <shadow val="0"/>
        <u val="none"/>
        <vertAlign val="baseline"/>
        <sz val="10"/>
        <color auto="1"/>
        <name val="Times New Roman"/>
        <family val="1"/>
        <scheme val="none"/>
      </font>
      <fill>
        <patternFill patternType="solid">
          <fgColor indexed="64"/>
          <bgColor theme="0"/>
        </patternFill>
      </fill>
      <alignment horizontal="center" vertical="bottom" textRotation="0" wrapText="1" indent="0" justifyLastLine="0" shrinkToFit="0" readingOrder="0"/>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protection locked="1" hidden="0"/>
    </dxf>
    <dxf>
      <font>
        <strike val="0"/>
        <outline val="0"/>
        <shadow val="0"/>
        <u val="none"/>
        <vertAlign val="baseline"/>
        <sz val="10"/>
        <color auto="1"/>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dashed">
          <color auto="1"/>
        </top>
        <bottom/>
      </border>
      <protection locked="1" hidden="0"/>
    </dxf>
    <dxf>
      <font>
        <strike val="0"/>
        <outline val="0"/>
        <shadow val="0"/>
        <u val="none"/>
        <vertAlign val="baseline"/>
        <sz val="10"/>
        <color auto="1"/>
        <name val="Times New Roman"/>
        <family val="1"/>
        <scheme val="none"/>
      </font>
      <protection locked="1" hidden="0"/>
    </dxf>
    <dxf>
      <font>
        <strike val="0"/>
        <outline val="0"/>
        <shadow val="0"/>
        <u val="none"/>
        <sz val="10"/>
        <name val="Times New Roman"/>
        <family val="1"/>
        <scheme val="none"/>
      </font>
      <protection locked="1" hidden="0"/>
    </dxf>
    <dxf>
      <font>
        <b/>
        <i val="0"/>
        <strike val="0"/>
        <condense val="0"/>
        <extend val="0"/>
        <outline val="0"/>
        <shadow val="0"/>
        <u val="none"/>
        <vertAlign val="baseline"/>
        <sz val="10"/>
        <color auto="1"/>
        <name val="Times New Roman"/>
        <family val="1"/>
        <scheme val="none"/>
      </font>
      <fill>
        <patternFill patternType="solid">
          <fgColor indexed="64"/>
          <bgColor theme="0"/>
        </patternFill>
      </fill>
      <alignment horizontal="center" vertical="bottom" textRotation="0" wrapText="1" indent="0" justifyLastLine="0" shrinkToFit="0" readingOrder="0"/>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strike val="0"/>
        <outline val="0"/>
        <shadow val="0"/>
        <u val="none"/>
        <sz val="10"/>
        <name val="Times New Roman"/>
        <family val="1"/>
        <scheme val="none"/>
      </font>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sz val="10"/>
        <name val="Times New Roman"/>
        <family val="1"/>
        <scheme val="none"/>
      </font>
      <numFmt numFmtId="166" formatCode="0.0E+00"/>
      <fill>
        <patternFill patternType="none">
          <fgColor indexed="64"/>
          <bgColor auto="1"/>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auto="1"/>
        <name val="Times New Roman"/>
        <family val="1"/>
        <scheme val="none"/>
      </font>
      <numFmt numFmtId="15" formatCode="0.00E+0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strike val="0"/>
        <outline val="0"/>
        <shadow val="0"/>
        <u val="none"/>
        <sz val="10"/>
        <color auto="1"/>
        <name val="Times New Roman"/>
        <family val="1"/>
        <scheme val="none"/>
      </font>
      <numFmt numFmtId="15" formatCode="0.00E+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66" formatCode="0.0E+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style="thin">
          <color auto="1"/>
        </bottom>
      </border>
      <protection locked="1" hidden="0"/>
    </dxf>
    <dxf>
      <font>
        <strike val="0"/>
        <outline val="0"/>
        <shadow val="0"/>
        <u val="none"/>
        <sz val="10"/>
        <name val="Times New Roman"/>
        <family val="1"/>
        <scheme val="none"/>
      </font>
      <numFmt numFmtId="166" formatCode="0.0E+00"/>
      <fill>
        <patternFill patternType="none">
          <fgColor indexed="64"/>
          <bgColor auto="1"/>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auto="1"/>
        </right>
        <top style="thin">
          <color auto="1"/>
        </top>
        <bottom style="thin">
          <color auto="1"/>
        </bottom>
      </border>
      <protection locked="1" hidden="0"/>
    </dxf>
    <dxf>
      <font>
        <b val="0"/>
        <i val="0"/>
        <strike val="0"/>
        <condense val="0"/>
        <extend val="0"/>
        <outline val="0"/>
        <shadow val="0"/>
        <u val="none"/>
        <vertAlign val="baseline"/>
        <sz val="10"/>
        <color rgb="FF000000"/>
        <name val="Times New Roman"/>
        <family val="1"/>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outline="0">
        <left style="medium">
          <color auto="1"/>
        </left>
        <right style="medium">
          <color auto="1"/>
        </right>
        <top style="thin">
          <color auto="1"/>
        </top>
        <bottom style="thin">
          <color auto="1"/>
        </bottom>
      </border>
      <protection locked="1" hidden="0"/>
    </dxf>
    <dxf>
      <font>
        <strike val="0"/>
        <outline val="0"/>
        <shadow val="0"/>
        <u val="none"/>
        <vertAlign val="baseline"/>
        <sz val="11"/>
        <name val="Times New Roman"/>
        <family val="1"/>
        <scheme val="none"/>
      </font>
      <numFmt numFmtId="166" formatCode="0.0E+00"/>
      <fill>
        <patternFill>
          <fgColor indexed="64"/>
          <bgColor theme="0"/>
        </patternFill>
      </fill>
      <alignment horizontal="center" vertical="center" textRotation="0" wrapText="1" indent="0" justifyLastLine="0" shrinkToFit="0" readingOrder="0"/>
      <border diagonalUp="0" diagonalDown="0" outline="0">
        <left style="medium">
          <color auto="1"/>
        </left>
        <right style="medium">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protection locked="1" hidden="0"/>
    </dxf>
    <dxf>
      <font>
        <b val="0"/>
        <i val="0"/>
        <strike val="0"/>
        <condense val="0"/>
        <extend val="0"/>
        <outline val="0"/>
        <shadow val="0"/>
        <u val="none"/>
        <vertAlign val="baseline"/>
        <sz val="10"/>
        <color auto="1"/>
        <name val="Times New Roman"/>
        <family val="1"/>
        <scheme val="none"/>
      </font>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general"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 formatCode="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 formatCode="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rgb="FF000000"/>
        <name val="Aptos Narrow"/>
        <family val="2"/>
        <scheme val="none"/>
      </font>
      <numFmt numFmtId="15" formatCode="0.00E+00"/>
      <fill>
        <patternFill patternType="solid">
          <fgColor indexed="64"/>
          <bgColor theme="0" tint="-4.9989318521683403E-2"/>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rgb="FF000000"/>
        <name val="Aptos Narrow"/>
        <family val="2"/>
        <scheme val="none"/>
      </font>
      <numFmt numFmtId="15" formatCode="0.00E+00"/>
      <fill>
        <patternFill patternType="solid">
          <fgColor indexed="64"/>
          <bgColor theme="0" tint="-4.9989318521683403E-2"/>
        </patternFill>
      </fill>
      <alignment horizontal="center" vertical="center" textRotation="0"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15" formatCode="0.00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1"/>
        <color rgb="FF000000"/>
        <name val="Calibri"/>
        <family val="2"/>
        <scheme val="minor"/>
      </font>
      <numFmt numFmtId="15" formatCode="0.00E+00"/>
      <fill>
        <patternFill patternType="solid">
          <fgColor indexed="64"/>
          <bgColor theme="0" tint="-4.9989318521683403E-2"/>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family val="2"/>
        <scheme val="minor"/>
      </font>
      <numFmt numFmtId="15" formatCode="0.00E+00"/>
      <fill>
        <patternFill patternType="solid">
          <fgColor indexed="64"/>
          <bgColor theme="0" tint="-4.9989318521683403E-2"/>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1"/>
        <name val="Times New Roman"/>
        <family val="1"/>
        <scheme val="none"/>
      </font>
      <numFmt numFmtId="15" formatCode="0.00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protection locked="1" hidden="0"/>
    </dxf>
    <dxf>
      <font>
        <strike val="0"/>
        <outline val="0"/>
        <shadow val="0"/>
        <u val="none"/>
        <vertAlign val="baseline"/>
        <sz val="10"/>
        <color theme="1"/>
        <name val="Times New Roman"/>
        <family val="1"/>
        <scheme val="none"/>
      </font>
      <numFmt numFmtId="15" formatCode="0.00E+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0" formatCode="General"/>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numFmt numFmtId="0" formatCode="General"/>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rgb="FF000000"/>
        <name val="Times New Roman"/>
        <family val="1"/>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general" vertical="center" textRotation="0" wrapText="1" indent="0" justifyLastLine="0" shrinkToFit="0" readingOrder="0"/>
      <border diagonalUp="0" diagonalDown="0" outline="0">
        <left style="medium">
          <color auto="1"/>
        </left>
        <right style="medium">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medium">
          <color auto="1"/>
        </left>
        <right style="medium">
          <color auto="1"/>
        </right>
        <top style="thin">
          <color auto="1"/>
        </top>
        <bottom style="thin">
          <color auto="1"/>
        </bottom>
      </border>
      <protection locked="1" hidden="0"/>
    </dxf>
    <dxf>
      <font>
        <b val="0"/>
        <i val="0"/>
        <strike val="0"/>
        <condense val="0"/>
        <extend val="0"/>
        <outline val="0"/>
        <shadow val="0"/>
        <u val="none"/>
        <vertAlign val="baseline"/>
        <sz val="10"/>
        <color theme="1"/>
        <name val="Times New Roman"/>
        <family val="1"/>
        <scheme val="none"/>
      </font>
      <border outline="0">
        <right style="thin">
          <color auto="1"/>
        </right>
      </border>
      <protection locked="1" hidden="0"/>
    </dxf>
    <dxf>
      <numFmt numFmtId="172" formatCode="0;0;"/>
    </dxf>
    <dxf>
      <numFmt numFmtId="166" formatCode="0.0E+00"/>
    </dxf>
    <dxf>
      <numFmt numFmtId="2" formatCode="0.00"/>
    </dxf>
    <dxf>
      <numFmt numFmtId="164" formatCode="0.0"/>
    </dxf>
    <dxf>
      <numFmt numFmtId="1" formatCode="0"/>
    </dxf>
    <dxf>
      <numFmt numFmtId="166" formatCode="0.0E+00"/>
    </dxf>
    <dxf>
      <numFmt numFmtId="166" formatCode="0.0E+00"/>
    </dxf>
    <dxf>
      <numFmt numFmtId="2" formatCode="0.00"/>
    </dxf>
    <dxf>
      <numFmt numFmtId="164" formatCode="0.0"/>
    </dxf>
    <dxf>
      <numFmt numFmtId="1" formatCode="0"/>
    </dxf>
    <dxf>
      <numFmt numFmtId="166" formatCode="0.0E+00"/>
    </dxf>
    <dxf>
      <numFmt numFmtId="172" formatCode="0;0;"/>
    </dxf>
    <dxf>
      <numFmt numFmtId="166" formatCode="0.0E+00"/>
    </dxf>
    <dxf>
      <numFmt numFmtId="2" formatCode="0.00"/>
    </dxf>
    <dxf>
      <numFmt numFmtId="164" formatCode="0.0"/>
    </dxf>
    <dxf>
      <numFmt numFmtId="1" formatCode="0"/>
    </dxf>
    <dxf>
      <numFmt numFmtId="166" formatCode="0.0E+00"/>
    </dxf>
    <dxf>
      <numFmt numFmtId="172" formatCode="0;0;"/>
    </dxf>
    <dxf>
      <numFmt numFmtId="166" formatCode="0.0E+00"/>
    </dxf>
    <dxf>
      <numFmt numFmtId="2" formatCode="0.00"/>
    </dxf>
    <dxf>
      <numFmt numFmtId="164" formatCode="0.0"/>
    </dxf>
    <dxf>
      <numFmt numFmtId="1" formatCode="0"/>
    </dxf>
    <dxf>
      <numFmt numFmtId="166" formatCode="0.0E+00"/>
    </dxf>
    <dxf>
      <numFmt numFmtId="172" formatCode="0;0;"/>
    </dxf>
    <dxf>
      <numFmt numFmtId="2" formatCode="0.00"/>
    </dxf>
    <dxf>
      <numFmt numFmtId="164" formatCode="0.0"/>
    </dxf>
    <dxf>
      <numFmt numFmtId="1" formatCode="0"/>
    </dxf>
    <dxf>
      <numFmt numFmtId="166" formatCode="0.0E+00"/>
    </dxf>
    <dxf>
      <numFmt numFmtId="172" formatCode="0;0;"/>
    </dxf>
    <dxf>
      <numFmt numFmtId="166" formatCode="0.0E+00"/>
    </dxf>
    <dxf>
      <numFmt numFmtId="172" formatCode="0;0;"/>
    </dxf>
    <dxf>
      <numFmt numFmtId="166" formatCode="0.0E+00"/>
    </dxf>
    <dxf>
      <numFmt numFmtId="2" formatCode="0.00"/>
    </dxf>
    <dxf>
      <numFmt numFmtId="164" formatCode="0.0"/>
    </dxf>
    <dxf>
      <numFmt numFmtId="1" formatCode="0"/>
    </dxf>
    <dxf>
      <numFmt numFmtId="166" formatCode="0.0E+00"/>
    </dxf>
    <dxf>
      <fill>
        <patternFill>
          <bgColor theme="5"/>
        </patternFill>
      </fill>
    </dxf>
    <dxf>
      <fill>
        <patternFill>
          <bgColor rgb="FF00B050"/>
        </patternFill>
      </fill>
    </dxf>
    <dxf>
      <numFmt numFmtId="3" formatCode="#,##0"/>
    </dxf>
    <dxf>
      <numFmt numFmtId="164" formatCode="0.0"/>
    </dxf>
    <dxf>
      <numFmt numFmtId="166" formatCode="0.0E+00"/>
    </dxf>
    <dxf>
      <fill>
        <patternFill>
          <bgColor theme="5"/>
        </patternFill>
      </fill>
    </dxf>
    <dxf>
      <fill>
        <patternFill>
          <bgColor rgb="FF00B050"/>
        </patternFill>
      </fill>
    </dxf>
    <dxf>
      <fill>
        <patternFill>
          <bgColor theme="0"/>
        </patternFill>
      </fill>
    </dxf>
    <dxf>
      <font>
        <color theme="0"/>
      </font>
      <fill>
        <patternFill>
          <bgColor theme="0"/>
        </patternFill>
      </fill>
    </dxf>
    <dxf>
      <numFmt numFmtId="166" formatCode="0.0E+00"/>
    </dxf>
    <dxf>
      <numFmt numFmtId="2" formatCode="0.00"/>
    </dxf>
    <dxf>
      <numFmt numFmtId="164" formatCode="0.0"/>
    </dxf>
    <dxf>
      <numFmt numFmtId="1" formatCode="0"/>
    </dxf>
    <dxf>
      <numFmt numFmtId="166" formatCode="0.0E+00"/>
    </dxf>
    <dxf>
      <numFmt numFmtId="172" formatCode="0;0;"/>
    </dxf>
    <dxf>
      <numFmt numFmtId="1" formatCode="0"/>
    </dxf>
    <dxf>
      <numFmt numFmtId="164" formatCode="0.0"/>
    </dxf>
    <dxf>
      <numFmt numFmtId="2" formatCode="0.00"/>
    </dxf>
    <dxf>
      <numFmt numFmtId="1" formatCode="0"/>
    </dxf>
    <dxf>
      <numFmt numFmtId="164" formatCode="0.0"/>
    </dxf>
    <dxf>
      <numFmt numFmtId="2" formatCode="0.00"/>
    </dxf>
    <dxf>
      <numFmt numFmtId="166" formatCode="0.0E+00"/>
    </dxf>
    <dxf>
      <numFmt numFmtId="166" formatCode="0.0E+00"/>
    </dxf>
    <dxf>
      <numFmt numFmtId="166" formatCode="0.0E+00"/>
    </dxf>
    <dxf>
      <numFmt numFmtId="2" formatCode="0.00"/>
    </dxf>
    <dxf>
      <numFmt numFmtId="1" formatCode="0"/>
    </dxf>
    <dxf>
      <numFmt numFmtId="164" formatCode="0.0"/>
    </dxf>
    <dxf>
      <numFmt numFmtId="1" formatCode="0"/>
    </dxf>
    <dxf>
      <numFmt numFmtId="2" formatCode="0.00"/>
    </dxf>
    <dxf>
      <numFmt numFmtId="166" formatCode="0.0E+00"/>
    </dxf>
    <dxf>
      <numFmt numFmtId="164" formatCode="0.0"/>
    </dxf>
    <dxf>
      <numFmt numFmtId="166" formatCode="0.0E+00"/>
    </dxf>
    <dxf>
      <numFmt numFmtId="1" formatCode="0"/>
    </dxf>
    <dxf>
      <numFmt numFmtId="166" formatCode="0.0E+00"/>
    </dxf>
    <dxf>
      <numFmt numFmtId="164" formatCode="0.0"/>
    </dxf>
    <dxf>
      <numFmt numFmtId="166" formatCode="0.0E+00"/>
    </dxf>
    <dxf>
      <numFmt numFmtId="2" formatCode="0.00"/>
    </dxf>
    <dxf>
      <numFmt numFmtId="166" formatCode="0.0E+00"/>
    </dxf>
    <dxf>
      <numFmt numFmtId="164" formatCode="0.0"/>
    </dxf>
    <dxf>
      <numFmt numFmtId="166" formatCode="0.0E+00"/>
    </dxf>
    <dxf>
      <numFmt numFmtId="2" formatCode="0.00"/>
    </dxf>
    <dxf>
      <numFmt numFmtId="1" formatCode="0"/>
    </dxf>
    <dxf>
      <numFmt numFmtId="166" formatCode="0.0E+00"/>
    </dxf>
    <dxf>
      <numFmt numFmtId="164" formatCode="0.0"/>
    </dxf>
    <dxf>
      <numFmt numFmtId="166" formatCode="0.0E+00"/>
    </dxf>
    <dxf>
      <numFmt numFmtId="2" formatCode="0.00"/>
    </dxf>
    <dxf>
      <numFmt numFmtId="1" formatCode="0"/>
    </dxf>
    <dxf>
      <numFmt numFmtId="166" formatCode="0.0E+00"/>
    </dxf>
    <dxf>
      <numFmt numFmtId="166" formatCode="0.0E+00"/>
    </dxf>
    <dxf>
      <numFmt numFmtId="164" formatCode="0.0"/>
    </dxf>
    <dxf>
      <numFmt numFmtId="1" formatCode="0"/>
    </dxf>
    <dxf>
      <numFmt numFmtId="2" formatCode="0.00"/>
    </dxf>
    <dxf>
      <numFmt numFmtId="166" formatCode="0.0E+00"/>
    </dxf>
    <dxf>
      <numFmt numFmtId="164" formatCode="0.0"/>
    </dxf>
    <dxf>
      <numFmt numFmtId="166" formatCode="0.0E+00"/>
    </dxf>
    <dxf>
      <numFmt numFmtId="1" formatCode="0"/>
    </dxf>
    <dxf>
      <numFmt numFmtId="2" formatCode="0.00"/>
    </dxf>
    <dxf>
      <numFmt numFmtId="2" formatCode="0.00"/>
    </dxf>
    <dxf>
      <numFmt numFmtId="1" formatCode="0"/>
    </dxf>
    <dxf>
      <numFmt numFmtId="166" formatCode="0.0E+00"/>
    </dxf>
    <dxf>
      <numFmt numFmtId="164" formatCode="0.0"/>
    </dxf>
    <dxf>
      <numFmt numFmtId="166" formatCode="0.0E+00"/>
    </dxf>
    <dxf>
      <numFmt numFmtId="164" formatCode="0.0"/>
    </dxf>
    <dxf>
      <numFmt numFmtId="166" formatCode="0.0E+00"/>
    </dxf>
    <dxf>
      <numFmt numFmtId="1" formatCode="0"/>
    </dxf>
    <dxf>
      <numFmt numFmtId="166" formatCode="0.0E+00"/>
    </dxf>
    <dxf>
      <numFmt numFmtId="2" formatCode="0.00"/>
    </dxf>
    <dxf>
      <numFmt numFmtId="164" formatCode="0.0"/>
    </dxf>
    <dxf>
      <numFmt numFmtId="166" formatCode="0.0E+00"/>
    </dxf>
    <dxf>
      <numFmt numFmtId="2" formatCode="0.00"/>
    </dxf>
    <dxf>
      <numFmt numFmtId="1" formatCode="0"/>
    </dxf>
    <dxf>
      <numFmt numFmtId="166" formatCode="0.0E+00"/>
    </dxf>
    <dxf>
      <numFmt numFmtId="164" formatCode="0.0"/>
    </dxf>
    <dxf>
      <numFmt numFmtId="166" formatCode="0.0E+00"/>
    </dxf>
    <dxf>
      <numFmt numFmtId="1" formatCode="0"/>
    </dxf>
    <dxf>
      <numFmt numFmtId="166" formatCode="0.0E+00"/>
    </dxf>
    <dxf>
      <numFmt numFmtId="2" formatCode="0.00"/>
    </dxf>
    <dxf>
      <numFmt numFmtId="164" formatCode="0.0"/>
    </dxf>
    <dxf>
      <numFmt numFmtId="166" formatCode="0.0E+00"/>
    </dxf>
    <dxf>
      <numFmt numFmtId="2" formatCode="0.00"/>
    </dxf>
    <dxf>
      <numFmt numFmtId="1" formatCode="0"/>
    </dxf>
    <dxf>
      <numFmt numFmtId="166" formatCode="0.0E+00"/>
    </dxf>
    <dxf>
      <numFmt numFmtId="164" formatCode="0.0"/>
    </dxf>
    <dxf>
      <numFmt numFmtId="1" formatCode="0"/>
    </dxf>
    <dxf>
      <numFmt numFmtId="166" formatCode="0.0E+00"/>
    </dxf>
    <dxf>
      <numFmt numFmtId="2" formatCode="0.00"/>
    </dxf>
    <dxf>
      <numFmt numFmtId="166" formatCode="0.0E+00"/>
    </dxf>
    <dxf>
      <numFmt numFmtId="164" formatCode="0.0"/>
    </dxf>
    <dxf>
      <numFmt numFmtId="166" formatCode="0.0E+00"/>
    </dxf>
    <dxf>
      <numFmt numFmtId="2" formatCode="0.00"/>
    </dxf>
    <dxf>
      <numFmt numFmtId="1" formatCode="0"/>
    </dxf>
    <dxf>
      <numFmt numFmtId="166" formatCode="0.0E+00"/>
    </dxf>
    <dxf>
      <numFmt numFmtId="1" formatCode="0"/>
    </dxf>
    <dxf>
      <numFmt numFmtId="2" formatCode="0.00"/>
    </dxf>
    <dxf>
      <numFmt numFmtId="166" formatCode="0.0E+00"/>
    </dxf>
    <dxf>
      <numFmt numFmtId="164" formatCode="0.0"/>
    </dxf>
    <dxf>
      <numFmt numFmtId="166" formatCode="0.0E+00"/>
    </dxf>
    <dxf>
      <numFmt numFmtId="164" formatCode="0.0"/>
    </dxf>
    <dxf>
      <numFmt numFmtId="2" formatCode="0.00"/>
    </dxf>
    <dxf>
      <numFmt numFmtId="166" formatCode="0.0E+00"/>
    </dxf>
    <dxf>
      <numFmt numFmtId="1" formatCode="0"/>
    </dxf>
    <dxf>
      <numFmt numFmtId="166" formatCode="0.0E+00"/>
    </dxf>
    <dxf>
      <numFmt numFmtId="1" formatCode="0"/>
    </dxf>
    <dxf>
      <numFmt numFmtId="166" formatCode="0.0E+00"/>
    </dxf>
    <dxf>
      <numFmt numFmtId="166" formatCode="0.0E+00"/>
    </dxf>
    <dxf>
      <numFmt numFmtId="164" formatCode="0.0"/>
    </dxf>
    <dxf>
      <numFmt numFmtId="2" formatCode="0.00"/>
    </dxf>
    <dxf>
      <numFmt numFmtId="164" formatCode="0.0"/>
    </dxf>
    <dxf>
      <numFmt numFmtId="1" formatCode="0"/>
    </dxf>
    <dxf>
      <numFmt numFmtId="166" formatCode="0.0E+00"/>
    </dxf>
    <dxf>
      <numFmt numFmtId="2" formatCode="0.00"/>
    </dxf>
    <dxf>
      <numFmt numFmtId="166" formatCode="0.0E+00"/>
    </dxf>
    <dxf>
      <numFmt numFmtId="166" formatCode="0.0E+00"/>
    </dxf>
    <dxf>
      <numFmt numFmtId="164" formatCode="0.0"/>
    </dxf>
    <dxf>
      <numFmt numFmtId="2" formatCode="0.00"/>
    </dxf>
    <dxf>
      <numFmt numFmtId="166" formatCode="0.0E+00"/>
    </dxf>
    <dxf>
      <numFmt numFmtId="1" formatCode="0"/>
    </dxf>
    <dxf>
      <numFmt numFmtId="166" formatCode="0.0E+00"/>
    </dxf>
    <dxf>
      <numFmt numFmtId="2" formatCode="0.00"/>
    </dxf>
    <dxf>
      <numFmt numFmtId="1" formatCode="0"/>
    </dxf>
    <dxf>
      <numFmt numFmtId="164" formatCode="0.0"/>
    </dxf>
    <dxf>
      <numFmt numFmtId="166" formatCode="0.0E+00"/>
    </dxf>
    <dxf>
      <numFmt numFmtId="166" formatCode="0.0E+00"/>
    </dxf>
    <dxf>
      <numFmt numFmtId="164" formatCode="0.0"/>
    </dxf>
    <dxf>
      <numFmt numFmtId="2" formatCode="0.00"/>
    </dxf>
    <dxf>
      <numFmt numFmtId="166" formatCode="0.0E+00"/>
    </dxf>
    <dxf>
      <numFmt numFmtId="164" formatCode="0.0"/>
    </dxf>
    <dxf>
      <numFmt numFmtId="166" formatCode="0.0E+00"/>
    </dxf>
    <dxf>
      <numFmt numFmtId="1" formatCode="0"/>
    </dxf>
    <dxf>
      <numFmt numFmtId="166" formatCode="0.0E+00"/>
    </dxf>
    <dxf>
      <numFmt numFmtId="2" formatCode="0.00"/>
    </dxf>
    <dxf>
      <numFmt numFmtId="164" formatCode="0.0"/>
    </dxf>
    <dxf>
      <numFmt numFmtId="166" formatCode="0.0E+00"/>
    </dxf>
    <dxf>
      <numFmt numFmtId="2" formatCode="0.00"/>
    </dxf>
    <dxf>
      <numFmt numFmtId="1" formatCode="0"/>
    </dxf>
    <dxf>
      <numFmt numFmtId="166" formatCode="0.0E+00"/>
    </dxf>
    <dxf>
      <numFmt numFmtId="1" formatCode="0"/>
    </dxf>
    <dxf>
      <numFmt numFmtId="164" formatCode="0.0"/>
    </dxf>
    <dxf>
      <numFmt numFmtId="2" formatCode="0.00"/>
    </dxf>
    <dxf>
      <numFmt numFmtId="164" formatCode="0.0"/>
    </dxf>
    <dxf>
      <numFmt numFmtId="2" formatCode="0.00"/>
    </dxf>
    <dxf>
      <numFmt numFmtId="166" formatCode="0.0E+00"/>
    </dxf>
    <dxf>
      <numFmt numFmtId="166" formatCode="0.0E+00"/>
    </dxf>
    <dxf>
      <numFmt numFmtId="2" formatCode="0.00"/>
    </dxf>
    <dxf>
      <numFmt numFmtId="1" formatCode="0"/>
    </dxf>
    <dxf>
      <numFmt numFmtId="164" formatCode="0.0"/>
    </dxf>
    <dxf>
      <numFmt numFmtId="166" formatCode="0.0E+00"/>
    </dxf>
    <dxf>
      <numFmt numFmtId="1" formatCode="0"/>
    </dxf>
    <dxf>
      <numFmt numFmtId="164" formatCode="0.0"/>
    </dxf>
    <dxf>
      <numFmt numFmtId="166" formatCode="0.0E+00"/>
    </dxf>
    <dxf>
      <numFmt numFmtId="2" formatCode="0.00"/>
    </dxf>
    <dxf>
      <numFmt numFmtId="164" formatCode="0.0"/>
    </dxf>
    <dxf>
      <numFmt numFmtId="166" formatCode="0.0E+00"/>
    </dxf>
    <dxf>
      <numFmt numFmtId="2" formatCode="0.00"/>
    </dxf>
    <dxf>
      <numFmt numFmtId="1" formatCode="0"/>
    </dxf>
    <dxf>
      <numFmt numFmtId="166" formatCode="0.0E+00"/>
    </dxf>
    <dxf>
      <numFmt numFmtId="166" formatCode="0.0E+00"/>
    </dxf>
    <dxf>
      <numFmt numFmtId="166" formatCode="0.0E+00"/>
    </dxf>
    <dxf>
      <numFmt numFmtId="166" formatCode="0.0E+00"/>
    </dxf>
    <dxf>
      <numFmt numFmtId="1" formatCode="0"/>
    </dxf>
    <dxf>
      <numFmt numFmtId="2" formatCode="0.00"/>
    </dxf>
    <dxf>
      <numFmt numFmtId="166" formatCode="0.0E+00"/>
    </dxf>
    <dxf>
      <numFmt numFmtId="164" formatCode="0.0"/>
    </dxf>
    <dxf>
      <numFmt numFmtId="2" formatCode="0.00"/>
    </dxf>
    <dxf>
      <numFmt numFmtId="164" formatCode="0.0"/>
    </dxf>
    <dxf>
      <numFmt numFmtId="1" formatCode="0"/>
    </dxf>
    <dxf>
      <numFmt numFmtId="166" formatCode="0.0E+00"/>
    </dxf>
    <dxf>
      <numFmt numFmtId="166" formatCode="0.0E+00"/>
    </dxf>
    <dxf>
      <numFmt numFmtId="15" formatCode="0.00E+00"/>
    </dxf>
    <dxf>
      <fill>
        <patternFill>
          <bgColor theme="0"/>
        </patternFill>
      </fill>
    </dxf>
    <dxf>
      <font>
        <color theme="0"/>
      </font>
      <fill>
        <patternFill>
          <bgColor theme="0"/>
        </patternFill>
      </fill>
    </dxf>
    <dxf>
      <fill>
        <patternFill>
          <bgColor theme="0"/>
        </patternFill>
      </fill>
    </dxf>
    <dxf>
      <numFmt numFmtId="15" formatCode="0.00E+00"/>
    </dxf>
    <dxf>
      <font>
        <color theme="0"/>
      </font>
      <fill>
        <patternFill>
          <bgColor theme="0"/>
        </patternFill>
      </fill>
    </dxf>
    <dxf>
      <numFmt numFmtId="166" formatCode="0.0E+00"/>
    </dxf>
    <dxf>
      <numFmt numFmtId="1" formatCode="0"/>
    </dxf>
    <dxf>
      <numFmt numFmtId="164" formatCode="0.0"/>
    </dxf>
    <dxf>
      <numFmt numFmtId="2" formatCode="0.00"/>
    </dxf>
    <dxf>
      <numFmt numFmtId="166" formatCode="0.0E+00"/>
    </dxf>
    <dxf>
      <numFmt numFmtId="172" formatCode="0;0;"/>
    </dxf>
    <dxf>
      <numFmt numFmtId="2" formatCode="0.00"/>
    </dxf>
    <dxf>
      <numFmt numFmtId="172" formatCode="0;0;"/>
    </dxf>
    <dxf>
      <numFmt numFmtId="166" formatCode="0.0E+00"/>
    </dxf>
    <dxf>
      <numFmt numFmtId="1" formatCode="0"/>
    </dxf>
    <dxf>
      <numFmt numFmtId="164" formatCode="0.0"/>
    </dxf>
    <dxf>
      <numFmt numFmtId="166" formatCode="0.0E+00"/>
    </dxf>
    <dxf>
      <fill>
        <patternFill>
          <bgColor rgb="FF00B050"/>
        </patternFill>
      </fill>
    </dxf>
    <dxf>
      <fill>
        <patternFill>
          <bgColor theme="0"/>
        </patternFill>
      </fill>
    </dxf>
    <dxf>
      <font>
        <color theme="0"/>
      </font>
      <fill>
        <patternFill>
          <bgColor theme="0"/>
        </patternFill>
      </fill>
    </dxf>
    <dxf>
      <fill>
        <patternFill>
          <bgColor theme="5"/>
        </patternFill>
      </fill>
    </dxf>
    <dxf>
      <numFmt numFmtId="166" formatCode="0.0E+00"/>
    </dxf>
    <dxf>
      <numFmt numFmtId="173" formatCode="#,##0.0"/>
    </dxf>
    <dxf>
      <numFmt numFmtId="1" formatCode="0"/>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ill>
        <patternFill>
          <bgColor theme="0"/>
        </patternFill>
      </fill>
    </dxf>
    <dxf>
      <numFmt numFmtId="15" formatCode="0.00E+00"/>
    </dxf>
    <dxf>
      <numFmt numFmtId="164" formatCode="0.0"/>
    </dxf>
    <dxf>
      <numFmt numFmtId="3" formatCode="#,##0"/>
    </dxf>
    <dxf>
      <font>
        <color theme="0"/>
      </font>
      <fill>
        <patternFill>
          <bgColor theme="0"/>
        </patternFill>
      </fill>
    </dxf>
    <dxf>
      <fill>
        <patternFill>
          <bgColor theme="0"/>
        </patternFill>
      </fill>
    </dxf>
    <dxf>
      <numFmt numFmtId="15" formatCode="0.00E+00"/>
    </dxf>
    <dxf>
      <numFmt numFmtId="164" formatCode="0.0"/>
    </dxf>
    <dxf>
      <numFmt numFmtId="3" formatCode="#,##0"/>
    </dxf>
    <dxf>
      <fill>
        <patternFill>
          <bgColor theme="0"/>
        </patternFill>
      </fill>
    </dxf>
    <dxf>
      <font>
        <color theme="0"/>
      </font>
      <fill>
        <patternFill>
          <bgColor theme="0"/>
        </patternFill>
      </fill>
    </dxf>
    <dxf>
      <numFmt numFmtId="15" formatCode="0.00E+00"/>
    </dxf>
    <dxf>
      <numFmt numFmtId="164" formatCode="0.0"/>
    </dxf>
    <dxf>
      <numFmt numFmtId="3" formatCode="#,##0"/>
    </dxf>
    <dxf>
      <numFmt numFmtId="164" formatCode="0.0"/>
    </dxf>
    <dxf>
      <numFmt numFmtId="3" formatCode="#,##0"/>
    </dxf>
    <dxf>
      <font>
        <color theme="0"/>
      </font>
      <fill>
        <patternFill>
          <bgColor theme="0"/>
        </patternFill>
      </fill>
    </dxf>
    <dxf>
      <fill>
        <patternFill>
          <bgColor theme="0"/>
        </patternFill>
      </fill>
    </dxf>
    <dxf>
      <numFmt numFmtId="15" formatCode="0.00E+00"/>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fill>
        <patternFill>
          <bgColor theme="0"/>
        </patternFill>
      </fill>
    </dxf>
    <dxf>
      <font>
        <color theme="0"/>
      </font>
      <fill>
        <patternFill>
          <bgColor theme="0"/>
        </patternFill>
      </fill>
    </dxf>
    <dxf>
      <numFmt numFmtId="15" formatCode="0.00E+00"/>
    </dxf>
    <dxf>
      <fill>
        <patternFill>
          <bgColor theme="0"/>
        </patternFill>
      </fill>
    </dxf>
    <dxf>
      <numFmt numFmtId="166" formatCode="0.0E+00"/>
    </dxf>
    <dxf>
      <numFmt numFmtId="166" formatCode="0.0E+00"/>
    </dxf>
    <dxf>
      <numFmt numFmtId="2" formatCode="0.00"/>
    </dxf>
    <dxf>
      <numFmt numFmtId="164" formatCode="0.0"/>
    </dxf>
    <dxf>
      <numFmt numFmtId="1" formatCode="0"/>
    </dxf>
    <dxf>
      <numFmt numFmtId="172" formatCode="0;0;"/>
    </dxf>
    <dxf>
      <numFmt numFmtId="3" formatCode="#,##0"/>
    </dxf>
    <dxf>
      <numFmt numFmtId="164" formatCode="0.0"/>
    </dxf>
    <dxf>
      <numFmt numFmtId="15" formatCode="0.00E+00"/>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numFmt numFmtId="3" formatCode="#,##0"/>
    </dxf>
    <dxf>
      <numFmt numFmtId="164" formatCode="0.0"/>
    </dxf>
    <dxf>
      <numFmt numFmtId="15" formatCode="0.00E+00"/>
    </dxf>
    <dxf>
      <fill>
        <patternFill>
          <bgColor theme="0"/>
        </patternFill>
      </fill>
    </dxf>
    <dxf>
      <numFmt numFmtId="15" formatCode="0.00E+00"/>
    </dxf>
    <dxf>
      <font>
        <color theme="0"/>
      </font>
      <fill>
        <patternFill>
          <bgColor theme="0"/>
        </patternFill>
      </fill>
    </dxf>
    <dxf>
      <fill>
        <patternFill>
          <bgColor theme="5"/>
        </patternFill>
      </fill>
    </dxf>
    <dxf>
      <fill>
        <patternFill>
          <bgColor rgb="FF00B050"/>
        </patternFill>
      </fill>
    </dxf>
    <dxf>
      <font>
        <color theme="0"/>
      </font>
      <fill>
        <patternFill>
          <bgColor theme="0"/>
        </patternFill>
      </fill>
    </dxf>
    <dxf>
      <numFmt numFmtId="15" formatCode="0.00E+00"/>
    </dxf>
    <dxf>
      <numFmt numFmtId="173" formatCode="#,##0.0"/>
    </dxf>
    <dxf>
      <numFmt numFmtId="1" formatCode="0"/>
    </dxf>
    <dxf>
      <numFmt numFmtId="2" formatCode="0.00"/>
    </dxf>
    <dxf>
      <numFmt numFmtId="166" formatCode="0.0E+00"/>
    </dxf>
    <dxf>
      <numFmt numFmtId="1" formatCode="0"/>
    </dxf>
    <dxf>
      <numFmt numFmtId="166" formatCode="0.0E+00"/>
    </dxf>
    <dxf>
      <numFmt numFmtId="172" formatCode="0;0;"/>
    </dxf>
    <dxf>
      <numFmt numFmtId="164" formatCode="0.0"/>
    </dxf>
    <dxf>
      <numFmt numFmtId="166" formatCode="0.0E+00"/>
    </dxf>
    <dxf>
      <numFmt numFmtId="172" formatCode="0;0;"/>
    </dxf>
    <dxf>
      <numFmt numFmtId="2" formatCode="0.00"/>
    </dxf>
    <dxf>
      <numFmt numFmtId="164" formatCode="0.0"/>
    </dxf>
    <dxf>
      <numFmt numFmtId="1" formatCode="0"/>
    </dxf>
    <dxf>
      <numFmt numFmtId="166" formatCode="0.0E+00"/>
    </dxf>
    <dxf>
      <numFmt numFmtId="3" formatCode="#,##0"/>
    </dxf>
    <dxf>
      <font>
        <color theme="0"/>
      </font>
      <fill>
        <patternFill>
          <bgColor theme="0"/>
        </patternFill>
      </fill>
    </dxf>
    <dxf>
      <fill>
        <patternFill>
          <bgColor theme="0"/>
        </patternFill>
      </fill>
    </dxf>
    <dxf>
      <numFmt numFmtId="15" formatCode="0.00E+00"/>
    </dxf>
    <dxf>
      <numFmt numFmtId="164" formatCode="0.0"/>
    </dxf>
    <dxf>
      <numFmt numFmtId="164" formatCode="0.0"/>
    </dxf>
    <dxf>
      <font>
        <color theme="0"/>
      </font>
      <fill>
        <patternFill>
          <bgColor theme="0"/>
        </patternFill>
      </fill>
    </dxf>
    <dxf>
      <fill>
        <patternFill>
          <bgColor theme="0"/>
        </patternFill>
      </fill>
    </dxf>
    <dxf>
      <numFmt numFmtId="15" formatCode="0.00E+00"/>
    </dxf>
    <dxf>
      <numFmt numFmtId="3" formatCode="#,##0"/>
    </dxf>
    <dxf>
      <fill>
        <patternFill>
          <bgColor theme="0"/>
        </patternFill>
      </fill>
    </dxf>
    <dxf>
      <font>
        <color theme="0"/>
      </font>
      <fill>
        <patternFill>
          <bgColor theme="0"/>
        </patternFill>
      </fill>
    </dxf>
    <dxf>
      <numFmt numFmtId="15" formatCode="0.00E+00"/>
    </dxf>
    <dxf>
      <fill>
        <patternFill>
          <bgColor rgb="FF00B050"/>
        </patternFill>
      </fill>
    </dxf>
    <dxf>
      <fill>
        <patternFill>
          <bgColor theme="5"/>
        </patternFill>
      </fill>
    </dxf>
    <dxf>
      <fill>
        <patternFill>
          <bgColor theme="5"/>
        </patternFill>
      </fill>
    </dxf>
    <dxf>
      <fill>
        <patternFill>
          <bgColor rgb="FF00B050"/>
        </patternFill>
      </fill>
    </dxf>
    <dxf>
      <fill>
        <patternFill>
          <bgColor theme="5"/>
        </patternFill>
      </fill>
    </dxf>
    <dxf>
      <fill>
        <patternFill>
          <bgColor rgb="FF00B050"/>
        </patternFill>
      </fill>
    </dxf>
    <dxf>
      <fill>
        <patternFill>
          <bgColor rgb="FF00B050"/>
        </patternFill>
      </fill>
    </dxf>
    <dxf>
      <fill>
        <patternFill>
          <bgColor theme="5"/>
        </patternFill>
      </fill>
    </dxf>
    <dxf>
      <fill>
        <patternFill>
          <bgColor rgb="FF00B050"/>
        </patternFill>
      </fill>
    </dxf>
    <dxf>
      <fill>
        <patternFill>
          <bgColor theme="5"/>
        </patternFill>
      </fill>
    </dxf>
    <dxf>
      <numFmt numFmtId="15" formatCode="0.00E+00"/>
    </dxf>
    <dxf>
      <font>
        <color theme="0"/>
      </font>
      <fill>
        <patternFill>
          <bgColor theme="0"/>
        </patternFill>
      </fill>
    </dxf>
    <dxf>
      <fill>
        <patternFill>
          <bgColor theme="0"/>
        </patternFill>
      </fill>
    </dxf>
    <dxf>
      <numFmt numFmtId="3" formatCode="#,##0"/>
    </dxf>
    <dxf>
      <numFmt numFmtId="164" formatCode="0.0"/>
    </dxf>
    <dxf>
      <numFmt numFmtId="15" formatCode="0.00E+00"/>
    </dxf>
    <dxf>
      <numFmt numFmtId="164" formatCode="0.0"/>
    </dxf>
    <dxf>
      <numFmt numFmtId="3" formatCode="#,##0"/>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numFmt numFmtId="15" formatCode="0.00E+00"/>
    </dxf>
    <dxf>
      <numFmt numFmtId="164" formatCode="0.0"/>
    </dxf>
    <dxf>
      <numFmt numFmtId="3" formatCode="#,##0"/>
    </dxf>
    <dxf>
      <numFmt numFmtId="3" formatCode="#,##0"/>
    </dxf>
    <dxf>
      <font>
        <color theme="0"/>
      </font>
      <fill>
        <patternFill>
          <bgColor theme="0"/>
        </patternFill>
      </fill>
    </dxf>
    <dxf>
      <numFmt numFmtId="164" formatCode="0.0"/>
    </dxf>
    <dxf>
      <numFmt numFmtId="15" formatCode="0.00E+00"/>
    </dxf>
    <dxf>
      <fill>
        <patternFill>
          <bgColor theme="0"/>
        </patternFill>
      </fill>
    </dxf>
    <dxf>
      <numFmt numFmtId="3" formatCode="#,##0"/>
    </dxf>
    <dxf>
      <numFmt numFmtId="15" formatCode="0.00E+00"/>
    </dxf>
    <dxf>
      <fill>
        <patternFill>
          <bgColor theme="0"/>
        </patternFill>
      </fill>
    </dxf>
    <dxf>
      <font>
        <color theme="0"/>
      </font>
      <fill>
        <patternFill>
          <bgColor theme="0"/>
        </patternFill>
      </fill>
    </dxf>
    <dxf>
      <numFmt numFmtId="164" formatCode="0.0"/>
    </dxf>
    <dxf>
      <fill>
        <patternFill>
          <bgColor rgb="FF00B050"/>
        </patternFill>
      </fill>
    </dxf>
    <dxf>
      <fill>
        <patternFill>
          <bgColor theme="5"/>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numFmt numFmtId="166" formatCode="0.0E+00"/>
    </dxf>
    <dxf>
      <font>
        <color theme="0"/>
      </font>
      <fill>
        <patternFill>
          <bgColor theme="0"/>
        </patternFill>
      </fill>
    </dxf>
    <dxf>
      <fill>
        <patternFill>
          <bgColor theme="0"/>
        </patternFill>
      </fill>
    </dxf>
    <dxf>
      <numFmt numFmtId="3" formatCode="#,##0"/>
    </dxf>
    <dxf>
      <numFmt numFmtId="164" formatCode="0.0"/>
    </dxf>
    <dxf>
      <font>
        <color theme="0"/>
      </font>
      <fill>
        <patternFill>
          <bgColor theme="0"/>
        </patternFill>
      </fill>
    </dxf>
    <dxf>
      <numFmt numFmtId="15" formatCode="0.00E+00"/>
    </dxf>
    <dxf>
      <fill>
        <patternFill>
          <bgColor theme="0"/>
        </patternFill>
      </fill>
    </dxf>
    <dxf>
      <numFmt numFmtId="15" formatCode="0.00E+00"/>
    </dxf>
    <dxf>
      <numFmt numFmtId="164" formatCode="0.0"/>
    </dxf>
    <dxf>
      <numFmt numFmtId="3" formatCode="#,##0"/>
    </dxf>
    <dxf>
      <fill>
        <patternFill>
          <bgColor theme="5"/>
        </patternFill>
      </fill>
    </dxf>
    <dxf>
      <fill>
        <patternFill>
          <bgColor rgb="FF00B050"/>
        </patternFill>
      </fill>
    </dxf>
    <dxf>
      <fill>
        <patternFill>
          <bgColor theme="0"/>
        </patternFill>
      </fill>
    </dxf>
    <dxf>
      <font>
        <color theme="0"/>
      </font>
      <fill>
        <patternFill>
          <bgColor theme="0"/>
        </patternFill>
      </fill>
    </dxf>
    <dxf>
      <fill>
        <patternFill>
          <bgColor theme="5"/>
        </patternFill>
      </fill>
    </dxf>
    <dxf>
      <fill>
        <patternFill>
          <bgColor rgb="FF00B050"/>
        </patternFill>
      </fill>
    </dxf>
    <dxf>
      <fill>
        <patternFill>
          <bgColor theme="5"/>
        </patternFill>
      </fill>
    </dxf>
    <dxf>
      <numFmt numFmtId="164" formatCode="0.0"/>
    </dxf>
    <dxf>
      <fill>
        <patternFill>
          <bgColor theme="5"/>
        </patternFill>
      </fill>
    </dxf>
    <dxf>
      <fill>
        <patternFill>
          <bgColor rgb="FF00B050"/>
        </patternFill>
      </fill>
    </dxf>
    <dxf>
      <numFmt numFmtId="3" formatCode="#,##0"/>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ill>
        <patternFill>
          <bgColor rgb="FF00B050"/>
        </patternFill>
      </fill>
    </dxf>
    <dxf>
      <fill>
        <patternFill>
          <bgColor theme="5"/>
        </patternFill>
      </fill>
    </dxf>
    <dxf>
      <numFmt numFmtId="164" formatCode="0.0"/>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fill>
        <patternFill>
          <bgColor rgb="FF00B050"/>
        </patternFill>
      </fill>
    </dxf>
    <dxf>
      <numFmt numFmtId="3" formatCode="#,##0"/>
    </dxf>
    <dxf>
      <fill>
        <patternFill>
          <bgColor rgb="FF00B050"/>
        </patternFill>
      </fill>
    </dxf>
    <dxf>
      <fill>
        <patternFill>
          <bgColor theme="5"/>
        </patternFill>
      </fill>
    </dxf>
    <dxf>
      <font>
        <color theme="0"/>
      </font>
      <fill>
        <patternFill>
          <bgColor theme="0"/>
        </patternFill>
      </fill>
    </dxf>
    <dxf>
      <numFmt numFmtId="15" formatCode="0.00E+00"/>
    </dxf>
    <dxf>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ill>
        <patternFill>
          <bgColor theme="0"/>
        </patternFill>
      </fill>
    </dxf>
    <dxf>
      <numFmt numFmtId="164" formatCode="0.0"/>
    </dxf>
    <dxf>
      <numFmt numFmtId="15" formatCode="0.00E+00"/>
    </dxf>
    <dxf>
      <numFmt numFmtId="3" formatCode="#,##0"/>
    </dxf>
    <dxf>
      <fill>
        <patternFill>
          <bgColor rgb="FF00B050"/>
        </patternFill>
      </fill>
    </dxf>
    <dxf>
      <fill>
        <patternFill>
          <bgColor theme="0"/>
        </patternFill>
      </fill>
    </dxf>
    <dxf>
      <numFmt numFmtId="3" formatCode="#,##0"/>
    </dxf>
    <dxf>
      <numFmt numFmtId="15" formatCode="0.00E+00"/>
    </dxf>
    <dxf>
      <font>
        <color theme="0"/>
      </font>
      <fill>
        <patternFill>
          <bgColor theme="0"/>
        </patternFill>
      </fill>
    </dxf>
    <dxf>
      <numFmt numFmtId="164" formatCode="0.0"/>
    </dxf>
    <dxf>
      <fill>
        <patternFill>
          <bgColor theme="5"/>
        </patternFill>
      </fill>
    </dxf>
    <dxf>
      <font>
        <color theme="0"/>
      </font>
      <fill>
        <patternFill>
          <bgColor theme="0"/>
        </patternFill>
      </fill>
    </dxf>
    <dxf>
      <fill>
        <patternFill>
          <bgColor rgb="FF00B050"/>
        </patternFill>
      </fill>
    </dxf>
    <dxf>
      <fill>
        <patternFill>
          <bgColor theme="5"/>
        </patternFill>
      </fill>
    </dxf>
    <dxf>
      <font>
        <color theme="0"/>
      </font>
      <fill>
        <patternFill>
          <bgColor theme="0"/>
        </patternFill>
      </fill>
    </dxf>
    <dxf>
      <fill>
        <patternFill>
          <bgColor theme="0"/>
        </patternFill>
      </fill>
    </dxf>
    <dxf>
      <numFmt numFmtId="15" formatCode="0.00E+00"/>
    </dxf>
    <dxf>
      <numFmt numFmtId="164" formatCode="0.0"/>
    </dxf>
    <dxf>
      <numFmt numFmtId="3" formatCode="#,##0"/>
    </dxf>
    <dxf>
      <numFmt numFmtId="2" formatCode="0.00"/>
    </dxf>
    <dxf>
      <numFmt numFmtId="164" formatCode="0.0"/>
    </dxf>
    <dxf>
      <numFmt numFmtId="1" formatCode="0"/>
    </dxf>
    <dxf>
      <numFmt numFmtId="172" formatCode="0;0;"/>
    </dxf>
    <dxf>
      <numFmt numFmtId="166" formatCode="0.0E+00"/>
    </dxf>
    <dxf>
      <numFmt numFmtId="166" formatCode="0.0E+00"/>
    </dxf>
    <dxf>
      <numFmt numFmtId="3" formatCode="#,##0"/>
    </dxf>
    <dxf>
      <font>
        <color theme="0"/>
      </font>
      <fill>
        <patternFill>
          <bgColor theme="0"/>
        </patternFill>
      </fill>
    </dxf>
    <dxf>
      <numFmt numFmtId="164" formatCode="0.0"/>
    </dxf>
    <dxf>
      <numFmt numFmtId="15" formatCode="0.00E+00"/>
    </dxf>
    <dxf>
      <fill>
        <patternFill>
          <bgColor theme="0"/>
        </patternFill>
      </fill>
    </dxf>
    <dxf>
      <numFmt numFmtId="15" formatCode="0.00E+00"/>
    </dxf>
    <dxf>
      <fill>
        <patternFill>
          <bgColor theme="0"/>
        </patternFill>
      </fill>
    </dxf>
    <dxf>
      <font>
        <color theme="0"/>
      </font>
      <fill>
        <patternFill>
          <bgColor theme="0"/>
        </patternFill>
      </fill>
    </dxf>
    <dxf>
      <numFmt numFmtId="3" formatCode="#,##0"/>
    </dxf>
    <dxf>
      <numFmt numFmtId="164" formatCode="0.0"/>
    </dxf>
    <dxf>
      <numFmt numFmtId="15" formatCode="0.00E+00"/>
    </dxf>
    <dxf>
      <fill>
        <patternFill>
          <bgColor theme="0"/>
        </patternFill>
      </fill>
    </dxf>
    <dxf>
      <font>
        <color theme="0"/>
      </font>
      <fill>
        <patternFill>
          <bgColor theme="0"/>
        </patternFill>
      </fill>
    </dxf>
    <dxf>
      <fill>
        <patternFill>
          <bgColor theme="5"/>
        </patternFill>
      </fill>
    </dxf>
    <dxf>
      <fill>
        <patternFill>
          <bgColor rgb="FF00B050"/>
        </patternFill>
      </fill>
    </dxf>
    <dxf>
      <numFmt numFmtId="172" formatCode="0;0;"/>
    </dxf>
    <dxf>
      <numFmt numFmtId="2" formatCode="0.00"/>
    </dxf>
    <dxf>
      <numFmt numFmtId="166" formatCode="0.0E+00"/>
    </dxf>
    <dxf>
      <numFmt numFmtId="164" formatCode="0.0"/>
    </dxf>
    <dxf>
      <numFmt numFmtId="166" formatCode="0.0E+00"/>
    </dxf>
    <dxf>
      <numFmt numFmtId="1" formatCode="0"/>
    </dxf>
    <dxf>
      <fill>
        <patternFill>
          <bgColor theme="0"/>
        </patternFill>
      </fill>
    </dxf>
    <dxf>
      <numFmt numFmtId="3" formatCode="#,##0"/>
    </dxf>
    <dxf>
      <numFmt numFmtId="164" formatCode="0.0"/>
    </dxf>
    <dxf>
      <numFmt numFmtId="166" formatCode="0.0E+00"/>
    </dxf>
    <dxf>
      <numFmt numFmtId="15" formatCode="0.00E+00"/>
    </dxf>
    <dxf>
      <fill>
        <patternFill>
          <bgColor theme="0"/>
        </patternFill>
      </fill>
    </dxf>
    <dxf>
      <font>
        <color theme="0"/>
      </font>
      <fill>
        <patternFill>
          <bgColor theme="0"/>
        </patternFill>
      </fill>
    </dxf>
    <dxf>
      <border outline="0">
        <left style="thin">
          <color auto="1"/>
        </left>
        <right style="thin">
          <color auto="1"/>
        </right>
        <bottom style="thin">
          <color auto="1"/>
        </bottom>
      </border>
    </dxf>
    <dxf>
      <border outline="0">
        <left style="thin">
          <color auto="1"/>
        </left>
        <right style="thin">
          <color auto="1"/>
        </right>
        <bottom style="thin">
          <color auto="1"/>
        </bottom>
      </border>
    </dxf>
    <dxf>
      <border outline="0">
        <bottom style="dashed">
          <color auto="1"/>
        </bottom>
      </border>
    </dxf>
    <dxf>
      <border outline="0">
        <right style="thin">
          <color auto="1"/>
        </right>
        <bottom style="thin">
          <color indexed="64"/>
        </bottom>
      </border>
    </dxf>
  </dxfs>
  <tableStyles count="0" defaultTableStyle="TableStyleMedium2" defaultPivotStyle="PivotStyleLight16"/>
  <colors>
    <mruColors>
      <color rgb="FFF04B18"/>
      <color rgb="FFD43D0E"/>
      <color rgb="FFF15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549275</xdr:colOff>
      <xdr:row>5</xdr:row>
      <xdr:rowOff>57150</xdr:rowOff>
    </xdr:from>
    <xdr:to>
      <xdr:col>4</xdr:col>
      <xdr:colOff>809381</xdr:colOff>
      <xdr:row>16</xdr:row>
      <xdr:rowOff>242571</xdr:rowOff>
    </xdr:to>
    <xdr:pic>
      <xdr:nvPicPr>
        <xdr:cNvPr id="3" name="Picture 2">
          <a:extLst>
            <a:ext uri="{FF2B5EF4-FFF2-40B4-BE49-F238E27FC236}">
              <a16:creationId xmlns:a16="http://schemas.microsoft.com/office/drawing/2014/main" id="{7D027B47-78A5-47BE-89DB-AF5FB54166C6}"/>
            </a:ext>
          </a:extLst>
        </xdr:cNvPr>
        <xdr:cNvPicPr>
          <a:picLocks noChangeAspect="1"/>
        </xdr:cNvPicPr>
      </xdr:nvPicPr>
      <xdr:blipFill>
        <a:blip xmlns:r="http://schemas.openxmlformats.org/officeDocument/2006/relationships" r:embed="rId1"/>
        <a:stretch>
          <a:fillRect/>
        </a:stretch>
      </xdr:blipFill>
      <xdr:spPr>
        <a:xfrm>
          <a:off x="1489075" y="1492250"/>
          <a:ext cx="2628656" cy="2884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981075</xdr:colOff>
      <xdr:row>1</xdr:row>
      <xdr:rowOff>19049</xdr:rowOff>
    </xdr:from>
    <xdr:to>
      <xdr:col>11</xdr:col>
      <xdr:colOff>400050</xdr:colOff>
      <xdr:row>3</xdr:row>
      <xdr:rowOff>245268</xdr:rowOff>
    </xdr:to>
    <xdr:sp macro="" textlink="">
      <xdr:nvSpPr>
        <xdr:cNvPr id="4" name="TextBox 3">
          <a:extLst>
            <a:ext uri="{FF2B5EF4-FFF2-40B4-BE49-F238E27FC236}">
              <a16:creationId xmlns:a16="http://schemas.microsoft.com/office/drawing/2014/main" id="{2C23DA81-FB55-437E-9302-C2E02213CA4A}"/>
            </a:ext>
          </a:extLst>
        </xdr:cNvPr>
        <xdr:cNvSpPr txBox="1"/>
      </xdr:nvSpPr>
      <xdr:spPr>
        <a:xfrm>
          <a:off x="5267325" y="190499"/>
          <a:ext cx="4152900" cy="1235869"/>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t>Key</a:t>
          </a:r>
          <a:endParaRPr lang="en-US" sz="1000"/>
        </a:p>
        <a:p>
          <a:r>
            <a:rPr lang="en-US" sz="1000"/>
            <a:t>             =  </a:t>
          </a:r>
          <a:r>
            <a:rPr lang="en-US" sz="1000">
              <a:solidFill>
                <a:srgbClr val="FF0000"/>
              </a:solidFill>
            </a:rPr>
            <a:t>Risk</a:t>
          </a:r>
          <a:r>
            <a:rPr lang="en-US" sz="1000"/>
            <a:t>.  </a:t>
          </a:r>
          <a:r>
            <a:rPr lang="en-US" sz="1000" baseline="0"/>
            <a:t>       </a:t>
          </a:r>
          <a:r>
            <a:rPr lang="en-US" sz="1000" i="1"/>
            <a:t>MOE</a:t>
          </a:r>
          <a:r>
            <a:rPr lang="en-US" sz="1000" i="1" baseline="-25000"/>
            <a:t>acute or chronic</a:t>
          </a:r>
          <a:r>
            <a:rPr lang="en-US" sz="1000" i="1" baseline="0"/>
            <a:t> &lt; MOE</a:t>
          </a:r>
          <a:r>
            <a:rPr lang="en-US" sz="1000" i="1" baseline="-25000"/>
            <a:t>benchmark</a:t>
          </a:r>
          <a:endParaRPr lang="en-US" sz="1000" i="0" baseline="0"/>
        </a:p>
        <a:p>
          <a:r>
            <a:rPr lang="en-US" sz="1000" i="0" baseline="0"/>
            <a:t>                                  </a:t>
          </a:r>
          <a:r>
            <a:rPr lang="en-US" sz="1000" i="1" baseline="0"/>
            <a:t>Risk &gt; Benchmark Risk Level</a:t>
          </a:r>
        </a:p>
        <a:p>
          <a:endParaRPr lang="en-US" sz="1000" i="1" baseline="0"/>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mn-lt"/>
              <a:ea typeface="+mn-ea"/>
              <a:cs typeface="+mn-cs"/>
            </a:rPr>
            <a:t>             =  </a:t>
          </a:r>
          <a:r>
            <a:rPr lang="en-US" sz="1000">
              <a:solidFill>
                <a:srgbClr val="339933"/>
              </a:solidFill>
              <a:latin typeface="+mn-lt"/>
              <a:ea typeface="+mn-ea"/>
              <a:cs typeface="+mn-cs"/>
            </a:rPr>
            <a:t>No Risk</a:t>
          </a:r>
          <a:r>
            <a:rPr lang="en-US" sz="1000">
              <a:solidFill>
                <a:schemeClr val="dk1"/>
              </a:solidFill>
              <a:latin typeface="+mn-lt"/>
              <a:ea typeface="+mn-ea"/>
              <a:cs typeface="+mn-cs"/>
            </a:rPr>
            <a:t>.   </a:t>
          </a:r>
          <a:r>
            <a:rPr lang="en-US" sz="1000" i="1">
              <a:solidFill>
                <a:schemeClr val="dk1"/>
              </a:solidFill>
              <a:latin typeface="+mn-lt"/>
              <a:ea typeface="+mn-ea"/>
              <a:cs typeface="+mn-cs"/>
            </a:rPr>
            <a:t>MOE</a:t>
          </a:r>
          <a:r>
            <a:rPr lang="en-US" sz="1000" i="1" baseline="-25000">
              <a:solidFill>
                <a:schemeClr val="dk1"/>
              </a:solidFill>
              <a:latin typeface="+mn-lt"/>
              <a:ea typeface="+mn-ea"/>
              <a:cs typeface="+mn-cs"/>
            </a:rPr>
            <a:t>acute or chronic</a:t>
          </a:r>
          <a:r>
            <a:rPr lang="en-US" sz="1000" i="1" baseline="0">
              <a:solidFill>
                <a:schemeClr val="dk1"/>
              </a:solidFill>
              <a:latin typeface="+mn-lt"/>
              <a:ea typeface="+mn-ea"/>
              <a:cs typeface="+mn-cs"/>
            </a:rPr>
            <a:t> ≥ MOE</a:t>
          </a:r>
          <a:r>
            <a:rPr lang="en-US" sz="1000" i="1" baseline="-25000">
              <a:solidFill>
                <a:schemeClr val="dk1"/>
              </a:solidFill>
              <a:latin typeface="+mn-lt"/>
              <a:ea typeface="+mn-ea"/>
              <a:cs typeface="+mn-cs"/>
            </a:rPr>
            <a:t>benchmark</a:t>
          </a:r>
          <a:endParaRPr lang="en-US" sz="100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i="0" baseline="0">
              <a:solidFill>
                <a:schemeClr val="dk1"/>
              </a:solidFill>
              <a:latin typeface="+mn-lt"/>
              <a:ea typeface="+mn-ea"/>
              <a:cs typeface="+mn-cs"/>
            </a:rPr>
            <a:t>                                  </a:t>
          </a:r>
          <a:r>
            <a:rPr lang="en-US" sz="1000" i="1" baseline="0">
              <a:solidFill>
                <a:schemeClr val="dk1"/>
              </a:solidFill>
              <a:latin typeface="+mn-lt"/>
              <a:ea typeface="+mn-ea"/>
              <a:cs typeface="+mn-cs"/>
            </a:rPr>
            <a:t>Risk ≤ Benchmark Risk Level</a:t>
          </a:r>
          <a:endParaRPr lang="en-US" sz="1000" i="1">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7</xdr:row>
      <xdr:rowOff>171449</xdr:rowOff>
    </xdr:from>
    <xdr:to>
      <xdr:col>4</xdr:col>
      <xdr:colOff>676275</xdr:colOff>
      <xdr:row>12</xdr:row>
      <xdr:rowOff>114300</xdr:rowOff>
    </xdr:to>
    <xdr:sp macro="" textlink="">
      <xdr:nvSpPr>
        <xdr:cNvPr id="3" name="TextBox 2">
          <a:extLst>
            <a:ext uri="{FF2B5EF4-FFF2-40B4-BE49-F238E27FC236}">
              <a16:creationId xmlns:a16="http://schemas.microsoft.com/office/drawing/2014/main" id="{00C24D45-490A-452B-9CC3-B52F76EE2535}"/>
            </a:ext>
          </a:extLst>
        </xdr:cNvPr>
        <xdr:cNvSpPr txBox="1"/>
      </xdr:nvSpPr>
      <xdr:spPr>
        <a:xfrm>
          <a:off x="250825" y="2285999"/>
          <a:ext cx="3702050" cy="1123951"/>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t>Key</a:t>
          </a:r>
          <a:endParaRPr lang="en-US" sz="1000"/>
        </a:p>
        <a:p>
          <a:r>
            <a:rPr lang="en-US" sz="1000"/>
            <a:t>             =  </a:t>
          </a:r>
          <a:r>
            <a:rPr lang="en-US" sz="1000">
              <a:solidFill>
                <a:srgbClr val="FF0000"/>
              </a:solidFill>
            </a:rPr>
            <a:t>Risk</a:t>
          </a:r>
          <a:r>
            <a:rPr lang="en-US" sz="1000"/>
            <a:t>.  </a:t>
          </a:r>
          <a:r>
            <a:rPr lang="en-US" sz="1000" baseline="0"/>
            <a:t>       </a:t>
          </a:r>
          <a:r>
            <a:rPr lang="en-US" sz="1000" i="1"/>
            <a:t>MOE</a:t>
          </a:r>
          <a:r>
            <a:rPr lang="en-US" sz="1000" i="1" baseline="-25000"/>
            <a:t>acute or chronic</a:t>
          </a:r>
          <a:r>
            <a:rPr lang="en-US" sz="1000" i="1" baseline="0"/>
            <a:t> &lt; MOE</a:t>
          </a:r>
          <a:r>
            <a:rPr lang="en-US" sz="1000" i="1" baseline="-25000"/>
            <a:t>benchmark</a:t>
          </a:r>
          <a:endParaRPr lang="en-US" sz="1000" i="0" baseline="0"/>
        </a:p>
        <a:p>
          <a:r>
            <a:rPr lang="en-US" sz="1000" i="0" baseline="0"/>
            <a:t>                                  </a:t>
          </a:r>
          <a:r>
            <a:rPr lang="en-US" sz="1000" i="1" baseline="0"/>
            <a:t>Risk &gt; Benchmark Risk Level</a:t>
          </a:r>
        </a:p>
        <a:p>
          <a:endParaRPr lang="en-US" sz="1000" i="1" baseline="0"/>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mn-lt"/>
              <a:ea typeface="+mn-ea"/>
              <a:cs typeface="+mn-cs"/>
            </a:rPr>
            <a:t>             =  </a:t>
          </a:r>
          <a:r>
            <a:rPr lang="en-US" sz="1000">
              <a:solidFill>
                <a:srgbClr val="339933"/>
              </a:solidFill>
              <a:latin typeface="+mn-lt"/>
              <a:ea typeface="+mn-ea"/>
              <a:cs typeface="+mn-cs"/>
            </a:rPr>
            <a:t>No Risk</a:t>
          </a:r>
          <a:r>
            <a:rPr lang="en-US" sz="1000">
              <a:solidFill>
                <a:schemeClr val="dk1"/>
              </a:solidFill>
              <a:latin typeface="+mn-lt"/>
              <a:ea typeface="+mn-ea"/>
              <a:cs typeface="+mn-cs"/>
            </a:rPr>
            <a:t>.   </a:t>
          </a:r>
          <a:r>
            <a:rPr lang="en-US" sz="1000" i="1">
              <a:solidFill>
                <a:schemeClr val="dk1"/>
              </a:solidFill>
              <a:latin typeface="+mn-lt"/>
              <a:ea typeface="+mn-ea"/>
              <a:cs typeface="+mn-cs"/>
            </a:rPr>
            <a:t>MOE</a:t>
          </a:r>
          <a:r>
            <a:rPr lang="en-US" sz="1000" i="1" baseline="-25000">
              <a:solidFill>
                <a:schemeClr val="dk1"/>
              </a:solidFill>
              <a:latin typeface="+mn-lt"/>
              <a:ea typeface="+mn-ea"/>
              <a:cs typeface="+mn-cs"/>
            </a:rPr>
            <a:t>acute or chronic</a:t>
          </a:r>
          <a:r>
            <a:rPr lang="en-US" sz="1000" i="1" baseline="0">
              <a:solidFill>
                <a:schemeClr val="dk1"/>
              </a:solidFill>
              <a:latin typeface="+mn-lt"/>
              <a:ea typeface="+mn-ea"/>
              <a:cs typeface="+mn-cs"/>
            </a:rPr>
            <a:t> ≥ MOE</a:t>
          </a:r>
          <a:r>
            <a:rPr lang="en-US" sz="1000" i="1" baseline="-25000">
              <a:solidFill>
                <a:schemeClr val="dk1"/>
              </a:solidFill>
              <a:latin typeface="+mn-lt"/>
              <a:ea typeface="+mn-ea"/>
              <a:cs typeface="+mn-cs"/>
            </a:rPr>
            <a:t>benchmark</a:t>
          </a:r>
          <a:endParaRPr lang="en-US" sz="100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i="0" baseline="0">
              <a:solidFill>
                <a:schemeClr val="dk1"/>
              </a:solidFill>
              <a:latin typeface="+mn-lt"/>
              <a:ea typeface="+mn-ea"/>
              <a:cs typeface="+mn-cs"/>
            </a:rPr>
            <a:t>                                  </a:t>
          </a:r>
          <a:r>
            <a:rPr lang="en-US" sz="1000" i="1" baseline="0">
              <a:solidFill>
                <a:schemeClr val="dk1"/>
              </a:solidFill>
              <a:latin typeface="+mn-lt"/>
              <a:ea typeface="+mn-ea"/>
              <a:cs typeface="+mn-cs"/>
            </a:rPr>
            <a:t>Risk ≤ Benchmark Risk Level</a:t>
          </a:r>
          <a:endParaRPr lang="en-US" sz="1000" i="1">
            <a:solidFill>
              <a:schemeClr val="dk1"/>
            </a:solidFill>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401935-84AF-4270-8FB1-5E2E43DBF2D4}" name="Inhalation_Exp" displayName="Inhalation_Exp" ref="A4:Y61" totalsRowShown="0" headerRowDxfId="43" dataDxfId="42">
  <autoFilter ref="A4:Y61" xr:uid="{D8401935-84AF-4270-8FB1-5E2E43DBF2D4}"/>
  <tableColumns count="25">
    <tableColumn id="1" xr3:uid="{8B9E498B-E535-487D-BD43-3A1DC38F8269}" name="Column1" dataDxfId="68"/>
    <tableColumn id="2" xr3:uid="{031D3ED0-7732-4916-93A6-570184F31658}" name="OES Group" dataDxfId="67"/>
    <tableColumn id="3" xr3:uid="{C54AC08B-2171-4932-9675-344FCE6A4CAE}" name="OES" dataDxfId="66"/>
    <tableColumn id="4" xr3:uid="{F737B7D7-234B-4298-9FE4-C56434A78344}" name="Worker Type" dataDxfId="65"/>
    <tableColumn id="5" xr3:uid="{89394E55-C669-41DA-8B58-BEB3216B6932}" name="Vapor Exposure Scenario" dataDxfId="64"/>
    <tableColumn id="6" xr3:uid="{CDFD586A-A503-40F6-B1F2-119C056FF477}" name="ED_High-End" dataDxfId="63"/>
    <tableColumn id="7" xr3:uid="{1E4E25BD-BB7A-4F49-9926-3FF8EB0F649B}" name="ED_Central Tendency" dataDxfId="62"/>
    <tableColumn id="8" xr3:uid="{1F235D25-0699-476A-999A-BAE54EB68501}" name="Vapor_HE" dataDxfId="61"/>
    <tableColumn id="9" xr3:uid="{7CE221CF-6ABC-4C39-BB1F-EE22EB921A7E}" name="Vapor_CT" dataDxfId="60"/>
    <tableColumn id="13" xr3:uid="{F60573C0-8816-4D8B-AE1B-CDFA24581B33}" name="Mist_HE" dataDxfId="59"/>
    <tableColumn id="12" xr3:uid="{22CD3E62-645C-4602-8C5A-55A3A9EA9AC2}" name="Mist_CT" dataDxfId="58"/>
    <tableColumn id="10" xr3:uid="{2D1C3CBB-2959-4240-BE7F-3DA4DB464EB8}" name="Dust_HE" dataDxfId="57"/>
    <tableColumn id="11" xr3:uid="{CF089516-A289-41C8-9217-FC8260BBAEC8}" name="Dust_CT" dataDxfId="56"/>
    <tableColumn id="16" xr3:uid="{E916F888-AA7F-4C27-BA87-D09D08029990}" name="All Routes_HE" dataDxfId="55">
      <calculatedColumnFormula>SUM(Inhalation_Exp[[#This Row],[Vapor_HE]],Inhalation_Exp[[#This Row],[Mist_HE]],Inhalation_Exp[[#This Row],[Dust_HE]])</calculatedColumnFormula>
    </tableColumn>
    <tableColumn id="17" xr3:uid="{77536C0B-DFE3-4DAC-8C03-68DBB20D066E}" name="All Routes_CT" dataDxfId="54">
      <calculatedColumnFormula>SUM(Inhalation_Exp[[#This Row],[Vapor_CT]],Inhalation_Exp[[#This Row],[Mist_CT]],Inhalation_Exp[[#This Row],[Dust_CT]])</calculatedColumnFormula>
    </tableColumn>
    <tableColumn id="14" xr3:uid="{D8D13849-0619-4A64-8E83-8771B61FFED2}" name="24hr_High-End" dataDxfId="53">
      <calculatedColumnFormula>((N5*ED_8)*WorkBreathRate)/IF(Inhalation_Exp[[#This Row],[Worker Type]]="Female of Reproductive Age",BW_F,BW_default)</calculatedColumnFormula>
    </tableColumn>
    <tableColumn id="15" xr3:uid="{59BA6381-8B7F-4F1F-A431-183C58C00B76}" name="24hr_Central Tendency" dataDxfId="52">
      <calculatedColumnFormula>((O5*ED_8)*WorkBreathRate)/IF(Inhalation_Exp[[#This Row],[Worker Type]]="Female of Reproductive Age",BW_F,BW_default)</calculatedColumnFormula>
    </tableColumn>
    <tableColumn id="18" xr3:uid="{34A66C89-4510-4FFE-8377-0BAD909E0C24}" name="Int_High-End" dataDxfId="51">
      <calculatedColumnFormula>IF(EFID&gt;Inhalation_Exp[[#This Row],[ED_High-End]],Inhalation_Exp[[#This Row],[24hr_High-End]]*Inhalation_Exp[[#This Row],[ED_High-End]]/ID,Inhalation_Exp[[#This Row],[24hr_High-End]]*EFID/ID)</calculatedColumnFormula>
    </tableColumn>
    <tableColumn id="19" xr3:uid="{72F83336-E929-4C33-964A-3EB6EB40A105}" name="Int_Central Tendency" dataDxfId="50">
      <calculatedColumnFormula>IF(EFID&gt;Inhalation_Exp[[#This Row],[ED_Central Tendency]],Inhalation_Exp[[#This Row],[24hr_Central Tendency]]*Inhalation_Exp[[#This Row],[ED_Central Tendency]]/ID,Inhalation_Exp[[#This Row],[24hr_Central Tendency]]*EFID/ID)</calculatedColumnFormula>
    </tableColumn>
    <tableColumn id="24" xr3:uid="{2EF85EA6-053F-499C-9BF0-0F5656E94B6D}" name="ADD_High-End" dataDxfId="49">
      <calculatedColumnFormula>P5*F5*WY_high/(WY_high*365)</calculatedColumnFormula>
    </tableColumn>
    <tableColumn id="25" xr3:uid="{36CF039B-AE1A-42DA-856B-8E000BED49A0}" name="ADD_Central Tendency" dataDxfId="48">
      <calculatedColumnFormula>Q5*G5*WY_mid/(WY_mid*365)</calculatedColumnFormula>
    </tableColumn>
    <tableColumn id="20" xr3:uid="{D66C692A-95A3-46A6-B519-23B552732334}" name="Eight-Hour TWA Data Points" dataDxfId="47"/>
    <tableColumn id="21" xr3:uid="{95F01858-982C-4E6C-B071-590CFEA5B034}" name="Total Data Points" dataDxfId="46"/>
    <tableColumn id="22" xr3:uid="{3D024B1C-C570-43E2-A1C7-77868DE73688}" name="Sources &amp; Notes" dataDxfId="45"/>
    <tableColumn id="23" xr3:uid="{14E1BB3A-BA6D-4CB5-8802-3B7332A0EEA5}" name="Data Type" dataDxfId="4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E0F39C-8328-4698-9F18-12CEF82BB456}" name="Dermal_Exp" displayName="Dermal_Exp" ref="A3:O60" totalsRowShown="0" headerRowDxfId="26" dataDxfId="25" tableBorderDxfId="535">
  <autoFilter ref="A3:O60" xr:uid="{4DE0F39C-8328-4698-9F18-12CEF82BB456}"/>
  <tableColumns count="15">
    <tableColumn id="5" xr3:uid="{0201E299-ACE7-41CE-89FF-44176D0FE674}" name="sort" dataDxfId="41"/>
    <tableColumn id="2" xr3:uid="{01B060B3-40B7-4FDE-AA23-E13A2121A0C7}" name="OES" dataDxfId="40"/>
    <tableColumn id="11" xr3:uid="{2F31C538-873A-4287-9C89-B20290605EE9}" name="Worker Type" dataDxfId="39"/>
    <tableColumn id="10" xr3:uid="{116A4532-98BD-4EDF-B594-BE709576A9B6}" name="ED_High-End" dataDxfId="38"/>
    <tableColumn id="9" xr3:uid="{4B7F3F7C-93BF-4171-87B1-BBB8D1899EA6}" name="ED_Central Tendency" dataDxfId="37"/>
    <tableColumn id="15" xr3:uid="{D5F2C512-ABF1-4990-ABF6-B603DED45324}" name="High-End Exposure to Liquid" dataDxfId="36"/>
    <tableColumn id="16" xr3:uid="{25CEE60F-D8F5-45A2-943F-4220A0E42015}" name=" Central Tendency Exposure to Liquids" dataDxfId="35"/>
    <tableColumn id="20" xr3:uid="{2BA6F216-57D1-4D09-9049-9A92FB1E9CDA}" name="High-End Exposure to Solids" dataDxfId="34"/>
    <tableColumn id="21" xr3:uid="{5C6AD12E-AA02-48C2-AE61-DD704BE434EF}" name="Central Tendency  Exposure to Solids" dataDxfId="33"/>
    <tableColumn id="6" xr3:uid="{45D16D1A-3B38-4BFA-A319-40AD303429C3}" name="High-End AD (mg/kg-day)" dataDxfId="32">
      <calculatedColumnFormula>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calculatedColumnFormula>
    </tableColumn>
    <tableColumn id="14" xr3:uid="{1B601C22-CB24-41BB-BD6C-305E4E626652}" name="Central Tendency AD (mg/kg-day)" dataDxfId="31">
      <calculatedColumnFormula>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calculatedColumnFormula>
    </tableColumn>
    <tableColumn id="1" xr3:uid="{14C869CE-3DCC-42FD-B791-771CF8BE7F4A}" name="High-End IADD (mg/kg-day)" dataDxfId="30">
      <calculatedColumnFormula>IFERROR(Dermal_Exp[[#This Row],[High-End AD (mg/kg-day)]]*IF(Dermal_Exp[[#This Row],[ED_High-End]]&gt;EFID,EFID,Dermal_Exp[[#This Row],[ED_High-End]])/ID,"Not Assessed")</calculatedColumnFormula>
    </tableColumn>
    <tableColumn id="17" xr3:uid="{9EFC90CB-A461-4ADE-A8B4-75F6D64EE2CD}" name="Central Tendency IADD (mg/kg-day)" dataDxfId="29">
      <calculatedColumnFormula>IFERROR(Dermal_Exp[[#This Row],[Central Tendency AD (mg/kg-day)]]*IF(Dermal_Exp[[#This Row],[ED_Central Tendency]]&gt;EFID,EFID,Dermal_Exp[[#This Row],[ED_Central Tendency]])/ID,"Not Assessed")</calculatedColumnFormula>
    </tableColumn>
    <tableColumn id="7" xr3:uid="{A473226B-926A-43B0-8063-C950222670D0}" name="High-End ADD (mg/kg-day)" dataDxfId="28">
      <calculatedColumnFormula>IFERROR(Dermal_Exp[[#This Row],[High-End AD (mg/kg-day)]]*Dermal_Exp[[#This Row],[ED_High-End]]*WY_high/(365*WY_high),"Not Assessed")</calculatedColumnFormula>
    </tableColumn>
    <tableColumn id="18" xr3:uid="{04D45394-DB7F-4B02-BB50-A4A68373A612}" name="Central Tendency ADD (mg/kg-day)" dataDxfId="27">
      <calculatedColumnFormula>IFERROR(Dermal_Exp[[#This Row],[Central Tendency AD (mg/kg-day)]]*Dermal_Exp[[#This Row],[ED_Central Tendency]]*WY_mid/(365*WY_mid),"Not Assessed")</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3DC64D-8EB3-4501-870A-D2291E5D1931}" name="Tox_Table" displayName="Tox_Table" ref="B11:L16" totalsRowShown="0" headerRowDxfId="13" dataDxfId="12" headerRowBorderDxfId="534" tableBorderDxfId="533">
  <autoFilter ref="B11:L16" xr:uid="{E33DC64D-8EB3-4501-870A-D2291E5D1931}"/>
  <tableColumns count="11">
    <tableColumn id="1" xr3:uid="{EE67F4A7-6CA6-4037-85CB-90F21462F8D8}" name="Exposure Type" dataDxfId="24"/>
    <tableColumn id="3" xr3:uid="{8043AA1D-35D8-4428-A2DB-4CD78DBBEADD}" name="Health Effect" dataDxfId="23"/>
    <tableColumn id="4" xr3:uid="{3E18B802-0F43-4860-ACE8-BECBFB6A254B}" name="Endpoint" dataDxfId="22"/>
    <tableColumn id="5" xr3:uid="{3832D19D-7F09-45DE-8FF8-E748D2DF228E}" name="Study" dataDxfId="21"/>
    <tableColumn id="6" xr3:uid="{86FA5EF5-8257-4B7D-B67F-81533F26169D}" name="Code" dataDxfId="20"/>
    <tableColumn id="7" xr3:uid="{167C2AF7-F3D6-4569-BA48-0421171478DF}" name="HEC (mg/m3)" dataDxfId="19"/>
    <tableColumn id="8" xr3:uid="{CBBF44F9-78BA-4F5D-B479-0AE98FEBF3BF}" name="HEC (ppm)" dataDxfId="18"/>
    <tableColumn id="9" xr3:uid="{BEF18460-7978-4A17-89D2-4AE396E867BC}" name="HED / POD (mg/kg/day)" dataDxfId="17"/>
    <tableColumn id="10" xr3:uid="{9E0456CF-018C-45C3-867D-D19DEF864DBE}" name="Benchmark MOE" dataDxfId="16"/>
    <tableColumn id="11" xr3:uid="{8A108CB0-4931-41ED-BAFA-789F9D4AC56A}" name="IUR (ppm-1)" dataDxfId="15"/>
    <tableColumn id="12" xr3:uid="{6108CA2F-F7B0-4D12-AEB6-AE3B95A6A2DD}" name="CSF (mg/kg-day-1)" dataDxfId="1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7559093-7373-429C-8127-29E318B09181}" name="AEGL_Table" displayName="AEGL_Table" ref="B5:K7" totalsRowShown="0" headerRowDxfId="1" dataDxfId="0" tableBorderDxfId="532">
  <autoFilter ref="B5:K7" xr:uid="{77559093-7373-429C-8127-29E318B09181}"/>
  <tableColumns count="10">
    <tableColumn id="1" xr3:uid="{E09A7697-B506-4F05-8E1E-79D8EA865ACB}" name="Column1" dataDxfId="11"/>
    <tableColumn id="3" xr3:uid="{C788C624-DA81-49B0-8B69-054D97CFFA8C}" name="Toxicity Endpoint" dataDxfId="10"/>
    <tableColumn id="4" xr3:uid="{F86D2B03-EBA9-4512-9A55-456C97028BF6}" name="Study" dataDxfId="9"/>
    <tableColumn id="5" xr3:uid="{A7D48F76-C8C6-471E-B609-F3652DCF0AFD}" name="Code" dataDxfId="8"/>
    <tableColumn id="6" xr3:uid="{2CD20B61-A298-438F-A315-51319315A567}" name="AEGL-1 HEC (mg/m3)" dataDxfId="7"/>
    <tableColumn id="7" xr3:uid="{A3BEF587-F8BD-49BC-9BAF-C3CEC1AC28A7}" name="AEGL-1 HEC (ppm)" dataDxfId="6"/>
    <tableColumn id="8" xr3:uid="{647F1209-AF4A-4FB1-90F2-7FFB5644970E}" name="AEGL-2 HEC (mg/m3)" dataDxfId="5"/>
    <tableColumn id="9" xr3:uid="{ED1AEC0B-DEA7-433A-BF7A-BC77E3385ED2}" name="AEGL-2 HEC (ppm)" dataDxfId="4"/>
    <tableColumn id="10" xr3:uid="{0C4B6FE2-A202-4184-A282-CFEFF98F5C3C}" name="AEGL-3 HEC (mg/m3)" dataDxfId="3"/>
    <tableColumn id="11" xr3:uid="{3AA98D77-89DB-4638-B474-ADB02DA19559}" name="AEGL-3 HEC (ppm)"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0537-E5C4-4707-A268-AEAA2A512243}">
  <sheetPr codeName="Sheet6">
    <tabColor rgb="FF92D050"/>
  </sheetPr>
  <dimension ref="B1:F21"/>
  <sheetViews>
    <sheetView tabSelected="1" zoomScale="80" zoomScaleNormal="80" workbookViewId="0"/>
  </sheetViews>
  <sheetFormatPr defaultColWidth="9.08984375" defaultRowHeight="14" x14ac:dyDescent="0.3"/>
  <cols>
    <col min="1" max="1" width="13.453125" style="2" customWidth="1"/>
    <col min="2" max="2" width="11.54296875" style="2" customWidth="1"/>
    <col min="3" max="3" width="10.90625" style="2" customWidth="1"/>
    <col min="4" max="4" width="11.453125" style="2" customWidth="1"/>
    <col min="5" max="5" width="11.90625" style="2" customWidth="1"/>
    <col min="6" max="16384" width="9.08984375" style="2"/>
  </cols>
  <sheetData>
    <row r="1" spans="2:6" ht="15.5" x14ac:dyDescent="0.35">
      <c r="B1" s="1" t="s">
        <v>409</v>
      </c>
      <c r="C1" s="1"/>
      <c r="D1" s="1"/>
      <c r="E1" s="1"/>
      <c r="F1" s="1"/>
    </row>
    <row r="2" spans="2:6" ht="15.5" x14ac:dyDescent="0.35">
      <c r="C2" s="3" t="s">
        <v>410</v>
      </c>
      <c r="D2" s="3"/>
      <c r="E2" s="3"/>
    </row>
    <row r="3" spans="2:6" ht="36.75" customHeight="1" x14ac:dyDescent="0.3">
      <c r="B3" s="4" t="s">
        <v>413</v>
      </c>
      <c r="C3" s="4"/>
      <c r="D3" s="4"/>
      <c r="E3" s="4"/>
      <c r="F3" s="4"/>
    </row>
    <row r="4" spans="2:6" ht="30.5" customHeight="1" x14ac:dyDescent="0.3">
      <c r="B4" s="4"/>
      <c r="C4" s="4"/>
      <c r="D4" s="4"/>
      <c r="E4" s="4"/>
      <c r="F4" s="4"/>
    </row>
    <row r="7" spans="2:6" ht="63" customHeight="1" x14ac:dyDescent="0.3">
      <c r="B7" s="4"/>
      <c r="C7" s="4"/>
      <c r="D7" s="4"/>
      <c r="E7" s="4"/>
      <c r="F7" s="4"/>
    </row>
    <row r="9" spans="2:6" ht="20" customHeight="1" x14ac:dyDescent="0.3">
      <c r="B9" s="4" t="s">
        <v>411</v>
      </c>
      <c r="C9" s="4"/>
      <c r="D9" s="4"/>
      <c r="E9" s="4"/>
      <c r="F9" s="4"/>
    </row>
    <row r="11" spans="2:6" ht="17.5" x14ac:dyDescent="0.35">
      <c r="B11" s="5" t="s">
        <v>412</v>
      </c>
      <c r="C11" s="5"/>
      <c r="D11" s="5"/>
      <c r="E11" s="5"/>
      <c r="F11" s="5"/>
    </row>
    <row r="17" spans="2:6" ht="20" customHeight="1" x14ac:dyDescent="0.3">
      <c r="B17" s="4" t="s">
        <v>411</v>
      </c>
      <c r="C17" s="4"/>
      <c r="D17" s="4"/>
      <c r="E17" s="4"/>
      <c r="F17" s="4"/>
    </row>
    <row r="19" spans="2:6" ht="20" x14ac:dyDescent="0.3">
      <c r="B19" s="4" t="s">
        <v>411</v>
      </c>
      <c r="C19" s="4"/>
      <c r="D19" s="4"/>
      <c r="E19" s="4"/>
      <c r="F19" s="4"/>
    </row>
    <row r="21" spans="2:6" ht="17.5" x14ac:dyDescent="0.35">
      <c r="B21" s="5" t="s">
        <v>412</v>
      </c>
      <c r="C21" s="5"/>
      <c r="D21" s="5"/>
      <c r="E21" s="5"/>
      <c r="F21" s="5"/>
    </row>
  </sheetData>
  <sheetProtection sheet="1" objects="1" scenarios="1" formatCells="0" formatColumns="0" formatRows="0" sort="0" autoFilter="0"/>
  <mergeCells count="9">
    <mergeCell ref="B17:F17"/>
    <mergeCell ref="B19:F19"/>
    <mergeCell ref="B21:F21"/>
    <mergeCell ref="B3:F4"/>
    <mergeCell ref="B7:F7"/>
    <mergeCell ref="B9:F9"/>
    <mergeCell ref="B11:F11"/>
    <mergeCell ref="B1:F1"/>
    <mergeCell ref="C2:E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3E7E-60EB-4022-BE19-E14BB305BE60}">
  <sheetPr codeName="Sheet2">
    <tabColor rgb="FF92D050"/>
  </sheetPr>
  <dimension ref="A1:B13"/>
  <sheetViews>
    <sheetView workbookViewId="0"/>
  </sheetViews>
  <sheetFormatPr defaultColWidth="9.08984375" defaultRowHeight="13" x14ac:dyDescent="0.3"/>
  <cols>
    <col min="1" max="1" width="18.08984375" style="8" customWidth="1"/>
    <col min="2" max="2" width="176.90625" style="8" customWidth="1"/>
    <col min="3" max="16384" width="9.08984375" style="8"/>
  </cols>
  <sheetData>
    <row r="1" spans="1:2" ht="15" x14ac:dyDescent="0.3">
      <c r="A1" s="6" t="s">
        <v>0</v>
      </c>
      <c r="B1" s="7"/>
    </row>
    <row r="2" spans="1:2" ht="50.25" customHeight="1" x14ac:dyDescent="0.3">
      <c r="A2" s="9" t="s">
        <v>1</v>
      </c>
      <c r="B2" s="9"/>
    </row>
    <row r="3" spans="1:2" x14ac:dyDescent="0.3">
      <c r="A3" s="7"/>
      <c r="B3" s="7"/>
    </row>
    <row r="4" spans="1:2" x14ac:dyDescent="0.3">
      <c r="A4" s="10" t="s">
        <v>2</v>
      </c>
      <c r="B4" s="10" t="s">
        <v>3</v>
      </c>
    </row>
    <row r="5" spans="1:2" x14ac:dyDescent="0.3">
      <c r="A5" s="10" t="s">
        <v>4</v>
      </c>
      <c r="B5" s="10" t="s">
        <v>405</v>
      </c>
    </row>
    <row r="6" spans="1:2" ht="78" x14ac:dyDescent="0.3">
      <c r="A6" s="10" t="s">
        <v>5</v>
      </c>
      <c r="B6" s="10" t="s">
        <v>406</v>
      </c>
    </row>
    <row r="7" spans="1:2" ht="39" x14ac:dyDescent="0.3">
      <c r="A7" s="10" t="s">
        <v>6</v>
      </c>
      <c r="B7" s="10" t="s">
        <v>407</v>
      </c>
    </row>
    <row r="8" spans="1:2" ht="45.75" customHeight="1" x14ac:dyDescent="0.3">
      <c r="A8" s="10" t="s">
        <v>7</v>
      </c>
      <c r="B8" s="10" t="s">
        <v>408</v>
      </c>
    </row>
    <row r="9" spans="1:2" ht="65" x14ac:dyDescent="0.3">
      <c r="A9" s="10" t="s">
        <v>8</v>
      </c>
      <c r="B9" s="10" t="s">
        <v>9</v>
      </c>
    </row>
    <row r="10" spans="1:2" ht="27" customHeight="1" x14ac:dyDescent="0.3"/>
    <row r="11" spans="1:2" ht="27" customHeight="1" x14ac:dyDescent="0.3"/>
    <row r="12" spans="1:2" ht="27" customHeight="1" x14ac:dyDescent="0.3"/>
    <row r="13" spans="1:2" ht="27" customHeight="1" x14ac:dyDescent="0.3"/>
  </sheetData>
  <sheetProtection sheet="1" objects="1" scenarios="1" formatCells="0" formatColumns="0" formatRows="0" sort="0" autoFilter="0"/>
  <mergeCells count="1">
    <mergeCell ref="A2:B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C1A0-D2AE-4E8C-83FD-637F8818DD82}">
  <sheetPr codeName="Sheet10">
    <tabColor rgb="FF92D050"/>
  </sheetPr>
  <dimension ref="A1:F34"/>
  <sheetViews>
    <sheetView workbookViewId="0"/>
  </sheetViews>
  <sheetFormatPr defaultColWidth="9.08984375" defaultRowHeight="13" x14ac:dyDescent="0.3"/>
  <cols>
    <col min="1" max="1" width="54.08984375" style="8" bestFit="1" customWidth="1"/>
    <col min="2" max="2" width="64.90625" style="8" customWidth="1"/>
    <col min="3" max="3" width="94.90625" style="8" customWidth="1"/>
    <col min="4" max="4" width="29.08984375" style="8" customWidth="1"/>
    <col min="5" max="16384" width="9.08984375" style="8"/>
  </cols>
  <sheetData>
    <row r="1" spans="1:6" ht="15" x14ac:dyDescent="0.3">
      <c r="A1" s="11" t="s">
        <v>10</v>
      </c>
      <c r="B1" s="12"/>
      <c r="C1" s="12"/>
      <c r="D1" s="12"/>
      <c r="E1" s="12"/>
      <c r="F1" s="12"/>
    </row>
    <row r="2" spans="1:6" x14ac:dyDescent="0.3">
      <c r="A2" s="13" t="s">
        <v>11</v>
      </c>
      <c r="B2" s="13" t="s">
        <v>12</v>
      </c>
      <c r="C2" s="13" t="s">
        <v>13</v>
      </c>
      <c r="D2" s="12"/>
      <c r="E2" s="12"/>
      <c r="F2" s="12"/>
    </row>
    <row r="3" spans="1:6" ht="15" x14ac:dyDescent="0.3">
      <c r="A3" s="14" t="s">
        <v>14</v>
      </c>
      <c r="B3" s="14"/>
      <c r="C3" s="14"/>
      <c r="D3" s="12"/>
      <c r="E3" s="12"/>
      <c r="F3" s="12"/>
    </row>
    <row r="4" spans="1:6" ht="41.5" x14ac:dyDescent="0.3">
      <c r="A4" s="15" t="s">
        <v>15</v>
      </c>
      <c r="B4" s="16" t="s">
        <v>16</v>
      </c>
      <c r="C4" s="17" t="s">
        <v>17</v>
      </c>
      <c r="D4" s="12"/>
      <c r="E4" s="12"/>
      <c r="F4" s="12"/>
    </row>
    <row r="5" spans="1:6" ht="117" x14ac:dyDescent="0.3">
      <c r="A5" s="15" t="s">
        <v>18</v>
      </c>
      <c r="B5" s="18" t="s">
        <v>19</v>
      </c>
      <c r="C5" s="17" t="s">
        <v>20</v>
      </c>
      <c r="D5" s="12"/>
      <c r="E5" s="12"/>
      <c r="F5" s="12"/>
    </row>
    <row r="6" spans="1:6" ht="65" x14ac:dyDescent="0.3">
      <c r="A6" s="15" t="s">
        <v>21</v>
      </c>
      <c r="B6" s="18" t="s">
        <v>22</v>
      </c>
      <c r="C6" s="17" t="s">
        <v>23</v>
      </c>
      <c r="D6" s="12"/>
      <c r="E6" s="12"/>
      <c r="F6" s="12"/>
    </row>
    <row r="7" spans="1:6" x14ac:dyDescent="0.3">
      <c r="A7" s="19" t="s">
        <v>24</v>
      </c>
      <c r="B7" s="20"/>
      <c r="C7" s="21"/>
      <c r="D7" s="12"/>
      <c r="E7" s="12"/>
      <c r="F7" s="12"/>
    </row>
    <row r="8" spans="1:6" x14ac:dyDescent="0.3">
      <c r="A8" s="22" t="s">
        <v>25</v>
      </c>
      <c r="B8" s="23" t="s">
        <v>26</v>
      </c>
      <c r="C8" s="24"/>
      <c r="D8" s="12"/>
      <c r="E8" s="12"/>
      <c r="F8" s="12"/>
    </row>
    <row r="9" spans="1:6" x14ac:dyDescent="0.3">
      <c r="A9" s="22" t="s">
        <v>27</v>
      </c>
      <c r="B9" s="23" t="s">
        <v>26</v>
      </c>
      <c r="C9" s="25"/>
      <c r="D9" s="12"/>
      <c r="E9" s="12"/>
      <c r="F9" s="12"/>
    </row>
    <row r="10" spans="1:6" ht="26" x14ac:dyDescent="0.3">
      <c r="A10" s="23" t="s">
        <v>28</v>
      </c>
      <c r="B10" s="23" t="s">
        <v>29</v>
      </c>
      <c r="C10" s="22" t="s">
        <v>30</v>
      </c>
      <c r="D10" s="12"/>
      <c r="E10" s="12"/>
      <c r="F10" s="12"/>
    </row>
    <row r="11" spans="1:6" ht="26" x14ac:dyDescent="0.3">
      <c r="A11" s="23" t="s">
        <v>31</v>
      </c>
      <c r="B11" s="23" t="s">
        <v>32</v>
      </c>
      <c r="C11" s="22" t="s">
        <v>30</v>
      </c>
      <c r="D11" s="12"/>
      <c r="E11" s="12"/>
      <c r="F11" s="12"/>
    </row>
    <row r="12" spans="1:6" ht="26" x14ac:dyDescent="0.3">
      <c r="A12" s="23" t="s">
        <v>33</v>
      </c>
      <c r="B12" s="23" t="s">
        <v>34</v>
      </c>
      <c r="C12" s="22" t="s">
        <v>30</v>
      </c>
      <c r="D12" s="12"/>
      <c r="E12" s="12"/>
      <c r="F12" s="12"/>
    </row>
    <row r="13" spans="1:6" x14ac:dyDescent="0.3">
      <c r="A13" s="14" t="s">
        <v>35</v>
      </c>
      <c r="B13" s="14"/>
      <c r="C13" s="14"/>
      <c r="D13" s="12"/>
      <c r="E13" s="12"/>
      <c r="F13" s="12"/>
    </row>
    <row r="14" spans="1:6" ht="39" x14ac:dyDescent="0.3">
      <c r="A14" s="15" t="s">
        <v>15</v>
      </c>
      <c r="B14" s="23" t="s">
        <v>36</v>
      </c>
      <c r="C14" s="17" t="s">
        <v>37</v>
      </c>
      <c r="D14" s="12"/>
      <c r="E14" s="12"/>
      <c r="F14" s="12"/>
    </row>
    <row r="15" spans="1:6" ht="118" x14ac:dyDescent="0.4">
      <c r="A15" s="15" t="s">
        <v>38</v>
      </c>
      <c r="B15" s="23" t="s">
        <v>39</v>
      </c>
      <c r="C15" s="26" t="s">
        <v>40</v>
      </c>
      <c r="D15" s="12"/>
      <c r="E15" s="12"/>
      <c r="F15" s="12"/>
    </row>
    <row r="16" spans="1:6" ht="52" x14ac:dyDescent="0.3">
      <c r="A16" s="15" t="s">
        <v>21</v>
      </c>
      <c r="B16" s="18" t="s">
        <v>41</v>
      </c>
      <c r="C16" s="17" t="s">
        <v>42</v>
      </c>
      <c r="D16" s="12"/>
      <c r="E16" s="12"/>
      <c r="F16" s="12"/>
    </row>
    <row r="17" spans="1:6" x14ac:dyDescent="0.3">
      <c r="A17" s="19" t="s">
        <v>43</v>
      </c>
      <c r="B17" s="20"/>
      <c r="C17" s="21"/>
      <c r="D17" s="12"/>
      <c r="E17" s="12"/>
      <c r="F17" s="12"/>
    </row>
    <row r="18" spans="1:6" x14ac:dyDescent="0.3">
      <c r="A18" s="22" t="s">
        <v>25</v>
      </c>
      <c r="B18" s="23" t="s">
        <v>26</v>
      </c>
      <c r="C18" s="24"/>
      <c r="D18" s="12"/>
      <c r="E18" s="12"/>
      <c r="F18" s="12"/>
    </row>
    <row r="19" spans="1:6" x14ac:dyDescent="0.3">
      <c r="A19" s="22" t="s">
        <v>27</v>
      </c>
      <c r="B19" s="23" t="s">
        <v>26</v>
      </c>
      <c r="C19" s="25"/>
      <c r="D19" s="12"/>
      <c r="E19" s="12"/>
      <c r="F19" s="12"/>
    </row>
    <row r="20" spans="1:6" ht="26" x14ac:dyDescent="0.3">
      <c r="A20" s="23" t="s">
        <v>28</v>
      </c>
      <c r="B20" s="23" t="s">
        <v>44</v>
      </c>
      <c r="C20" s="22" t="s">
        <v>30</v>
      </c>
      <c r="D20" s="12"/>
      <c r="E20" s="12"/>
      <c r="F20" s="12"/>
    </row>
    <row r="21" spans="1:6" ht="26" x14ac:dyDescent="0.3">
      <c r="A21" s="23" t="s">
        <v>31</v>
      </c>
      <c r="B21" s="23" t="s">
        <v>45</v>
      </c>
      <c r="C21" s="22" t="s">
        <v>30</v>
      </c>
      <c r="D21" s="12"/>
      <c r="E21" s="12"/>
      <c r="F21" s="12"/>
    </row>
    <row r="22" spans="1:6" ht="26" x14ac:dyDescent="0.3">
      <c r="A22" s="23" t="s">
        <v>33</v>
      </c>
      <c r="B22" s="23" t="s">
        <v>46</v>
      </c>
      <c r="C22" s="22" t="s">
        <v>30</v>
      </c>
      <c r="D22" s="12"/>
      <c r="E22" s="12"/>
      <c r="F22" s="12"/>
    </row>
    <row r="23" spans="1:6" x14ac:dyDescent="0.3">
      <c r="A23" s="12"/>
      <c r="B23" s="12"/>
      <c r="C23" s="12"/>
      <c r="D23" s="12"/>
      <c r="E23" s="12"/>
      <c r="F23" s="12"/>
    </row>
    <row r="24" spans="1:6" x14ac:dyDescent="0.3">
      <c r="A24" s="12"/>
      <c r="B24" s="12"/>
      <c r="C24" s="12"/>
      <c r="D24" s="12"/>
      <c r="E24" s="12"/>
      <c r="F24" s="12"/>
    </row>
    <row r="25" spans="1:6" x14ac:dyDescent="0.3">
      <c r="A25" s="12"/>
      <c r="B25" s="12"/>
      <c r="C25" s="12"/>
      <c r="D25" s="12"/>
      <c r="E25" s="12"/>
      <c r="F25" s="12"/>
    </row>
    <row r="26" spans="1:6" x14ac:dyDescent="0.3">
      <c r="A26" s="12"/>
      <c r="B26" s="12"/>
      <c r="C26" s="12"/>
      <c r="D26" s="12"/>
      <c r="E26" s="12"/>
      <c r="F26" s="12"/>
    </row>
    <row r="27" spans="1:6" x14ac:dyDescent="0.3">
      <c r="A27" s="12"/>
      <c r="B27" s="12"/>
      <c r="C27" s="12"/>
      <c r="D27" s="12"/>
      <c r="E27" s="12"/>
      <c r="F27" s="12"/>
    </row>
    <row r="28" spans="1:6" x14ac:dyDescent="0.3">
      <c r="A28" s="12"/>
      <c r="B28" s="12"/>
      <c r="C28" s="12"/>
      <c r="D28" s="12"/>
      <c r="E28" s="12"/>
      <c r="F28" s="12"/>
    </row>
    <row r="29" spans="1:6" x14ac:dyDescent="0.3">
      <c r="A29" s="12"/>
      <c r="B29" s="12"/>
      <c r="C29" s="12"/>
      <c r="D29" s="12"/>
      <c r="E29" s="12"/>
      <c r="F29" s="12"/>
    </row>
    <row r="30" spans="1:6" x14ac:dyDescent="0.3">
      <c r="A30" s="12"/>
      <c r="B30" s="12"/>
      <c r="C30" s="12"/>
      <c r="D30" s="12"/>
      <c r="E30" s="12"/>
      <c r="F30" s="12"/>
    </row>
    <row r="31" spans="1:6" x14ac:dyDescent="0.3">
      <c r="A31" s="12"/>
      <c r="B31" s="12"/>
      <c r="C31" s="12"/>
      <c r="D31" s="12"/>
      <c r="E31" s="12"/>
      <c r="F31" s="12"/>
    </row>
    <row r="32" spans="1:6" x14ac:dyDescent="0.3">
      <c r="A32" s="12"/>
      <c r="B32" s="12"/>
      <c r="C32" s="12"/>
      <c r="D32" s="12"/>
      <c r="E32" s="12"/>
      <c r="F32" s="12"/>
    </row>
    <row r="33" spans="1:6" x14ac:dyDescent="0.3">
      <c r="A33" s="12"/>
      <c r="B33" s="12"/>
      <c r="C33" s="12"/>
      <c r="D33" s="12"/>
      <c r="E33" s="12"/>
      <c r="F33" s="12"/>
    </row>
    <row r="34" spans="1:6" x14ac:dyDescent="0.3">
      <c r="F34" s="12"/>
    </row>
  </sheetData>
  <sheetProtection sheet="1" objects="1" scenarios="1" formatCells="0" formatColumns="0" formatRows="0" sort="0" autoFilter="0"/>
  <mergeCells count="4">
    <mergeCell ref="A3:C3"/>
    <mergeCell ref="A7:C7"/>
    <mergeCell ref="A17:C17"/>
    <mergeCell ref="A13:C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A1:FG83"/>
  <sheetViews>
    <sheetView zoomScale="80" zoomScaleNormal="80" workbookViewId="0"/>
  </sheetViews>
  <sheetFormatPr defaultColWidth="8.90625" defaultRowHeight="13" x14ac:dyDescent="0.35"/>
  <cols>
    <col min="1" max="1" width="4.54296875" style="27" customWidth="1"/>
    <col min="2" max="2" width="5.08984375" style="28" customWidth="1"/>
    <col min="3" max="3" width="28" style="27" customWidth="1"/>
    <col min="4" max="4" width="14" style="28" customWidth="1"/>
    <col min="5" max="5" width="9.6328125" style="27" customWidth="1"/>
    <col min="6" max="6" width="17" style="27" customWidth="1"/>
    <col min="7" max="7" width="15.08984375" style="27" customWidth="1"/>
    <col min="8" max="8" width="19.90625" style="27" bestFit="1" customWidth="1"/>
    <col min="9" max="9" width="18.08984375" style="27" customWidth="1"/>
    <col min="10" max="10" width="3.90625" style="27" customWidth="1"/>
    <col min="11" max="11" width="15" style="27" customWidth="1"/>
    <col min="12" max="12" width="13.36328125" style="27" customWidth="1"/>
    <col min="13" max="13" width="13.54296875" style="27" customWidth="1"/>
    <col min="14" max="14" width="12" style="27" customWidth="1"/>
    <col min="15" max="15" width="14.1796875" style="27" customWidth="1"/>
    <col min="16" max="16" width="11.54296875" style="27" customWidth="1"/>
    <col min="17" max="17" width="11.90625" style="27" customWidth="1"/>
    <col min="18" max="18" width="3.08984375" style="27" customWidth="1"/>
    <col min="19" max="19" width="26.54296875" style="27" customWidth="1"/>
    <col min="20" max="20" width="16.90625" style="27" customWidth="1"/>
    <col min="21" max="21" width="18.90625" style="27" customWidth="1"/>
    <col min="22" max="22" width="22.08984375" style="27" customWidth="1"/>
    <col min="23" max="23" width="25.90625" style="27" bestFit="1" customWidth="1"/>
    <col min="24" max="27" width="20.453125" style="27" customWidth="1"/>
    <col min="28" max="29" width="18.90625" style="27" customWidth="1"/>
    <col min="30" max="30" width="28.453125" style="94" customWidth="1"/>
    <col min="31" max="31" width="26.90625" style="94" customWidth="1"/>
    <col min="32" max="32" width="15.08984375" style="94" customWidth="1"/>
    <col min="33" max="33" width="17.90625" style="94" customWidth="1"/>
    <col min="34" max="34" width="22.453125" style="94" customWidth="1"/>
    <col min="35" max="35" width="21.90625" style="94" customWidth="1"/>
    <col min="36" max="36" width="17.453125" style="94" customWidth="1"/>
    <col min="37" max="37" width="14.54296875" style="27" customWidth="1"/>
    <col min="38" max="38" width="17.08984375" style="27" customWidth="1"/>
    <col min="39" max="39" width="16" style="27" customWidth="1"/>
    <col min="40" max="40" width="24.08984375" style="27" customWidth="1"/>
    <col min="41" max="41" width="15.54296875" style="27" customWidth="1"/>
    <col min="42" max="42" width="14.08984375" style="27" customWidth="1"/>
    <col min="43" max="44" width="8.90625" style="27"/>
    <col min="45" max="45" width="18.453125" style="27" customWidth="1"/>
    <col min="46" max="46" width="15" style="27" customWidth="1"/>
    <col min="47" max="47" width="21.453125" style="27" customWidth="1"/>
    <col min="48" max="48" width="15.453125" style="27" customWidth="1"/>
    <col min="49" max="49" width="16.54296875" style="27" customWidth="1"/>
    <col min="50" max="51" width="8.90625" style="27"/>
    <col min="52" max="52" width="17.90625" style="27" customWidth="1"/>
    <col min="53" max="53" width="14.453125" style="27" customWidth="1"/>
    <col min="54" max="54" width="18.54296875" style="27" customWidth="1"/>
    <col min="55" max="55" width="13.54296875" style="27" customWidth="1"/>
    <col min="56" max="56" width="15.08984375" style="27" customWidth="1"/>
    <col min="57" max="58" width="8.90625" style="27"/>
    <col min="59" max="59" width="16.08984375" style="27" customWidth="1"/>
    <col min="60" max="60" width="12" style="27" customWidth="1"/>
    <col min="61" max="61" width="18" style="27" customWidth="1"/>
    <col min="62" max="62" width="16.08984375" style="27" customWidth="1"/>
    <col min="63" max="63" width="14.08984375" style="27" customWidth="1"/>
    <col min="64" max="64" width="10.08984375" style="27" customWidth="1"/>
    <col min="65" max="16384" width="8.90625" style="27"/>
  </cols>
  <sheetData>
    <row r="1" spans="1:163" ht="13.5" thickBot="1" x14ac:dyDescent="0.4">
      <c r="J1" s="29"/>
      <c r="K1" s="29"/>
      <c r="L1" s="29"/>
      <c r="M1" s="29"/>
      <c r="N1" s="29"/>
      <c r="O1" s="29"/>
      <c r="P1" s="29"/>
      <c r="Q1" s="29"/>
      <c r="AD1" s="27"/>
      <c r="AE1" s="27"/>
      <c r="AF1" s="27"/>
      <c r="AG1" s="27"/>
      <c r="AH1" s="27"/>
      <c r="AI1" s="27"/>
      <c r="AJ1" s="27"/>
    </row>
    <row r="2" spans="1:163" s="29" customFormat="1" ht="14" thickBot="1" x14ac:dyDescent="0.4">
      <c r="B2" s="30"/>
      <c r="C2" s="31" t="s">
        <v>47</v>
      </c>
      <c r="D2" s="32" t="s">
        <v>48</v>
      </c>
      <c r="E2" s="33"/>
      <c r="F2" s="34" t="s">
        <v>49</v>
      </c>
      <c r="G2" s="35"/>
      <c r="H2" s="36" t="s">
        <v>50</v>
      </c>
    </row>
    <row r="3" spans="1:163" s="29" customFormat="1" ht="39" x14ac:dyDescent="0.35">
      <c r="B3" s="30"/>
      <c r="C3" s="37" t="s">
        <v>51</v>
      </c>
      <c r="D3" s="38" t="s">
        <v>52</v>
      </c>
      <c r="E3" s="39"/>
      <c r="F3" s="40" t="s">
        <v>53</v>
      </c>
      <c r="G3" s="41" t="s">
        <v>54</v>
      </c>
      <c r="H3" s="42" t="s">
        <v>55</v>
      </c>
    </row>
    <row r="4" spans="1:163" s="29" customFormat="1" ht="30.75" customHeight="1" x14ac:dyDescent="0.35">
      <c r="B4" s="30"/>
      <c r="C4" s="43" t="s">
        <v>183</v>
      </c>
      <c r="D4" s="44" t="str">
        <f>_xlfn.XLOOKUP($C$4,Inhalation_Exp[OES],Inhalation_Exp[Data Type])</f>
        <v>Modeled Data</v>
      </c>
      <c r="E4" s="45"/>
      <c r="F4" s="46">
        <v>10</v>
      </c>
      <c r="G4" s="47">
        <v>10</v>
      </c>
      <c r="H4" s="48" t="s">
        <v>168</v>
      </c>
    </row>
    <row r="5" spans="1:163" s="29" customFormat="1" x14ac:dyDescent="0.35">
      <c r="B5" s="30"/>
      <c r="C5" s="49"/>
      <c r="D5" s="49"/>
      <c r="E5" s="49"/>
      <c r="H5" s="50"/>
      <c r="I5" s="51"/>
      <c r="L5" s="49"/>
    </row>
    <row r="6" spans="1:163" ht="13.5" x14ac:dyDescent="0.35">
      <c r="A6" s="29"/>
      <c r="C6" s="52" t="s">
        <v>58</v>
      </c>
      <c r="D6" s="30"/>
      <c r="E6" s="50"/>
      <c r="F6" s="50"/>
      <c r="G6" s="50"/>
      <c r="H6" s="50"/>
      <c r="I6" s="50"/>
      <c r="K6" s="52" t="s">
        <v>50</v>
      </c>
      <c r="M6" s="29"/>
      <c r="N6" s="29"/>
      <c r="O6" s="50"/>
      <c r="P6" s="50"/>
      <c r="R6" s="29"/>
      <c r="S6" s="52" t="s">
        <v>59</v>
      </c>
      <c r="T6" s="30"/>
      <c r="U6" s="50"/>
      <c r="V6" s="50"/>
      <c r="W6" s="50"/>
      <c r="X6" s="50"/>
      <c r="Y6" s="29"/>
      <c r="Z6" s="29"/>
      <c r="AA6" s="29"/>
      <c r="AB6" s="29"/>
      <c r="AD6" s="27"/>
      <c r="AE6" s="27"/>
      <c r="AF6" s="27"/>
      <c r="AG6" s="27"/>
      <c r="AH6" s="27"/>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row>
    <row r="7" spans="1:163" ht="13.5" thickBot="1" x14ac:dyDescent="0.4">
      <c r="A7" s="29"/>
      <c r="C7" s="53" t="s">
        <v>60</v>
      </c>
      <c r="G7" s="54"/>
      <c r="H7" s="55"/>
      <c r="I7" s="56"/>
      <c r="K7" s="53" t="s">
        <v>60</v>
      </c>
      <c r="N7" s="57"/>
      <c r="O7" s="50"/>
      <c r="P7" s="50"/>
      <c r="S7" s="53" t="s">
        <v>60</v>
      </c>
      <c r="T7" s="28"/>
      <c r="V7" s="54"/>
      <c r="W7" s="54"/>
      <c r="X7" s="56"/>
      <c r="AD7" s="27"/>
      <c r="AE7" s="27"/>
      <c r="AF7" s="27"/>
      <c r="AG7" s="27"/>
      <c r="AH7" s="27"/>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row>
    <row r="8" spans="1:163" ht="25.5" customHeight="1" x14ac:dyDescent="0.35">
      <c r="A8" s="29"/>
      <c r="C8" s="58" t="s">
        <v>61</v>
      </c>
      <c r="D8" s="59" t="s">
        <v>62</v>
      </c>
      <c r="E8" s="60" t="s">
        <v>63</v>
      </c>
      <c r="F8" s="60" t="s">
        <v>64</v>
      </c>
      <c r="G8" s="60" t="s">
        <v>65</v>
      </c>
      <c r="H8" s="61"/>
      <c r="I8" s="62"/>
      <c r="K8" s="63" t="s">
        <v>61</v>
      </c>
      <c r="L8" s="64" t="s">
        <v>62</v>
      </c>
      <c r="M8" s="60" t="s">
        <v>63</v>
      </c>
      <c r="N8" s="60" t="s">
        <v>64</v>
      </c>
      <c r="O8" s="60" t="s">
        <v>65</v>
      </c>
      <c r="P8" s="61"/>
      <c r="S8" s="58" t="s">
        <v>61</v>
      </c>
      <c r="T8" s="59" t="s">
        <v>62</v>
      </c>
      <c r="U8" s="60" t="s">
        <v>63</v>
      </c>
      <c r="V8" s="60" t="s">
        <v>66</v>
      </c>
      <c r="W8" s="60" t="s">
        <v>65</v>
      </c>
      <c r="X8" s="61"/>
      <c r="Y8" s="62"/>
      <c r="Z8" s="62"/>
      <c r="AA8" s="62"/>
      <c r="AB8" s="62"/>
      <c r="AC8" s="62"/>
      <c r="AD8" s="27"/>
      <c r="AE8" s="27"/>
      <c r="AF8" s="27"/>
      <c r="AG8" s="27"/>
      <c r="AH8" s="27"/>
      <c r="AI8" s="27"/>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row>
    <row r="9" spans="1:163" ht="27.75" customHeight="1" thickBot="1" x14ac:dyDescent="0.4">
      <c r="A9" s="29"/>
      <c r="C9" s="65"/>
      <c r="D9" s="66"/>
      <c r="E9" s="67" t="s">
        <v>67</v>
      </c>
      <c r="F9" s="67" t="s">
        <v>68</v>
      </c>
      <c r="G9" s="67" t="s">
        <v>69</v>
      </c>
      <c r="H9" s="61"/>
      <c r="I9" s="62"/>
      <c r="K9" s="68"/>
      <c r="L9" s="69"/>
      <c r="M9" s="70" t="s">
        <v>67</v>
      </c>
      <c r="N9" s="70" t="s">
        <v>68</v>
      </c>
      <c r="O9" s="70" t="s">
        <v>70</v>
      </c>
      <c r="P9" s="61"/>
      <c r="S9" s="65"/>
      <c r="T9" s="66"/>
      <c r="U9" s="70" t="s">
        <v>71</v>
      </c>
      <c r="V9" s="70" t="s">
        <v>68</v>
      </c>
      <c r="W9" s="70" t="s">
        <v>69</v>
      </c>
      <c r="X9" s="61"/>
      <c r="Y9" s="62"/>
      <c r="Z9" s="62"/>
      <c r="AA9" s="62"/>
      <c r="AB9" s="62"/>
      <c r="AC9" s="62"/>
      <c r="AD9" s="27"/>
      <c r="AE9" s="27"/>
      <c r="AF9" s="27"/>
      <c r="AG9" s="27"/>
      <c r="AH9" s="27"/>
      <c r="AI9" s="27"/>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row>
    <row r="10" spans="1:163" ht="15" customHeight="1" thickBot="1" x14ac:dyDescent="0.4">
      <c r="A10" s="29"/>
      <c r="C10" s="71" t="str">
        <f>$H$4</f>
        <v>Female of Reproductive Age</v>
      </c>
      <c r="D10" s="72" t="s">
        <v>72</v>
      </c>
      <c r="E10" s="73">
        <f>SUMIFS(Inhalation_Exp[24hr_High-End],Inhalation_Exp[OES],$C$4,Inhalation_Exp[Worker Type],$C10,Inhalation_Exp[Data Type],$D$4)</f>
        <v>4.9706593027269576E-2</v>
      </c>
      <c r="F10" s="74">
        <f>SUMIFS(Inhalation_Exp[Int_High-End],Inhalation_Exp[OES],$C$4,Inhalation_Exp[Worker Type],$C10,Inhalation_Exp[Data Type],$D$4)</f>
        <v>3.6451501553331017E-2</v>
      </c>
      <c r="G10" s="74">
        <f>SUMIFS(Inhalation_Exp[ADD_High-End],Inhalation_Exp[OES],$C$4,Inhalation_Exp[Worker Type],$C10,Inhalation_Exp[Data Type],$D$4)</f>
        <v>3.4045611662513409E-2</v>
      </c>
      <c r="H10" s="75"/>
      <c r="I10" s="76"/>
      <c r="K10" s="71" t="str">
        <f>$H$4</f>
        <v>Female of Reproductive Age</v>
      </c>
      <c r="L10" s="77" t="s">
        <v>72</v>
      </c>
      <c r="M10" s="74">
        <f>SUMIFS(Dermal_Exp[High-End AD (mg/kg-day)],Dermal_Exp[Worker Type],Dashboard!$K$10,Dermal_Exp[OES],Dashboard!$C$4)</f>
        <v>6.8816016568864326E-3</v>
      </c>
      <c r="N10" s="74">
        <f>SUMIFS(Dermal_Exp[High-End IADD (mg/kg-day)],Dermal_Exp[Worker Type],Dashboard!$K$10,Dermal_Exp[OES],Dashboard!$C$4)</f>
        <v>5.0465078817167174E-3</v>
      </c>
      <c r="O10" s="74">
        <f>SUMIFS(Dermal_Exp[High-End ADD (mg/kg-day)],Dermal_Exp[Worker Type],Dashboard!$K$10,Dermal_Exp[OES],Dashboard!$C$4)</f>
        <v>4.713425792387968E-3</v>
      </c>
      <c r="P10" s="75"/>
      <c r="S10" s="71" t="str">
        <f>$H$4</f>
        <v>Female of Reproductive Age</v>
      </c>
      <c r="T10" s="77" t="s">
        <v>72</v>
      </c>
      <c r="U10" s="78">
        <f>E10+M10</f>
        <v>5.6588194684156011E-2</v>
      </c>
      <c r="V10" s="78">
        <f t="shared" ref="V10:W13" si="0">F10+N10</f>
        <v>4.1498009435047736E-2</v>
      </c>
      <c r="W10" s="78">
        <f t="shared" si="0"/>
        <v>3.8759037454901377E-2</v>
      </c>
      <c r="X10" s="75"/>
      <c r="Y10" s="76"/>
      <c r="Z10" s="76"/>
      <c r="AA10" s="76"/>
      <c r="AB10" s="76"/>
      <c r="AC10" s="76"/>
      <c r="AD10" s="27"/>
      <c r="AE10" s="27"/>
      <c r="AF10" s="27"/>
      <c r="AG10" s="27"/>
      <c r="AH10" s="27"/>
      <c r="AI10" s="27"/>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row>
    <row r="11" spans="1:163" ht="15.75" customHeight="1" thickBot="1" x14ac:dyDescent="0.4">
      <c r="A11" s="29"/>
      <c r="C11" s="79"/>
      <c r="D11" s="80" t="s">
        <v>73</v>
      </c>
      <c r="E11" s="81">
        <f>SUMIFS(Inhalation_Exp[24hr_Central Tendency],Inhalation_Exp[OES],$C$4,Inhalation_Exp[Worker Type],$C10,Inhalation_Exp[Data Type],$D$4)</f>
        <v>5.5229547808077319E-3</v>
      </c>
      <c r="F11" s="82">
        <f>SUMIFS(Inhalation_Exp[Int_Central Tendency],Inhalation_Exp[OES],$C$4,Inhalation_Exp[Worker Type],$C10,Inhalation_Exp[Data Type],$D$4)</f>
        <v>4.0501668392590034E-3</v>
      </c>
      <c r="G11" s="82">
        <f>SUMIFS(Inhalation_Exp[ADD_Central Tendency],Inhalation_Exp[OES],$C$4,Inhalation_Exp[Worker Type],$C10,Inhalation_Exp[Data Type],$D$4)</f>
        <v>3.7828457402792684E-3</v>
      </c>
      <c r="H11" s="75"/>
      <c r="I11" s="76"/>
      <c r="K11" s="79"/>
      <c r="L11" s="83" t="s">
        <v>73</v>
      </c>
      <c r="M11" s="74">
        <f>SUMIFS(Dermal_Exp[Central Tendency AD (mg/kg-day)],Dermal_Exp[Worker Type],Dashboard!$K$10,Dermal_Exp[OES],Dashboard!$C$4)</f>
        <v>3.4408008284432163E-3</v>
      </c>
      <c r="N11" s="74">
        <f>SUMIFS(Dermal_Exp[Central Tendency IADD (mg/kg-day)],Dermal_Exp[Worker Type],Dashboard!$K$10,Dermal_Exp[OES],Dashboard!$C$4)</f>
        <v>2.5232539408583587E-3</v>
      </c>
      <c r="O11" s="74">
        <f>SUMIFS(Dermal_Exp[Central Tendency ADD (mg/kg-day)],Dermal_Exp[Worker Type],Dashboard!$K$10,Dermal_Exp[OES],Dashboard!$C$4)</f>
        <v>2.3567128961939836E-3</v>
      </c>
      <c r="P11" s="75"/>
      <c r="S11" s="79"/>
      <c r="T11" s="83" t="s">
        <v>73</v>
      </c>
      <c r="U11" s="78">
        <f t="shared" ref="U11:U13" si="1">E11+M11</f>
        <v>8.9637556092509486E-3</v>
      </c>
      <c r="V11" s="78">
        <f t="shared" si="0"/>
        <v>6.5734207801173622E-3</v>
      </c>
      <c r="W11" s="78">
        <f t="shared" si="0"/>
        <v>6.1395586364732524E-3</v>
      </c>
      <c r="X11" s="75"/>
      <c r="Y11" s="76"/>
      <c r="Z11" s="76"/>
      <c r="AA11" s="76"/>
      <c r="AB11" s="76"/>
      <c r="AC11" s="76"/>
      <c r="AD11" s="27"/>
      <c r="AE11" s="27"/>
      <c r="AF11" s="27"/>
      <c r="AG11" s="27"/>
      <c r="AH11" s="27"/>
      <c r="AI11" s="27"/>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row>
    <row r="12" spans="1:163" ht="15" customHeight="1" thickBot="1" x14ac:dyDescent="0.4">
      <c r="A12" s="29"/>
      <c r="C12" s="84" t="s">
        <v>74</v>
      </c>
      <c r="D12" s="85" t="s">
        <v>72</v>
      </c>
      <c r="E12" s="86">
        <f>SUMIFS(Inhalation_Exp[24hr_High-End],Inhalation_Exp[OES],$C$4,Inhalation_Exp[Worker Type],$C12,Inhalation_Exp[Data Type],$D$4)</f>
        <v>5.0000000000000001E-3</v>
      </c>
      <c r="F12" s="78">
        <f>SUMIFS(Inhalation_Exp[Int_High-End],Inhalation_Exp[OES],$C$4,Inhalation_Exp[Worker Type],$C12,Inhalation_Exp[Data Type],$D$4)</f>
        <v>3.6666666666666666E-3</v>
      </c>
      <c r="G12" s="78">
        <f>SUMIFS(Inhalation_Exp[ADD_High-End],Inhalation_Exp[OES],$C$4,Inhalation_Exp[Worker Type],$C12,Inhalation_Exp[Data Type],$D$4)</f>
        <v>3.4246575342465752E-3</v>
      </c>
      <c r="H12" s="75"/>
      <c r="I12" s="76"/>
      <c r="K12" s="84" t="s">
        <v>74</v>
      </c>
      <c r="L12" s="87" t="s">
        <v>72</v>
      </c>
      <c r="M12" s="74">
        <f>SUMIFS(Dermal_Exp[High-End AD (mg/kg-day)],Dermal_Exp[Worker Type],Dashboard!$K$12,Dermal_Exp[OES],Dashboard!$C$4)</f>
        <v>3.7449999999999996E-3</v>
      </c>
      <c r="N12" s="74">
        <f>SUMIFS(Dermal_Exp[High-End IADD (mg/kg-day)],Dermal_Exp[Worker Type],Dashboard!$K$12,Dermal_Exp[OES],Dashboard!$C$4)</f>
        <v>2.7463333333333328E-3</v>
      </c>
      <c r="O12" s="74">
        <f>SUMIFS(Dermal_Exp[High-End ADD (mg/kg-day)],Dermal_Exp[Worker Type],Dashboard!$K$12,Dermal_Exp[OES],Dashboard!$C$4)</f>
        <v>2.5650684931506846E-3</v>
      </c>
      <c r="P12" s="75"/>
      <c r="S12" s="84" t="s">
        <v>74</v>
      </c>
      <c r="T12" s="87" t="s">
        <v>72</v>
      </c>
      <c r="U12" s="78">
        <f t="shared" si="1"/>
        <v>8.7449999999999993E-3</v>
      </c>
      <c r="V12" s="78">
        <f t="shared" si="0"/>
        <v>6.4129999999999994E-3</v>
      </c>
      <c r="W12" s="78">
        <f t="shared" si="0"/>
        <v>5.9897260273972597E-3</v>
      </c>
      <c r="X12" s="75"/>
      <c r="Y12" s="76"/>
      <c r="Z12" s="76"/>
      <c r="AA12" s="76"/>
      <c r="AB12" s="76"/>
      <c r="AC12" s="76"/>
      <c r="AD12" s="27"/>
      <c r="AE12" s="27"/>
      <c r="AF12" s="27"/>
      <c r="AG12" s="27"/>
      <c r="AH12" s="27"/>
      <c r="AI12" s="27"/>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row>
    <row r="13" spans="1:163" ht="15.75" customHeight="1" thickBot="1" x14ac:dyDescent="0.4">
      <c r="A13" s="29"/>
      <c r="C13" s="88"/>
      <c r="D13" s="85" t="s">
        <v>73</v>
      </c>
      <c r="E13" s="89">
        <f>SUMIFS(Inhalation_Exp[24hr_Central Tendency],Inhalation_Exp[OES],$C$4,Inhalation_Exp[Worker Type],$C12,Inhalation_Exp[Data Type],$D$4)</f>
        <v>5.0000000000000001E-3</v>
      </c>
      <c r="F13" s="90">
        <f>SUMIFS(Inhalation_Exp[Int_Central Tendency],Inhalation_Exp[OES],$C$4,Inhalation_Exp[Worker Type],$C12,Inhalation_Exp[Data Type],$D$4)</f>
        <v>3.6666666666666666E-3</v>
      </c>
      <c r="G13" s="90">
        <f>SUMIFS(Inhalation_Exp[ADD_Central Tendency],Inhalation_Exp[OES],$C$4,Inhalation_Exp[Worker Type],$C12,Inhalation_Exp[Data Type],$D$4)</f>
        <v>3.4246575342465752E-3</v>
      </c>
      <c r="H13" s="75"/>
      <c r="I13" s="76"/>
      <c r="K13" s="88"/>
      <c r="L13" s="87" t="s">
        <v>73</v>
      </c>
      <c r="M13" s="91">
        <f>SUMIFS(Dermal_Exp[Central Tendency AD (mg/kg-day)],Dermal_Exp[Worker Type],Dashboard!$K$12,Dermal_Exp[OES],Dashboard!$C$4)</f>
        <v>1.8724999999999998E-3</v>
      </c>
      <c r="N13" s="91">
        <f>SUMIFS(Dermal_Exp[Central Tendency IADD (mg/kg-day)],Dermal_Exp[Worker Type],Dashboard!$K$12,Dermal_Exp[OES],Dashboard!$C$4)</f>
        <v>1.3731666666666664E-3</v>
      </c>
      <c r="O13" s="91">
        <f>SUMIFS(Dermal_Exp[Central Tendency ADD (mg/kg-day)],Dermal_Exp[Worker Type],Dashboard!$K$12,Dermal_Exp[OES],Dashboard!$C$4)</f>
        <v>1.2825342465753423E-3</v>
      </c>
      <c r="P13" s="75"/>
      <c r="Q13" s="92"/>
      <c r="S13" s="88"/>
      <c r="T13" s="87" t="s">
        <v>73</v>
      </c>
      <c r="U13" s="78">
        <f t="shared" si="1"/>
        <v>6.8725000000000001E-3</v>
      </c>
      <c r="V13" s="78">
        <f t="shared" si="0"/>
        <v>5.0398333333333328E-3</v>
      </c>
      <c r="W13" s="78">
        <f t="shared" si="0"/>
        <v>4.707191780821917E-3</v>
      </c>
      <c r="X13" s="75"/>
      <c r="Y13" s="76"/>
      <c r="Z13" s="76"/>
      <c r="AA13" s="76"/>
      <c r="AB13" s="76"/>
      <c r="AC13" s="76"/>
      <c r="AD13" s="27"/>
      <c r="AE13" s="27"/>
      <c r="AF13" s="27"/>
      <c r="AG13" s="27"/>
      <c r="AH13" s="27"/>
      <c r="AI13" s="27"/>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row>
    <row r="14" spans="1:163" s="94" customFormat="1" x14ac:dyDescent="0.35">
      <c r="A14" s="29"/>
      <c r="B14" s="27"/>
      <c r="C14" s="93"/>
      <c r="D14" s="93"/>
      <c r="F14" s="62"/>
      <c r="G14" s="62"/>
      <c r="H14" s="62"/>
      <c r="I14" s="51"/>
      <c r="J14" s="27"/>
      <c r="K14" s="28"/>
      <c r="L14" s="28"/>
      <c r="M14" s="95"/>
      <c r="N14" s="95"/>
      <c r="O14" s="95"/>
      <c r="P14" s="95"/>
      <c r="Q14" s="95"/>
      <c r="R14" s="29"/>
      <c r="S14" s="29"/>
      <c r="T14" s="29"/>
      <c r="U14" s="29"/>
      <c r="V14" s="29"/>
      <c r="W14" s="29"/>
      <c r="X14" s="29"/>
      <c r="Y14" s="29"/>
      <c r="Z14" s="29"/>
      <c r="AA14" s="29"/>
      <c r="AB14" s="29"/>
      <c r="AC14" s="27"/>
      <c r="AD14" s="27"/>
      <c r="AE14" s="27"/>
      <c r="AF14" s="27"/>
      <c r="AG14" s="27"/>
      <c r="AH14" s="27"/>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row>
    <row r="15" spans="1:163" s="30" customFormat="1" ht="30" customHeight="1" thickBot="1" x14ac:dyDescent="0.4">
      <c r="A15" s="29"/>
      <c r="C15" s="96" t="s">
        <v>75</v>
      </c>
      <c r="D15" s="49"/>
      <c r="E15" s="50"/>
      <c r="F15" s="29"/>
      <c r="G15" s="49"/>
      <c r="H15" s="29"/>
      <c r="I15" s="29"/>
      <c r="J15" s="29"/>
      <c r="K15" s="97" t="s">
        <v>76</v>
      </c>
      <c r="L15" s="97"/>
      <c r="M15" s="97"/>
      <c r="N15" s="98"/>
      <c r="O15" s="29"/>
      <c r="P15" s="29"/>
      <c r="Q15" s="29"/>
      <c r="R15" s="27"/>
      <c r="S15" s="97" t="s">
        <v>77</v>
      </c>
      <c r="T15" s="97"/>
      <c r="U15" s="97"/>
      <c r="V15" s="98"/>
      <c r="W15" s="29"/>
      <c r="X15" s="29"/>
      <c r="Y15" s="29"/>
      <c r="Z15" s="29"/>
      <c r="AA15" s="29"/>
      <c r="AB15" s="29"/>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9"/>
      <c r="BN15" s="29"/>
      <c r="BO15" s="29"/>
      <c r="BP15" s="29"/>
      <c r="BQ15" s="27"/>
      <c r="BR15" s="27"/>
      <c r="BS15" s="27"/>
      <c r="BT15" s="27"/>
      <c r="BU15" s="27"/>
      <c r="BV15" s="27"/>
      <c r="BW15" s="27"/>
      <c r="BX15" s="27"/>
      <c r="BY15" s="27"/>
    </row>
    <row r="16" spans="1:163" s="30" customFormat="1" ht="51.65" customHeight="1" x14ac:dyDescent="0.35">
      <c r="A16" s="29"/>
      <c r="C16" s="99" t="s">
        <v>78</v>
      </c>
      <c r="D16" s="100" t="s">
        <v>79</v>
      </c>
      <c r="E16" s="101" t="s">
        <v>62</v>
      </c>
      <c r="F16" s="38" t="s">
        <v>80</v>
      </c>
      <c r="G16" s="100" t="s">
        <v>81</v>
      </c>
      <c r="H16" s="100"/>
      <c r="I16" s="102" t="str">
        <f>_xlfn.CONCAT("Respirator Scenario: APF of ",$F$4)</f>
        <v>Respirator Scenario: APF of 10</v>
      </c>
      <c r="J16" s="62"/>
      <c r="K16" s="99" t="s">
        <v>78</v>
      </c>
      <c r="L16" s="100" t="s">
        <v>79</v>
      </c>
      <c r="M16" s="101" t="s">
        <v>62</v>
      </c>
      <c r="N16" s="38" t="s">
        <v>80</v>
      </c>
      <c r="O16" s="38" t="s">
        <v>81</v>
      </c>
      <c r="P16" s="103"/>
      <c r="Q16" s="102" t="s">
        <v>82</v>
      </c>
      <c r="R16" s="27"/>
      <c r="S16" s="104" t="s">
        <v>78</v>
      </c>
      <c r="T16" s="59" t="s">
        <v>79</v>
      </c>
      <c r="U16" s="101" t="s">
        <v>62</v>
      </c>
      <c r="V16" s="59" t="s">
        <v>80</v>
      </c>
      <c r="W16" s="100" t="s">
        <v>81</v>
      </c>
      <c r="X16" s="100"/>
      <c r="Y16" s="105" t="str">
        <f>_xlfn.CONCAT("Respirator-Only Scenario: APF of ",$F$4)</f>
        <v>Respirator-Only Scenario: APF of 10</v>
      </c>
      <c r="Z16" s="106" t="str">
        <f>_xlfn.CONCAT("Gloved-only Scenario: APF of ",$G$4)</f>
        <v>Gloved-only Scenario: APF of 10</v>
      </c>
      <c r="AA16" s="107" t="s">
        <v>83</v>
      </c>
      <c r="AB16" s="62"/>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row>
    <row r="17" spans="1:77" s="30" customFormat="1" ht="41" customHeight="1" thickBot="1" x14ac:dyDescent="0.4">
      <c r="A17" s="29"/>
      <c r="C17" s="108"/>
      <c r="D17" s="109"/>
      <c r="E17" s="110"/>
      <c r="F17" s="111"/>
      <c r="G17" s="70" t="s">
        <v>84</v>
      </c>
      <c r="H17" s="70" t="s">
        <v>85</v>
      </c>
      <c r="I17" s="112" t="s">
        <v>84</v>
      </c>
      <c r="J17" s="62"/>
      <c r="K17" s="108"/>
      <c r="L17" s="109"/>
      <c r="M17" s="110"/>
      <c r="N17" s="111"/>
      <c r="O17" s="70" t="s">
        <v>86</v>
      </c>
      <c r="P17" s="70" t="s">
        <v>87</v>
      </c>
      <c r="Q17" s="113" t="str">
        <f>_xlfn.CONCAT("Worker MOE with Gloves: ",$G$4)</f>
        <v>Worker MOE with Gloves: 10</v>
      </c>
      <c r="R17" s="27"/>
      <c r="S17" s="114"/>
      <c r="T17" s="66"/>
      <c r="U17" s="110"/>
      <c r="V17" s="66"/>
      <c r="W17" s="70" t="s">
        <v>84</v>
      </c>
      <c r="X17" s="70" t="s">
        <v>85</v>
      </c>
      <c r="Y17" s="70" t="s">
        <v>84</v>
      </c>
      <c r="Z17" s="70" t="s">
        <v>84</v>
      </c>
      <c r="AA17" s="112" t="s">
        <v>84</v>
      </c>
      <c r="AB17" s="62"/>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row>
    <row r="18" spans="1:77" s="30" customFormat="1" ht="34.5" customHeight="1" x14ac:dyDescent="0.35">
      <c r="A18" s="29"/>
      <c r="B18" s="30" t="s">
        <v>88</v>
      </c>
      <c r="C18" s="115" t="str">
        <f>_xlfn.CONCAT(_xlfn.XLOOKUP($B18,Tox_Table[Code],Tox_Table[Health Effect],"",0,1),"
",_xlfn.XLOOKUP($B18,Tox_Table[Code],Tox_Table[Endpoint],"",0,1),"
",_xlfn.XLOOKUP($B18,Tox_Table[Code],Tox_Table[Study],"",0,1))</f>
        <v xml:space="preserve">Phthalate syndrome-related effects
</v>
      </c>
      <c r="D18" s="116">
        <f>_xlfn.XLOOKUP($B18, Tox_Table[Code],Tox_Table[HED / POD (mg/kg/day)], FALSE)</f>
        <v>5.7</v>
      </c>
      <c r="E18" s="117" t="s">
        <v>72</v>
      </c>
      <c r="F18" s="118">
        <f>_xlfn.XLOOKUP($B18,Tox_Table[Code],Tox_Table[Benchmark MOE])</f>
        <v>30</v>
      </c>
      <c r="G18" s="119">
        <f>IFERROR(D18/$E$10, "")</f>
        <v>114.67291666666671</v>
      </c>
      <c r="H18" s="120">
        <f>IFERROR(D18/$E$12, "")</f>
        <v>1140</v>
      </c>
      <c r="I18" s="121">
        <f>IFERROR(G18*$F$4,"")</f>
        <v>1146.729166666667</v>
      </c>
      <c r="J18" s="62"/>
      <c r="K18" s="115" t="str">
        <f>_xlfn.CONCAT(_xlfn.XLOOKUP($B18,Tox_Table[Code],Tox_Table[Health Effect],"",0,1),"
",_xlfn.XLOOKUP($B18,Tox_Table[Code],Tox_Table[Endpoint],"",0,1),"
",_xlfn.XLOOKUP($B18,Tox_Table[Code],Tox_Table[Study],"",0,1))</f>
        <v xml:space="preserve">Phthalate syndrome-related effects
</v>
      </c>
      <c r="L18" s="116">
        <f>_xlfn.XLOOKUP($B18, Tox_Table[Code],Tox_Table[HED / POD (mg/kg/day)], FALSE)</f>
        <v>5.7</v>
      </c>
      <c r="M18" s="117" t="s">
        <v>72</v>
      </c>
      <c r="N18" s="118">
        <f>_xlfn.XLOOKUP($B18,Tox_Table[Code],Tox_Table[Benchmark MOE])</f>
        <v>30</v>
      </c>
      <c r="O18" s="122">
        <f>IFERROR(L18/$M$10, "")</f>
        <v>828.29554574638871</v>
      </c>
      <c r="P18" s="122">
        <f>IFERROR(L18/$M$12, "")</f>
        <v>1522.0293724966625</v>
      </c>
      <c r="Q18" s="121">
        <f>IFERROR(L18/($M$10/$G$4), "")</f>
        <v>8282.955457463886</v>
      </c>
      <c r="R18" s="27"/>
      <c r="S18" s="123" t="str">
        <f>_xlfn.CONCAT(_xlfn.XLOOKUP($B18,Tox_Table[Code],Tox_Table[Health Effect],"",0,1),"
",_xlfn.XLOOKUP($B18,Tox_Table[Code],Tox_Table[Endpoint],"",0,1),"
",_xlfn.XLOOKUP($B18,Tox_Table[Code],Tox_Table[Study],"",0,1))</f>
        <v xml:space="preserve">Phthalate syndrome-related effects
</v>
      </c>
      <c r="T18" s="124">
        <f>_xlfn.XLOOKUP($B18, Tox_Table[Code],Tox_Table[HED / POD (mg/kg/day)], FALSE)</f>
        <v>5.7</v>
      </c>
      <c r="U18" s="117" t="s">
        <v>72</v>
      </c>
      <c r="V18" s="118">
        <f>_xlfn.XLOOKUP($B18,Tox_Table[Code],Tox_Table[Benchmark MOE])</f>
        <v>30</v>
      </c>
      <c r="W18" s="119">
        <f>IFERROR(T18/$U$10, "")</f>
        <v>100.72772301385909</v>
      </c>
      <c r="X18" s="120">
        <f>IFERROR(T18/$U$12, "")</f>
        <v>651.80102915951977</v>
      </c>
      <c r="Y18" s="120">
        <f>IFERROR($T18/((E$10/$F$4)+M$10),"")</f>
        <v>480.92089934762362</v>
      </c>
      <c r="Z18" s="120">
        <f>IFERROR(T18/((E$10)+M$10/$G$4),"")</f>
        <v>113.10701291015499</v>
      </c>
      <c r="AA18" s="125">
        <f>IFERROR(T18/((E$10/$F$4)+M$10/$G$4),"")</f>
        <v>1007.2772301385909</v>
      </c>
      <c r="AB18" s="62"/>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row>
    <row r="19" spans="1:77" s="30" customFormat="1" ht="34.5" customHeight="1" thickBot="1" x14ac:dyDescent="0.4">
      <c r="A19" s="29"/>
      <c r="B19" s="30" t="s">
        <v>88</v>
      </c>
      <c r="C19" s="126"/>
      <c r="D19" s="127"/>
      <c r="E19" s="128" t="s">
        <v>73</v>
      </c>
      <c r="F19" s="129">
        <f>_xlfn.XLOOKUP($B19,Tox_Table[Code],Tox_Table[Benchmark MOE])</f>
        <v>30</v>
      </c>
      <c r="G19" s="130">
        <f>IFERROR(D18/$E$11, "")</f>
        <v>1032.0562500000001</v>
      </c>
      <c r="H19" s="131">
        <f>IFERROR(D18/$E$13, "")</f>
        <v>1140</v>
      </c>
      <c r="I19" s="132">
        <f>IFERROR(G19*$F$4,"")</f>
        <v>10320.5625</v>
      </c>
      <c r="J19" s="62"/>
      <c r="K19" s="126"/>
      <c r="L19" s="127"/>
      <c r="M19" s="128" t="s">
        <v>73</v>
      </c>
      <c r="N19" s="129">
        <f>_xlfn.XLOOKUP($B19,Tox_Table[Code],Tox_Table[Benchmark MOE])</f>
        <v>30</v>
      </c>
      <c r="O19" s="133">
        <f>IFERROR(L18/$M$11, "")</f>
        <v>1656.5910914927774</v>
      </c>
      <c r="P19" s="133">
        <f>IFERROR(L18/$M$13, "")</f>
        <v>3044.058744993325</v>
      </c>
      <c r="Q19" s="132">
        <f>IFERROR(L18/($M$11/$G$4), "")</f>
        <v>16565.910914927772</v>
      </c>
      <c r="R19" s="27"/>
      <c r="S19" s="134"/>
      <c r="T19" s="135"/>
      <c r="U19" s="128" t="s">
        <v>73</v>
      </c>
      <c r="V19" s="129">
        <f>_xlfn.XLOOKUP($B19,Tox_Table[Code],Tox_Table[Benchmark MOE])</f>
        <v>30</v>
      </c>
      <c r="W19" s="136">
        <f>IFERROR(T18/$U$11, "")</f>
        <v>635.8941774491683</v>
      </c>
      <c r="X19" s="137">
        <f>IFERROR(T18/$U$13, "")</f>
        <v>829.39250636595125</v>
      </c>
      <c r="Y19" s="137">
        <f>IFERROR(T18/((E11/$F$4)+M11),"")</f>
        <v>1427.4636929460585</v>
      </c>
      <c r="Z19" s="137">
        <f>IFERROR(T18/((E11)+M11/$G$4),"")</f>
        <v>971.52993504659707</v>
      </c>
      <c r="AA19" s="138">
        <f>IFERROR(T18/((E11/$F$4)+M11/$G$4),"")</f>
        <v>6358.9417744916827</v>
      </c>
      <c r="AB19" s="62"/>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row>
    <row r="20" spans="1:77" s="30" customFormat="1" ht="30" customHeight="1" thickBot="1" x14ac:dyDescent="0.4">
      <c r="A20" s="29"/>
      <c r="C20" s="96" t="s">
        <v>89</v>
      </c>
      <c r="D20" s="49"/>
      <c r="E20" s="50"/>
      <c r="F20" s="29"/>
      <c r="G20" s="49"/>
      <c r="H20" s="29"/>
      <c r="I20" s="29"/>
      <c r="J20" s="29"/>
      <c r="K20" s="97" t="s">
        <v>90</v>
      </c>
      <c r="L20" s="97"/>
      <c r="M20" s="97"/>
      <c r="N20" s="98"/>
      <c r="O20" s="50"/>
      <c r="P20" s="50"/>
      <c r="Q20" s="29"/>
      <c r="R20" s="27"/>
      <c r="S20" s="97" t="s">
        <v>91</v>
      </c>
      <c r="T20" s="97"/>
      <c r="U20" s="97"/>
      <c r="V20" s="98"/>
      <c r="W20" s="29"/>
      <c r="X20" s="29"/>
      <c r="Y20" s="29"/>
      <c r="Z20" s="29"/>
      <c r="AA20" s="29"/>
      <c r="AB20" s="62"/>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row>
    <row r="21" spans="1:77" s="30" customFormat="1" ht="30" customHeight="1" x14ac:dyDescent="0.35">
      <c r="A21" s="29"/>
      <c r="C21" s="99" t="s">
        <v>78</v>
      </c>
      <c r="D21" s="100" t="s">
        <v>79</v>
      </c>
      <c r="E21" s="101" t="s">
        <v>62</v>
      </c>
      <c r="F21" s="38" t="s">
        <v>80</v>
      </c>
      <c r="G21" s="100" t="s">
        <v>92</v>
      </c>
      <c r="H21" s="100"/>
      <c r="I21" s="102" t="str">
        <f>_xlfn.CONCAT("Respirator Scenario: APF of ",$F$4)</f>
        <v>Respirator Scenario: APF of 10</v>
      </c>
      <c r="J21" s="62"/>
      <c r="K21" s="99" t="s">
        <v>78</v>
      </c>
      <c r="L21" s="100" t="s">
        <v>79</v>
      </c>
      <c r="M21" s="101" t="s">
        <v>62</v>
      </c>
      <c r="N21" s="38" t="s">
        <v>80</v>
      </c>
      <c r="O21" s="38" t="s">
        <v>92</v>
      </c>
      <c r="P21" s="103"/>
      <c r="Q21" s="102" t="s">
        <v>82</v>
      </c>
      <c r="R21" s="27"/>
      <c r="S21" s="104" t="s">
        <v>78</v>
      </c>
      <c r="T21" s="59" t="s">
        <v>79</v>
      </c>
      <c r="U21" s="101" t="s">
        <v>62</v>
      </c>
      <c r="V21" s="59" t="s">
        <v>80</v>
      </c>
      <c r="W21" s="100" t="s">
        <v>92</v>
      </c>
      <c r="X21" s="100"/>
      <c r="Y21" s="105" t="str">
        <f>_xlfn.CONCAT("Respirator-Only Scenario: APF of ",$F$4)</f>
        <v>Respirator-Only Scenario: APF of 10</v>
      </c>
      <c r="Z21" s="106" t="str">
        <f>_xlfn.CONCAT("Gloved-only Scenario: APF of ",$G$4)</f>
        <v>Gloved-only Scenario: APF of 10</v>
      </c>
      <c r="AA21" s="107" t="s">
        <v>83</v>
      </c>
      <c r="AB21" s="62"/>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row>
    <row r="22" spans="1:77" s="30" customFormat="1" ht="39" customHeight="1" thickBot="1" x14ac:dyDescent="0.4">
      <c r="A22" s="29"/>
      <c r="C22" s="108"/>
      <c r="D22" s="109"/>
      <c r="E22" s="110"/>
      <c r="F22" s="111"/>
      <c r="G22" s="70" t="s">
        <v>84</v>
      </c>
      <c r="H22" s="70" t="s">
        <v>85</v>
      </c>
      <c r="I22" s="112" t="s">
        <v>84</v>
      </c>
      <c r="J22" s="62"/>
      <c r="K22" s="108"/>
      <c r="L22" s="109"/>
      <c r="M22" s="110"/>
      <c r="N22" s="111"/>
      <c r="O22" s="70" t="s">
        <v>86</v>
      </c>
      <c r="P22" s="70" t="s">
        <v>87</v>
      </c>
      <c r="Q22" s="113" t="str">
        <f>_xlfn.CONCAT("Worker MOE with Gloves: ",$G$4)</f>
        <v>Worker MOE with Gloves: 10</v>
      </c>
      <c r="R22" s="27"/>
      <c r="S22" s="114"/>
      <c r="T22" s="66"/>
      <c r="U22" s="110"/>
      <c r="V22" s="66"/>
      <c r="W22" s="70" t="s">
        <v>84</v>
      </c>
      <c r="X22" s="70" t="s">
        <v>85</v>
      </c>
      <c r="Y22" s="70" t="s">
        <v>84</v>
      </c>
      <c r="Z22" s="70" t="s">
        <v>84</v>
      </c>
      <c r="AA22" s="112" t="s">
        <v>84</v>
      </c>
      <c r="AB22" s="62"/>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row>
    <row r="23" spans="1:77" s="30" customFormat="1" ht="34.5" customHeight="1" x14ac:dyDescent="0.35">
      <c r="A23" s="29"/>
      <c r="B23" s="49" t="s">
        <v>93</v>
      </c>
      <c r="C23" s="115" t="str">
        <f>_xlfn.CONCAT(_xlfn.XLOOKUP($B23,Tox_Table[Code],Tox_Table[Health Effect],"",0,1),"
",_xlfn.XLOOKUP($B23,Tox_Table[Code],Tox_Table[Endpoint],"",0,1),"
",_xlfn.XLOOKUP($B23,Tox_Table[Code],Tox_Table[Study],"",0,1))</f>
        <v xml:space="preserve">Phthalate syndrome-related effects
</v>
      </c>
      <c r="D23" s="116">
        <f>_xlfn.XLOOKUP($B23, Tox_Table[Code],Tox_Table[HED / POD (mg/kg/day)], FALSE)</f>
        <v>5.7</v>
      </c>
      <c r="E23" s="117" t="s">
        <v>72</v>
      </c>
      <c r="F23" s="118">
        <f>_xlfn.XLOOKUP($B23,Tox_Table[Code],Tox_Table[Benchmark MOE])</f>
        <v>30</v>
      </c>
      <c r="G23" s="119">
        <f>IFERROR(D23/$F$10, "")</f>
        <v>156.37215909090915</v>
      </c>
      <c r="H23" s="120">
        <f>IFERROR(D23/$F$12, "")</f>
        <v>1554.5454545454547</v>
      </c>
      <c r="I23" s="121">
        <f>IFERROR(G23*$F$4,"")</f>
        <v>1563.7215909090914</v>
      </c>
      <c r="J23" s="62"/>
      <c r="K23" s="115" t="str">
        <f>_xlfn.CONCAT(_xlfn.XLOOKUP($B23,Tox_Table[Code],Tox_Table[Health Effect],"",0,1),"
",_xlfn.XLOOKUP($B23,Tox_Table[Code],Tox_Table[Endpoint],"",0,1),"
",_xlfn.XLOOKUP($B23,Tox_Table[Code],Tox_Table[Study],"",0,1))</f>
        <v xml:space="preserve">Phthalate syndrome-related effects
</v>
      </c>
      <c r="L23" s="116">
        <f>_xlfn.XLOOKUP($B23, Tox_Table[Code],Tox_Table[HED / POD (mg/kg/day)], FALSE)</f>
        <v>5.7</v>
      </c>
      <c r="M23" s="117" t="s">
        <v>72</v>
      </c>
      <c r="N23" s="118">
        <f>_xlfn.XLOOKUP($B23,Tox_Table[Code],Tox_Table[Benchmark MOE])</f>
        <v>30</v>
      </c>
      <c r="O23" s="122">
        <f>IFERROR(L23/$N$10, "")</f>
        <v>1129.4939260178028</v>
      </c>
      <c r="P23" s="122">
        <f>IFERROR(L23/$N$12, "")</f>
        <v>2075.4945988590853</v>
      </c>
      <c r="Q23" s="139">
        <f>IFERROR(L23/($N$10/$G$4), "")</f>
        <v>11294.939260178027</v>
      </c>
      <c r="R23" s="27"/>
      <c r="S23" s="123" t="str">
        <f>_xlfn.CONCAT(_xlfn.XLOOKUP($B23,Tox_Table[Code],Tox_Table[Health Effect],"",0,1),"
",_xlfn.XLOOKUP($B23,Tox_Table[Code],Tox_Table[Endpoint],"",0,1),"
",_xlfn.XLOOKUP($B23,Tox_Table[Code],Tox_Table[Study],"",0,1))</f>
        <v xml:space="preserve">Phthalate syndrome-related effects
</v>
      </c>
      <c r="T23" s="124">
        <f>_xlfn.XLOOKUP($B23, Tox_Table[Code],Tox_Table[HED / POD (mg/kg/day)], FALSE)</f>
        <v>5.7</v>
      </c>
      <c r="U23" s="117" t="s">
        <v>72</v>
      </c>
      <c r="V23" s="118">
        <f>_xlfn.XLOOKUP($B23,Tox_Table[Code],Tox_Table[Benchmark MOE])</f>
        <v>30</v>
      </c>
      <c r="W23" s="119">
        <f>IFERROR(T23/$V$10, "")</f>
        <v>137.35598592798968</v>
      </c>
      <c r="X23" s="120">
        <f>IFERROR(T23/$V$12, "")</f>
        <v>888.81958521752699</v>
      </c>
      <c r="Y23" s="120">
        <f>IFERROR(T23/((F$10/$F$4)+N$10),"")</f>
        <v>655.80122638312309</v>
      </c>
      <c r="Z23" s="120">
        <f>IFERROR(T23/((F$10)+N$10/$G$4),"")</f>
        <v>154.23683578657503</v>
      </c>
      <c r="AA23" s="125">
        <f>IFERROR(T23/((F$10/$F$4)+N$10/$G$4),"")</f>
        <v>1373.5598592798972</v>
      </c>
      <c r="AB23" s="62"/>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row>
    <row r="24" spans="1:77" s="30" customFormat="1" ht="34.5" customHeight="1" thickBot="1" x14ac:dyDescent="0.4">
      <c r="A24" s="29"/>
      <c r="B24" s="49" t="s">
        <v>93</v>
      </c>
      <c r="C24" s="126"/>
      <c r="D24" s="127"/>
      <c r="E24" s="128" t="s">
        <v>73</v>
      </c>
      <c r="F24" s="129">
        <f>_xlfn.XLOOKUP($B24,Tox_Table[Code],Tox_Table[Benchmark MOE])</f>
        <v>30</v>
      </c>
      <c r="G24" s="130">
        <f>IFERROR(D23/$F$11, "")</f>
        <v>1407.349431818182</v>
      </c>
      <c r="H24" s="131">
        <f>IFERROR(D23/$F$13, "")</f>
        <v>1554.5454545454547</v>
      </c>
      <c r="I24" s="132">
        <f>IFERROR(G24*$F$4,"")</f>
        <v>14073.49431818182</v>
      </c>
      <c r="J24" s="62"/>
      <c r="K24" s="126"/>
      <c r="L24" s="127"/>
      <c r="M24" s="128" t="s">
        <v>73</v>
      </c>
      <c r="N24" s="129">
        <f>_xlfn.XLOOKUP($B24,Tox_Table[Code],Tox_Table[Benchmark MOE])</f>
        <v>30</v>
      </c>
      <c r="O24" s="133">
        <f>IFERROR(L23/$N$11, "")</f>
        <v>2258.9878520356056</v>
      </c>
      <c r="P24" s="133">
        <f>IFERROR(L23/$N$13, "")</f>
        <v>4150.9891977181705</v>
      </c>
      <c r="Q24" s="140">
        <f>IFERROR(L23/($N$11/$G$4), "")</f>
        <v>22589.878520356055</v>
      </c>
      <c r="R24" s="27"/>
      <c r="S24" s="134"/>
      <c r="T24" s="135"/>
      <c r="U24" s="128" t="s">
        <v>73</v>
      </c>
      <c r="V24" s="129">
        <f>_xlfn.XLOOKUP($B24,Tox_Table[Code],Tox_Table[Benchmark MOE])</f>
        <v>30</v>
      </c>
      <c r="W24" s="136">
        <f>IFERROR(T23/$V$11, "")</f>
        <v>867.12842379432038</v>
      </c>
      <c r="X24" s="137">
        <f>IFERROR(T23/$V$13, "")</f>
        <v>1130.9897814081155</v>
      </c>
      <c r="Y24" s="137">
        <f>IFERROR(T23/((F$11/$F$4)+N$11),"")</f>
        <v>1946.5413994718976</v>
      </c>
      <c r="Z24" s="137">
        <f>IFERROR(T23/((F$11)+N$11/$G$4),"")</f>
        <v>1324.813547790814</v>
      </c>
      <c r="AA24" s="138">
        <f>IFERROR(T23/((F$11/$F$4)+N$11/$G$4),"")</f>
        <v>8671.2842379432041</v>
      </c>
      <c r="AB24" s="62"/>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row>
    <row r="25" spans="1:77" s="30" customFormat="1" ht="30" customHeight="1" thickBot="1" x14ac:dyDescent="0.4">
      <c r="A25" s="29"/>
      <c r="B25" s="49"/>
      <c r="C25" s="141" t="s">
        <v>94</v>
      </c>
      <c r="D25" s="141"/>
      <c r="E25" s="142"/>
      <c r="F25" s="143"/>
      <c r="G25" s="144"/>
      <c r="H25" s="145"/>
      <c r="I25" s="145"/>
      <c r="J25" s="93"/>
      <c r="K25" s="141" t="s">
        <v>95</v>
      </c>
      <c r="L25" s="141"/>
      <c r="M25" s="141"/>
      <c r="N25" s="145"/>
      <c r="O25" s="93"/>
      <c r="P25" s="93"/>
      <c r="Q25" s="96"/>
      <c r="R25" s="29"/>
      <c r="S25" s="141" t="s">
        <v>96</v>
      </c>
      <c r="T25" s="141"/>
      <c r="U25" s="141"/>
      <c r="V25" s="145"/>
      <c r="W25" s="144"/>
      <c r="X25" s="145"/>
      <c r="Y25" s="145"/>
      <c r="Z25" s="96"/>
      <c r="AA25" s="93"/>
      <c r="AB25" s="93"/>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7"/>
      <c r="BN25" s="27"/>
      <c r="BO25" s="27"/>
      <c r="BP25" s="27"/>
      <c r="BQ25" s="27"/>
      <c r="BR25" s="27"/>
      <c r="BS25" s="27"/>
      <c r="BT25" s="27"/>
      <c r="BU25" s="27"/>
      <c r="BV25" s="27"/>
      <c r="BW25" s="27"/>
      <c r="BX25" s="27"/>
      <c r="BY25" s="27"/>
    </row>
    <row r="26" spans="1:77" s="30" customFormat="1" ht="35.25" customHeight="1" x14ac:dyDescent="0.35">
      <c r="A26" s="29"/>
      <c r="B26" s="49"/>
      <c r="C26" s="99" t="s">
        <v>78</v>
      </c>
      <c r="D26" s="100" t="s">
        <v>79</v>
      </c>
      <c r="E26" s="101" t="s">
        <v>62</v>
      </c>
      <c r="F26" s="38" t="s">
        <v>80</v>
      </c>
      <c r="G26" s="100" t="s">
        <v>97</v>
      </c>
      <c r="H26" s="100"/>
      <c r="I26" s="102" t="str">
        <f>_xlfn.CONCAT("Respirator Scenario: APF of ",$F$4)</f>
        <v>Respirator Scenario: APF of 10</v>
      </c>
      <c r="J26" s="62"/>
      <c r="K26" s="99" t="s">
        <v>78</v>
      </c>
      <c r="L26" s="100" t="s">
        <v>98</v>
      </c>
      <c r="M26" s="101" t="s">
        <v>62</v>
      </c>
      <c r="N26" s="38" t="s">
        <v>80</v>
      </c>
      <c r="O26" s="38" t="s">
        <v>97</v>
      </c>
      <c r="P26" s="103"/>
      <c r="Q26" s="102" t="s">
        <v>82</v>
      </c>
      <c r="R26" s="27"/>
      <c r="S26" s="104" t="s">
        <v>78</v>
      </c>
      <c r="T26" s="59" t="s">
        <v>98</v>
      </c>
      <c r="U26" s="101" t="s">
        <v>62</v>
      </c>
      <c r="V26" s="59" t="s">
        <v>80</v>
      </c>
      <c r="W26" s="100" t="s">
        <v>97</v>
      </c>
      <c r="X26" s="100"/>
      <c r="Y26" s="105" t="str">
        <f>_xlfn.CONCAT("Respirator-Only Scenario: APF of ",$F$4)</f>
        <v>Respirator-Only Scenario: APF of 10</v>
      </c>
      <c r="Z26" s="106" t="str">
        <f>_xlfn.CONCAT("Gloved-only Scenario: APF of ",$G$4)</f>
        <v>Gloved-only Scenario: APF of 10</v>
      </c>
      <c r="AA26" s="107" t="s">
        <v>83</v>
      </c>
      <c r="AB26" s="62"/>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row>
    <row r="27" spans="1:77" s="30" customFormat="1" ht="38.4" customHeight="1" thickBot="1" x14ac:dyDescent="0.4">
      <c r="A27" s="29"/>
      <c r="B27" s="49"/>
      <c r="C27" s="108"/>
      <c r="D27" s="109"/>
      <c r="E27" s="110"/>
      <c r="F27" s="111"/>
      <c r="G27" s="70" t="s">
        <v>84</v>
      </c>
      <c r="H27" s="70" t="s">
        <v>85</v>
      </c>
      <c r="I27" s="112" t="s">
        <v>84</v>
      </c>
      <c r="J27" s="62"/>
      <c r="K27" s="108"/>
      <c r="L27" s="109"/>
      <c r="M27" s="110"/>
      <c r="N27" s="111"/>
      <c r="O27" s="70" t="s">
        <v>86</v>
      </c>
      <c r="P27" s="70" t="s">
        <v>87</v>
      </c>
      <c r="Q27" s="113" t="str">
        <f>_xlfn.CONCAT("Worker MOE with Gloves: ",$G$4)</f>
        <v>Worker MOE with Gloves: 10</v>
      </c>
      <c r="R27" s="27"/>
      <c r="S27" s="146"/>
      <c r="T27" s="147"/>
      <c r="U27" s="148"/>
      <c r="V27" s="147"/>
      <c r="W27" s="70" t="s">
        <v>84</v>
      </c>
      <c r="X27" s="70" t="s">
        <v>85</v>
      </c>
      <c r="Y27" s="70" t="s">
        <v>84</v>
      </c>
      <c r="Z27" s="70" t="s">
        <v>84</v>
      </c>
      <c r="AA27" s="112" t="s">
        <v>84</v>
      </c>
      <c r="AB27" s="62"/>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row>
    <row r="28" spans="1:77" s="29" customFormat="1" ht="37.5" customHeight="1" x14ac:dyDescent="0.35">
      <c r="B28" s="28" t="s">
        <v>99</v>
      </c>
      <c r="C28" s="115" t="str">
        <f>_xlfn.CONCAT(_xlfn.XLOOKUP($B28,Tox_Table[Code],Tox_Table[Health Effect],"",0,1),"
",_xlfn.XLOOKUP($B28,Tox_Table[Code],Tox_Table[Endpoint],"",0,1),"
",_xlfn.XLOOKUP($B28,Tox_Table[Code],Tox_Table[Study],"",0,1))</f>
        <v xml:space="preserve">Phthalate syndrome-related effects
</v>
      </c>
      <c r="D28" s="116">
        <f>_xlfn.XLOOKUP($B28, Tox_Table[Code],Tox_Table[HED / POD (mg/kg/day)], FALSE)</f>
        <v>5.7</v>
      </c>
      <c r="E28" s="117" t="s">
        <v>72</v>
      </c>
      <c r="F28" s="118">
        <f>_xlfn.XLOOKUP($B28,Tox_Table[Code],Tox_Table[Benchmark MOE])</f>
        <v>30</v>
      </c>
      <c r="G28" s="149">
        <f>IFERROR(D28/$G$10, "")</f>
        <v>167.42245833333337</v>
      </c>
      <c r="H28" s="149">
        <f>IFERROR(D28/$G$12, "")</f>
        <v>1664.4</v>
      </c>
      <c r="I28" s="150">
        <f>IFERROR(G28*$F$4,"")</f>
        <v>1674.2245833333336</v>
      </c>
      <c r="K28" s="123" t="str">
        <f>_xlfn.CONCAT(_xlfn.XLOOKUP($B28,Tox_Table[Code],Tox_Table[Health Effect],"",0,1),"
",_xlfn.XLOOKUP($B28,Tox_Table[Code],Tox_Table[Endpoint],"",0,1),"
",_xlfn.XLOOKUP($B28,Tox_Table[Code],Tox_Table[Study],"",0,1))</f>
        <v xml:space="preserve">Phthalate syndrome-related effects
</v>
      </c>
      <c r="L28" s="124">
        <f>_xlfn.XLOOKUP($B28, Tox_Table[Code],Tox_Table[HED / POD (mg/kg/day)], FALSE)</f>
        <v>5.7</v>
      </c>
      <c r="M28" s="117" t="s">
        <v>72</v>
      </c>
      <c r="N28" s="118">
        <f>_xlfn.XLOOKUP($B28,Tox_Table[Code],Tox_Table[Benchmark MOE])</f>
        <v>30</v>
      </c>
      <c r="O28" s="122">
        <f>IFERROR(L28/$O$10, "")</f>
        <v>1209.3114967897272</v>
      </c>
      <c r="P28" s="122">
        <f>IFERROR(L28/$O$12, "")</f>
        <v>2222.1628838451275</v>
      </c>
      <c r="Q28" s="121">
        <f>IFERROR(L28/($O$10/$G$4), "")</f>
        <v>12093.114967897272</v>
      </c>
      <c r="R28" s="27"/>
      <c r="S28" s="115" t="str">
        <f>_xlfn.CONCAT(_xlfn.XLOOKUP($B28,Tox_Table[Code],Tox_Table[Health Effect],"",0,1),"
",_xlfn.XLOOKUP($B28,Tox_Table[Code],Tox_Table[Endpoint],"",0,1),"
",_xlfn.XLOOKUP($B28,Tox_Table[Code],Tox_Table[Study],"",0,1))</f>
        <v xml:space="preserve">Phthalate syndrome-related effects
</v>
      </c>
      <c r="T28" s="116">
        <f>_xlfn.XLOOKUP($B28, Tox_Table[Code],Tox_Table[HED / POD (mg/kg/day)], FALSE)</f>
        <v>5.7</v>
      </c>
      <c r="U28" s="117" t="s">
        <v>72</v>
      </c>
      <c r="V28" s="118">
        <f>_xlfn.XLOOKUP($B28,Tox_Table[Code],Tox_Table[Benchmark MOE])</f>
        <v>30</v>
      </c>
      <c r="W28" s="149">
        <f>IFERROR(T28/$W$10, "")</f>
        <v>147.06247560023428</v>
      </c>
      <c r="X28" s="149">
        <f>IFERROR(T28/$W$12, "")</f>
        <v>951.6295025728989</v>
      </c>
      <c r="Y28" s="120">
        <f>IFERROR(T28/((G$10/$F$4)+O$10),"")</f>
        <v>702.14451304753038</v>
      </c>
      <c r="Z28" s="120">
        <f>IFERROR(T28/((G$10)+O$10/$G$4),"")</f>
        <v>165.13623884882631</v>
      </c>
      <c r="AA28" s="125">
        <f>IFERROR(T28/((G$10/$F$4)+O$10/$G$4),"")</f>
        <v>1470.6247560023428</v>
      </c>
      <c r="AB28" s="151"/>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row>
    <row r="29" spans="1:77" s="29" customFormat="1" ht="40.5" customHeight="1" thickBot="1" x14ac:dyDescent="0.4">
      <c r="B29" s="28" t="s">
        <v>99</v>
      </c>
      <c r="C29" s="126"/>
      <c r="D29" s="127"/>
      <c r="E29" s="128" t="s">
        <v>73</v>
      </c>
      <c r="F29" s="129">
        <f>_xlfn.XLOOKUP($B29,Tox_Table[Code],Tox_Table[Benchmark MOE])</f>
        <v>30</v>
      </c>
      <c r="G29" s="152">
        <f>IFERROR(D28/$G$11, "")</f>
        <v>1506.8021250000002</v>
      </c>
      <c r="H29" s="152">
        <f>IFERROR(D28/$G$13, "")</f>
        <v>1664.4</v>
      </c>
      <c r="I29" s="153">
        <f>IFERROR(G29*$F$4,"")</f>
        <v>15068.021250000002</v>
      </c>
      <c r="K29" s="134"/>
      <c r="L29" s="135"/>
      <c r="M29" s="128" t="s">
        <v>73</v>
      </c>
      <c r="N29" s="129">
        <f>_xlfn.XLOOKUP($B29,Tox_Table[Code],Tox_Table[Benchmark MOE])</f>
        <v>30</v>
      </c>
      <c r="O29" s="133">
        <f>IFERROR(L28/$O$11, "")</f>
        <v>2418.6229935794549</v>
      </c>
      <c r="P29" s="133">
        <f>IFERROR(L28/$O$13, "")</f>
        <v>4444.3257676902549</v>
      </c>
      <c r="Q29" s="132">
        <f>IFERROR(L28/($O$11/$G$4), "")</f>
        <v>24186.229935794552</v>
      </c>
      <c r="R29" s="27"/>
      <c r="S29" s="126"/>
      <c r="T29" s="127"/>
      <c r="U29" s="128" t="s">
        <v>73</v>
      </c>
      <c r="V29" s="129">
        <f>_xlfn.XLOOKUP($B29,Tox_Table[Code],Tox_Table[Benchmark MOE])</f>
        <v>30</v>
      </c>
      <c r="W29" s="152">
        <f>IFERROR(T28/$W$11, "")</f>
        <v>928.40549907578566</v>
      </c>
      <c r="X29" s="152">
        <f>IFERROR(T28/$W$13, "")</f>
        <v>1210.913059294289</v>
      </c>
      <c r="Y29" s="137">
        <f>IFERROR(T28/((G$11/$F$4)+O$11),"")</f>
        <v>2084.0969917012453</v>
      </c>
      <c r="Z29" s="137">
        <f>IFERROR(T28/((G$11)+O$11/$G$4),"")</f>
        <v>1418.4337051680318</v>
      </c>
      <c r="AA29" s="138">
        <f>IFERROR(T28/((G$11/$F$4)+O$11/$G$4),"")</f>
        <v>9284.054990757857</v>
      </c>
      <c r="AB29" s="151"/>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row>
    <row r="30" spans="1:77" x14ac:dyDescent="0.35">
      <c r="A30" s="30"/>
      <c r="B30" s="49"/>
      <c r="C30" s="49"/>
      <c r="D30" s="27"/>
      <c r="E30" s="154"/>
      <c r="F30" s="155"/>
      <c r="G30" s="156"/>
      <c r="H30" s="157"/>
      <c r="I30" s="29"/>
      <c r="J30" s="29"/>
      <c r="K30" s="49"/>
      <c r="L30" s="49"/>
      <c r="M30" s="49"/>
      <c r="N30" s="154"/>
      <c r="S30" s="49"/>
      <c r="T30" s="49"/>
      <c r="U30" s="49"/>
      <c r="V30" s="154"/>
      <c r="W30" s="156"/>
      <c r="X30" s="157"/>
      <c r="Y30" s="29"/>
      <c r="AA30" s="29"/>
      <c r="AB30" s="29"/>
      <c r="AD30" s="27"/>
      <c r="AE30" s="27"/>
      <c r="AF30" s="27"/>
      <c r="AG30" s="27"/>
      <c r="AH30" s="27"/>
      <c r="AI30" s="27"/>
      <c r="AJ30" s="27"/>
    </row>
    <row r="31" spans="1:77" x14ac:dyDescent="0.35">
      <c r="A31" s="29"/>
      <c r="B31" s="49"/>
      <c r="Q31" s="29"/>
      <c r="AD31" s="27"/>
      <c r="AE31" s="27"/>
      <c r="AF31" s="27"/>
      <c r="AG31" s="27"/>
      <c r="AH31" s="27"/>
      <c r="AI31" s="27"/>
      <c r="AJ31" s="27"/>
    </row>
    <row r="32" spans="1:77" x14ac:dyDescent="0.35">
      <c r="A32" s="29"/>
      <c r="B32" s="49"/>
      <c r="O32" s="29"/>
      <c r="P32" s="29"/>
      <c r="Q32" s="29"/>
      <c r="AD32" s="27"/>
      <c r="AE32" s="27"/>
      <c r="AF32" s="27"/>
      <c r="AG32" s="27"/>
      <c r="AH32" s="27"/>
      <c r="AI32" s="27"/>
      <c r="AJ32" s="27"/>
    </row>
    <row r="33" spans="1:36" x14ac:dyDescent="0.35">
      <c r="A33" s="29"/>
      <c r="B33" s="30"/>
      <c r="Q33" s="29"/>
      <c r="AD33" s="27"/>
      <c r="AE33" s="27"/>
      <c r="AF33" s="27"/>
      <c r="AG33" s="27"/>
      <c r="AH33" s="27"/>
      <c r="AI33" s="27"/>
      <c r="AJ33" s="27"/>
    </row>
    <row r="34" spans="1:36" x14ac:dyDescent="0.35">
      <c r="A34" s="29"/>
      <c r="Q34" s="29"/>
      <c r="AD34" s="27"/>
      <c r="AE34" s="27"/>
      <c r="AF34" s="27"/>
      <c r="AG34" s="27"/>
      <c r="AH34" s="27"/>
      <c r="AI34" s="27"/>
      <c r="AJ34" s="27"/>
    </row>
    <row r="35" spans="1:36" x14ac:dyDescent="0.35">
      <c r="A35" s="29"/>
      <c r="AD35" s="27"/>
      <c r="AE35" s="27"/>
      <c r="AF35" s="27"/>
      <c r="AG35" s="27"/>
      <c r="AH35" s="27"/>
      <c r="AI35" s="27"/>
      <c r="AJ35" s="27"/>
    </row>
    <row r="36" spans="1:36" ht="35.25" customHeight="1" x14ac:dyDescent="0.35">
      <c r="A36" s="29"/>
      <c r="AD36" s="27"/>
      <c r="AE36" s="27"/>
      <c r="AF36" s="27"/>
      <c r="AG36" s="27"/>
      <c r="AH36" s="27"/>
      <c r="AI36" s="27"/>
      <c r="AJ36" s="27"/>
    </row>
    <row r="37" spans="1:36" x14ac:dyDescent="0.35">
      <c r="A37" s="29"/>
      <c r="AD37" s="27"/>
      <c r="AE37" s="27"/>
      <c r="AF37" s="27"/>
      <c r="AG37" s="27"/>
      <c r="AH37" s="27"/>
      <c r="AI37" s="27"/>
      <c r="AJ37" s="27"/>
    </row>
    <row r="38" spans="1:36" x14ac:dyDescent="0.35">
      <c r="AD38" s="27"/>
      <c r="AE38" s="27"/>
      <c r="AF38" s="27"/>
      <c r="AG38" s="27"/>
      <c r="AH38" s="27"/>
      <c r="AI38" s="27"/>
      <c r="AJ38" s="27"/>
    </row>
    <row r="39" spans="1:36" x14ac:dyDescent="0.35">
      <c r="H39" s="29"/>
      <c r="I39" s="29"/>
      <c r="J39" s="29"/>
      <c r="T39" s="29"/>
      <c r="U39" s="29"/>
      <c r="V39" s="29"/>
      <c r="W39" s="29"/>
      <c r="X39" s="29"/>
      <c r="Y39" s="29"/>
      <c r="Z39" s="29"/>
      <c r="AA39" s="29"/>
      <c r="AB39" s="29"/>
      <c r="AD39" s="27"/>
      <c r="AE39" s="27"/>
      <c r="AF39" s="27"/>
      <c r="AG39" s="27"/>
      <c r="AH39" s="27"/>
      <c r="AI39" s="27"/>
      <c r="AJ39" s="27"/>
    </row>
    <row r="40" spans="1:36" x14ac:dyDescent="0.35">
      <c r="AD40" s="27"/>
      <c r="AE40" s="27"/>
      <c r="AF40" s="27"/>
      <c r="AG40" s="27"/>
      <c r="AH40" s="27"/>
      <c r="AI40" s="27"/>
      <c r="AJ40" s="27"/>
    </row>
    <row r="41" spans="1:36" x14ac:dyDescent="0.35">
      <c r="AD41" s="27"/>
      <c r="AE41" s="27"/>
      <c r="AF41" s="27"/>
      <c r="AG41" s="27"/>
      <c r="AH41" s="27"/>
      <c r="AI41" s="27"/>
      <c r="AJ41" s="27"/>
    </row>
    <row r="42" spans="1:36" x14ac:dyDescent="0.35">
      <c r="AD42" s="27"/>
      <c r="AE42" s="27"/>
      <c r="AF42" s="27"/>
      <c r="AG42" s="27"/>
      <c r="AH42" s="27"/>
      <c r="AI42" s="27"/>
      <c r="AJ42" s="27"/>
    </row>
    <row r="43" spans="1:36" x14ac:dyDescent="0.35">
      <c r="AD43" s="27"/>
      <c r="AE43" s="27"/>
      <c r="AF43" s="27"/>
      <c r="AG43" s="27"/>
      <c r="AH43" s="27"/>
      <c r="AI43" s="27"/>
      <c r="AJ43" s="27"/>
    </row>
    <row r="44" spans="1:36" x14ac:dyDescent="0.35">
      <c r="AD44" s="27"/>
      <c r="AE44" s="27"/>
      <c r="AF44" s="27"/>
      <c r="AG44" s="27"/>
      <c r="AH44" s="27"/>
      <c r="AI44" s="27"/>
      <c r="AJ44" s="27"/>
    </row>
    <row r="45" spans="1:36" x14ac:dyDescent="0.35">
      <c r="G45" s="29"/>
      <c r="AD45" s="27"/>
      <c r="AE45" s="27"/>
      <c r="AF45" s="27"/>
      <c r="AG45" s="27"/>
      <c r="AH45" s="27"/>
      <c r="AI45" s="27"/>
      <c r="AJ45" s="27"/>
    </row>
    <row r="46" spans="1:36" x14ac:dyDescent="0.35">
      <c r="K46" s="29"/>
      <c r="L46" s="29"/>
      <c r="M46" s="29"/>
      <c r="N46" s="29"/>
      <c r="AD46" s="27"/>
      <c r="AE46" s="27"/>
      <c r="AF46" s="27"/>
      <c r="AG46" s="27"/>
      <c r="AH46" s="27"/>
      <c r="AI46" s="27"/>
      <c r="AJ46" s="27"/>
    </row>
    <row r="47" spans="1:36" x14ac:dyDescent="0.35">
      <c r="C47" s="29"/>
      <c r="D47" s="30"/>
      <c r="E47" s="29"/>
      <c r="F47" s="29"/>
      <c r="AD47" s="27"/>
      <c r="AE47" s="27"/>
      <c r="AF47" s="27"/>
      <c r="AG47" s="27"/>
      <c r="AH47" s="27"/>
      <c r="AI47" s="27"/>
      <c r="AJ47" s="27"/>
    </row>
    <row r="48" spans="1:36" x14ac:dyDescent="0.35">
      <c r="AD48" s="27"/>
      <c r="AE48" s="27"/>
      <c r="AF48" s="27"/>
      <c r="AG48" s="27"/>
      <c r="AH48" s="27"/>
      <c r="AI48" s="27"/>
      <c r="AJ48" s="27"/>
    </row>
    <row r="49" spans="1:36" x14ac:dyDescent="0.35">
      <c r="H49" s="158"/>
      <c r="I49" s="158"/>
      <c r="J49" s="158"/>
      <c r="T49" s="158"/>
      <c r="U49" s="158"/>
      <c r="V49" s="158"/>
      <c r="W49" s="158"/>
      <c r="X49" s="158"/>
      <c r="Y49" s="158"/>
      <c r="Z49" s="158"/>
      <c r="AA49" s="158"/>
      <c r="AB49" s="158"/>
      <c r="AD49" s="27"/>
      <c r="AE49" s="27"/>
      <c r="AF49" s="27"/>
      <c r="AG49" s="27"/>
      <c r="AH49" s="27"/>
      <c r="AI49" s="27"/>
      <c r="AJ49" s="27"/>
    </row>
    <row r="50" spans="1:36" x14ac:dyDescent="0.35">
      <c r="H50" s="158"/>
      <c r="I50" s="158"/>
      <c r="J50" s="158"/>
      <c r="O50" s="29"/>
      <c r="P50" s="29"/>
      <c r="T50" s="158"/>
      <c r="U50" s="158"/>
      <c r="V50" s="158"/>
      <c r="W50" s="158"/>
      <c r="X50" s="158"/>
      <c r="Y50" s="158"/>
      <c r="Z50" s="158"/>
      <c r="AA50" s="158"/>
      <c r="AB50" s="158"/>
      <c r="AD50" s="27"/>
      <c r="AE50" s="27"/>
      <c r="AF50" s="27"/>
      <c r="AG50" s="27"/>
      <c r="AH50" s="27"/>
      <c r="AI50" s="27"/>
      <c r="AJ50" s="27"/>
    </row>
    <row r="51" spans="1:36" x14ac:dyDescent="0.35">
      <c r="B51" s="30"/>
      <c r="H51" s="159"/>
      <c r="I51" s="159"/>
      <c r="J51" s="159"/>
      <c r="T51" s="159"/>
      <c r="U51" s="159"/>
      <c r="V51" s="159"/>
      <c r="W51" s="159"/>
      <c r="X51" s="159"/>
      <c r="Y51" s="159"/>
      <c r="Z51" s="159"/>
      <c r="AA51" s="159"/>
      <c r="AB51" s="159"/>
      <c r="AD51" s="27"/>
      <c r="AE51" s="27"/>
      <c r="AF51" s="27"/>
      <c r="AG51" s="27"/>
      <c r="AH51" s="27"/>
      <c r="AI51" s="27"/>
      <c r="AJ51" s="27"/>
    </row>
    <row r="52" spans="1:36" x14ac:dyDescent="0.35">
      <c r="B52" s="160"/>
      <c r="H52" s="159"/>
      <c r="I52" s="159"/>
      <c r="J52" s="159"/>
      <c r="Q52" s="29"/>
      <c r="T52" s="159"/>
      <c r="U52" s="159"/>
      <c r="V52" s="159"/>
      <c r="W52" s="159"/>
      <c r="X52" s="159"/>
      <c r="Y52" s="159"/>
      <c r="Z52" s="159"/>
      <c r="AA52" s="159"/>
      <c r="AB52" s="159"/>
      <c r="AD52" s="27"/>
      <c r="AE52" s="27"/>
      <c r="AF52" s="27"/>
      <c r="AG52" s="27"/>
      <c r="AH52" s="27"/>
      <c r="AI52" s="27"/>
      <c r="AJ52" s="27"/>
    </row>
    <row r="53" spans="1:36" x14ac:dyDescent="0.35">
      <c r="B53" s="160"/>
      <c r="AD53" s="27"/>
      <c r="AE53" s="27"/>
      <c r="AF53" s="27"/>
      <c r="AG53" s="27"/>
      <c r="AH53" s="27"/>
      <c r="AI53" s="27"/>
      <c r="AJ53" s="27"/>
    </row>
    <row r="54" spans="1:36" x14ac:dyDescent="0.35">
      <c r="B54" s="160"/>
      <c r="AD54" s="27"/>
      <c r="AE54" s="27"/>
      <c r="AF54" s="27"/>
      <c r="AG54" s="27"/>
      <c r="AH54" s="27"/>
      <c r="AI54" s="27"/>
      <c r="AJ54" s="27"/>
    </row>
    <row r="55" spans="1:36" x14ac:dyDescent="0.35">
      <c r="A55" s="29"/>
      <c r="B55" s="160"/>
      <c r="G55" s="158"/>
      <c r="AD55" s="27"/>
      <c r="AE55" s="27"/>
      <c r="AF55" s="27"/>
      <c r="AG55" s="27"/>
      <c r="AH55" s="27"/>
      <c r="AI55" s="27"/>
      <c r="AJ55" s="27"/>
    </row>
    <row r="56" spans="1:36" x14ac:dyDescent="0.35">
      <c r="B56" s="160"/>
      <c r="C56" s="161"/>
      <c r="D56" s="160"/>
      <c r="E56" s="161"/>
      <c r="K56" s="159"/>
      <c r="L56" s="159"/>
      <c r="M56" s="159"/>
      <c r="N56" s="159"/>
      <c r="AD56" s="27"/>
      <c r="AE56" s="27"/>
      <c r="AF56" s="27"/>
      <c r="AG56" s="27"/>
      <c r="AH56" s="27"/>
      <c r="AI56" s="27"/>
      <c r="AJ56" s="27"/>
    </row>
    <row r="57" spans="1:36" x14ac:dyDescent="0.35">
      <c r="B57" s="160"/>
      <c r="E57" s="162"/>
      <c r="F57" s="159"/>
      <c r="K57" s="159"/>
      <c r="L57" s="159"/>
      <c r="M57" s="159"/>
      <c r="N57" s="159"/>
      <c r="AD57" s="27"/>
      <c r="AE57" s="27"/>
      <c r="AF57" s="27"/>
      <c r="AG57" s="27"/>
      <c r="AH57" s="27"/>
      <c r="AI57" s="27"/>
      <c r="AJ57" s="27"/>
    </row>
    <row r="58" spans="1:36" x14ac:dyDescent="0.35">
      <c r="B58" s="160"/>
      <c r="C58" s="163"/>
      <c r="D58" s="164"/>
      <c r="E58" s="163"/>
      <c r="F58" s="163"/>
      <c r="G58" s="163"/>
      <c r="H58" s="163"/>
      <c r="I58" s="163"/>
      <c r="J58" s="163"/>
      <c r="K58" s="163"/>
      <c r="L58" s="163"/>
      <c r="M58" s="163"/>
      <c r="N58" s="163"/>
      <c r="AD58" s="27"/>
      <c r="AE58" s="27"/>
      <c r="AF58" s="27"/>
      <c r="AG58" s="27"/>
      <c r="AH58" s="27"/>
      <c r="AI58" s="27"/>
      <c r="AJ58" s="27"/>
    </row>
    <row r="59" spans="1:36" x14ac:dyDescent="0.35">
      <c r="B59" s="160"/>
      <c r="C59" s="163"/>
      <c r="D59" s="164"/>
      <c r="E59" s="163"/>
      <c r="F59" s="163"/>
      <c r="G59" s="163"/>
      <c r="H59" s="163"/>
      <c r="I59" s="163"/>
      <c r="J59" s="163"/>
      <c r="K59" s="163"/>
      <c r="L59" s="163"/>
      <c r="M59" s="164"/>
      <c r="N59" s="163"/>
      <c r="AD59" s="27"/>
      <c r="AE59" s="27"/>
      <c r="AF59" s="27"/>
      <c r="AG59" s="27"/>
      <c r="AH59" s="27"/>
      <c r="AI59" s="27"/>
      <c r="AJ59" s="27"/>
    </row>
    <row r="60" spans="1:36" x14ac:dyDescent="0.35">
      <c r="C60" s="164"/>
      <c r="D60" s="164"/>
      <c r="E60" s="165"/>
      <c r="F60" s="163"/>
      <c r="G60" s="163"/>
      <c r="H60" s="163"/>
      <c r="I60" s="163"/>
      <c r="J60" s="163"/>
      <c r="K60" s="163"/>
      <c r="L60" s="164"/>
      <c r="M60" s="164"/>
      <c r="N60" s="163"/>
      <c r="AD60" s="27"/>
      <c r="AE60" s="27"/>
      <c r="AF60" s="27"/>
      <c r="AG60" s="27"/>
      <c r="AH60" s="27"/>
      <c r="AI60" s="27"/>
      <c r="AJ60" s="27"/>
    </row>
    <row r="61" spans="1:36" x14ac:dyDescent="0.35">
      <c r="C61" s="163"/>
      <c r="D61" s="166"/>
      <c r="E61" s="166"/>
      <c r="F61" s="163"/>
      <c r="G61" s="163"/>
      <c r="H61" s="163"/>
      <c r="I61" s="163"/>
      <c r="J61" s="163"/>
      <c r="K61" s="163"/>
      <c r="L61" s="166"/>
      <c r="M61" s="166"/>
      <c r="N61" s="163"/>
      <c r="AD61" s="27"/>
      <c r="AE61" s="27"/>
      <c r="AF61" s="27"/>
      <c r="AG61" s="27"/>
      <c r="AH61" s="27"/>
      <c r="AI61" s="27"/>
      <c r="AJ61" s="27"/>
    </row>
    <row r="62" spans="1:36" x14ac:dyDescent="0.35">
      <c r="C62" s="163"/>
      <c r="D62" s="166"/>
      <c r="E62" s="166"/>
      <c r="F62" s="163"/>
      <c r="G62" s="163"/>
      <c r="H62" s="163"/>
      <c r="I62" s="163"/>
      <c r="J62" s="163"/>
      <c r="K62" s="163"/>
      <c r="L62" s="166"/>
      <c r="M62" s="166"/>
      <c r="N62" s="163"/>
      <c r="AD62" s="27"/>
      <c r="AE62" s="27"/>
      <c r="AF62" s="27"/>
      <c r="AG62" s="27"/>
      <c r="AH62" s="27"/>
      <c r="AI62" s="27"/>
      <c r="AJ62" s="27"/>
    </row>
    <row r="63" spans="1:36" ht="14.5" x14ac:dyDescent="0.35">
      <c r="C63" s="167"/>
      <c r="D63" s="167"/>
      <c r="E63" s="168"/>
      <c r="F63" s="163"/>
      <c r="G63" s="163"/>
      <c r="H63" s="163"/>
      <c r="I63" s="163"/>
      <c r="J63" s="163"/>
      <c r="K63" s="164"/>
      <c r="L63" s="167"/>
      <c r="M63" s="167"/>
      <c r="N63" s="167"/>
      <c r="T63" s="169" t="s">
        <v>101</v>
      </c>
      <c r="U63" s="169" t="s">
        <v>72</v>
      </c>
      <c r="V63" s="169" t="s">
        <v>73</v>
      </c>
      <c r="AD63" s="27"/>
      <c r="AE63" s="27"/>
      <c r="AF63" s="27"/>
      <c r="AG63" s="27"/>
      <c r="AH63" s="27"/>
      <c r="AI63" s="27"/>
      <c r="AJ63" s="27"/>
    </row>
    <row r="64" spans="1:36" ht="14.5" x14ac:dyDescent="0.35">
      <c r="C64" s="170"/>
      <c r="D64" s="171"/>
      <c r="E64" s="171"/>
      <c r="F64" s="163"/>
      <c r="G64" s="163"/>
      <c r="H64" s="163"/>
      <c r="I64" s="163"/>
      <c r="J64" s="163"/>
      <c r="K64" s="163"/>
      <c r="L64" s="170"/>
      <c r="M64" s="171"/>
      <c r="N64" s="171"/>
      <c r="T64" s="172" t="s">
        <v>102</v>
      </c>
      <c r="U64" s="173" t="e">
        <f>#REF!</f>
        <v>#REF!</v>
      </c>
      <c r="V64" s="173" t="e">
        <f>#REF!</f>
        <v>#REF!</v>
      </c>
      <c r="AD64" s="27"/>
      <c r="AE64" s="27"/>
      <c r="AF64" s="27"/>
      <c r="AG64" s="27"/>
      <c r="AH64" s="27"/>
      <c r="AI64" s="27"/>
      <c r="AJ64" s="27"/>
    </row>
    <row r="65" spans="3:36" ht="14.5" x14ac:dyDescent="0.35">
      <c r="C65" s="170"/>
      <c r="D65" s="171"/>
      <c r="E65" s="171"/>
      <c r="F65" s="163"/>
      <c r="G65" s="163"/>
      <c r="H65" s="163"/>
      <c r="I65" s="163"/>
      <c r="J65" s="163"/>
      <c r="K65" s="174"/>
      <c r="L65" s="175"/>
      <c r="M65" s="171"/>
      <c r="N65" s="171"/>
      <c r="T65" s="172" t="e">
        <f>#REF!</f>
        <v>#REF!</v>
      </c>
      <c r="U65" s="173" t="e">
        <f>#REF!</f>
        <v>#REF!</v>
      </c>
      <c r="V65" s="173" t="e">
        <f>#REF!</f>
        <v>#REF!</v>
      </c>
      <c r="AD65" s="27"/>
      <c r="AE65" s="27"/>
      <c r="AF65" s="27"/>
      <c r="AG65" s="27"/>
      <c r="AH65" s="27"/>
      <c r="AI65" s="27"/>
      <c r="AJ65" s="27"/>
    </row>
    <row r="66" spans="3:36" ht="14.5" x14ac:dyDescent="0.35">
      <c r="C66" s="170"/>
      <c r="D66" s="171"/>
      <c r="E66" s="171"/>
      <c r="F66" s="163"/>
      <c r="G66" s="163"/>
      <c r="H66" s="163"/>
      <c r="I66" s="163"/>
      <c r="J66" s="163"/>
      <c r="K66" s="163"/>
      <c r="L66" s="175"/>
      <c r="M66" s="171"/>
      <c r="N66" s="171"/>
      <c r="T66" s="176" t="e">
        <f>#REF!</f>
        <v>#REF!</v>
      </c>
      <c r="U66" s="173" t="e">
        <f>#REF!</f>
        <v>#REF!</v>
      </c>
      <c r="V66" s="173" t="e">
        <f>#REF!</f>
        <v>#REF!</v>
      </c>
      <c r="AD66" s="27"/>
      <c r="AE66" s="27"/>
      <c r="AF66" s="27"/>
      <c r="AG66" s="27"/>
      <c r="AH66" s="27"/>
      <c r="AI66" s="27"/>
      <c r="AJ66" s="27"/>
    </row>
    <row r="67" spans="3:36" ht="14.5" x14ac:dyDescent="0.35">
      <c r="C67" s="170"/>
      <c r="D67" s="171"/>
      <c r="E67" s="171"/>
      <c r="F67" s="163"/>
      <c r="G67" s="163"/>
      <c r="H67" s="163"/>
      <c r="I67" s="163"/>
      <c r="J67" s="163"/>
      <c r="K67" s="163"/>
      <c r="L67" s="163"/>
      <c r="M67" s="163"/>
      <c r="N67" s="163"/>
      <c r="T67" s="172" t="e">
        <f>#REF!</f>
        <v>#REF!</v>
      </c>
      <c r="U67" s="173" t="e">
        <f>#REF!</f>
        <v>#REF!</v>
      </c>
      <c r="V67" s="173" t="e">
        <f>#REF!</f>
        <v>#REF!</v>
      </c>
      <c r="AD67" s="27"/>
      <c r="AE67" s="27"/>
      <c r="AF67" s="27"/>
      <c r="AG67" s="27"/>
      <c r="AH67" s="27"/>
      <c r="AI67" s="27"/>
      <c r="AJ67" s="27"/>
    </row>
    <row r="68" spans="3:36" x14ac:dyDescent="0.35">
      <c r="C68" s="163"/>
      <c r="D68" s="164"/>
      <c r="E68" s="163"/>
      <c r="F68" s="163"/>
      <c r="G68" s="163"/>
      <c r="H68" s="163"/>
      <c r="I68" s="163"/>
      <c r="J68" s="163"/>
      <c r="K68" s="163"/>
      <c r="L68" s="163"/>
      <c r="M68" s="163"/>
      <c r="N68" s="163"/>
      <c r="AD68" s="27"/>
      <c r="AE68" s="27"/>
      <c r="AF68" s="27"/>
      <c r="AG68" s="27"/>
      <c r="AH68" s="27"/>
      <c r="AI68" s="27"/>
      <c r="AJ68" s="27"/>
    </row>
    <row r="69" spans="3:36" x14ac:dyDescent="0.35">
      <c r="C69" s="163"/>
      <c r="D69" s="164"/>
      <c r="E69" s="163"/>
      <c r="F69" s="163"/>
      <c r="G69" s="163"/>
      <c r="H69" s="163"/>
      <c r="I69" s="163"/>
      <c r="J69" s="163"/>
      <c r="K69" s="163"/>
      <c r="L69" s="163"/>
      <c r="M69" s="163"/>
      <c r="N69" s="163"/>
      <c r="AD69" s="27"/>
      <c r="AE69" s="27"/>
      <c r="AF69" s="27"/>
      <c r="AG69" s="27"/>
      <c r="AH69" s="27"/>
      <c r="AI69" s="27"/>
      <c r="AJ69" s="27"/>
    </row>
    <row r="70" spans="3:36" x14ac:dyDescent="0.35">
      <c r="C70" s="163"/>
      <c r="D70" s="164"/>
      <c r="E70" s="163"/>
      <c r="F70" s="163"/>
      <c r="G70" s="163"/>
      <c r="H70" s="163"/>
      <c r="I70" s="163"/>
      <c r="J70" s="163"/>
      <c r="K70" s="163"/>
      <c r="L70" s="163"/>
      <c r="M70" s="163"/>
      <c r="N70" s="163"/>
      <c r="AD70" s="27"/>
      <c r="AE70" s="27"/>
      <c r="AF70" s="27"/>
      <c r="AG70" s="27"/>
      <c r="AH70" s="27"/>
      <c r="AI70" s="27"/>
      <c r="AJ70" s="27"/>
    </row>
    <row r="71" spans="3:36" x14ac:dyDescent="0.35">
      <c r="C71" s="163"/>
      <c r="D71" s="164"/>
      <c r="E71" s="163"/>
      <c r="F71" s="163"/>
      <c r="G71" s="163"/>
      <c r="H71" s="163"/>
      <c r="I71" s="163"/>
      <c r="J71" s="163"/>
      <c r="K71" s="163"/>
      <c r="L71" s="163"/>
      <c r="M71" s="163"/>
      <c r="N71" s="163"/>
      <c r="AD71" s="27"/>
      <c r="AE71" s="27"/>
      <c r="AF71" s="27"/>
      <c r="AG71" s="27"/>
      <c r="AH71" s="27"/>
      <c r="AI71" s="27"/>
      <c r="AJ71" s="27"/>
    </row>
    <row r="72" spans="3:36" x14ac:dyDescent="0.35">
      <c r="AD72" s="27"/>
      <c r="AE72" s="27"/>
      <c r="AF72" s="27"/>
      <c r="AG72" s="27"/>
      <c r="AH72" s="27"/>
      <c r="AI72" s="27"/>
      <c r="AJ72" s="27"/>
    </row>
    <row r="73" spans="3:36" x14ac:dyDescent="0.35">
      <c r="AD73" s="27"/>
      <c r="AE73" s="27"/>
      <c r="AF73" s="27"/>
      <c r="AG73" s="27"/>
      <c r="AH73" s="27"/>
      <c r="AI73" s="27"/>
      <c r="AJ73" s="27"/>
    </row>
    <row r="74" spans="3:36" x14ac:dyDescent="0.35">
      <c r="AD74" s="27"/>
      <c r="AE74" s="27"/>
      <c r="AF74" s="27"/>
      <c r="AG74" s="27"/>
      <c r="AH74" s="27"/>
      <c r="AI74" s="27"/>
      <c r="AJ74" s="27"/>
    </row>
    <row r="75" spans="3:36" x14ac:dyDescent="0.35">
      <c r="AD75" s="27"/>
      <c r="AE75" s="27"/>
      <c r="AF75" s="27"/>
      <c r="AG75" s="27"/>
      <c r="AH75" s="27"/>
      <c r="AI75" s="27"/>
      <c r="AJ75" s="27"/>
    </row>
    <row r="76" spans="3:36" x14ac:dyDescent="0.35">
      <c r="AD76" s="27"/>
      <c r="AE76" s="27"/>
      <c r="AF76" s="27"/>
      <c r="AG76" s="27"/>
      <c r="AH76" s="27"/>
      <c r="AI76" s="27"/>
      <c r="AJ76" s="27"/>
    </row>
    <row r="77" spans="3:36" x14ac:dyDescent="0.35">
      <c r="AD77" s="27"/>
      <c r="AE77" s="27"/>
      <c r="AF77" s="27"/>
      <c r="AG77" s="27"/>
      <c r="AH77" s="27"/>
      <c r="AI77" s="27"/>
      <c r="AJ77" s="27"/>
    </row>
    <row r="78" spans="3:36" x14ac:dyDescent="0.35">
      <c r="AD78" s="27"/>
      <c r="AE78" s="27"/>
      <c r="AF78" s="27"/>
      <c r="AG78" s="27"/>
      <c r="AH78" s="27"/>
      <c r="AI78" s="27"/>
      <c r="AJ78" s="27"/>
    </row>
    <row r="79" spans="3:36" x14ac:dyDescent="0.35">
      <c r="AD79" s="27"/>
      <c r="AE79" s="27"/>
      <c r="AF79" s="27"/>
      <c r="AG79" s="27"/>
      <c r="AH79" s="27"/>
      <c r="AI79" s="27"/>
      <c r="AJ79" s="27"/>
    </row>
    <row r="80" spans="3:36" x14ac:dyDescent="0.35">
      <c r="AD80" s="27"/>
      <c r="AE80" s="27"/>
      <c r="AF80" s="27"/>
      <c r="AG80" s="27"/>
      <c r="AH80" s="27"/>
      <c r="AI80" s="27"/>
      <c r="AJ80" s="27"/>
    </row>
    <row r="81" spans="30:36" x14ac:dyDescent="0.35">
      <c r="AD81" s="27"/>
      <c r="AE81" s="27"/>
      <c r="AF81" s="27"/>
      <c r="AG81" s="27"/>
      <c r="AH81" s="27"/>
      <c r="AI81" s="27"/>
      <c r="AJ81" s="27"/>
    </row>
    <row r="82" spans="30:36" x14ac:dyDescent="0.35">
      <c r="AD82" s="27"/>
      <c r="AE82" s="27"/>
      <c r="AF82" s="27"/>
      <c r="AG82" s="27"/>
      <c r="AH82" s="27"/>
      <c r="AI82" s="27"/>
      <c r="AJ82" s="27"/>
    </row>
    <row r="83" spans="30:36" x14ac:dyDescent="0.35">
      <c r="AD83" s="27"/>
      <c r="AE83" s="27"/>
      <c r="AF83" s="27"/>
      <c r="AG83" s="27"/>
      <c r="AH83" s="27"/>
      <c r="AI83" s="27"/>
      <c r="AJ83" s="27"/>
    </row>
  </sheetData>
  <sheetProtection sheet="1" objects="1" scenarios="1" formatCells="0" formatColumns="0" formatRows="0" sort="0" autoFilter="0"/>
  <dataConsolidate link="1"/>
  <mergeCells count="83">
    <mergeCell ref="C12:C13"/>
    <mergeCell ref="S10:S11"/>
    <mergeCell ref="S12:S13"/>
    <mergeCell ref="K12:K13"/>
    <mergeCell ref="O21:P21"/>
    <mergeCell ref="C16:C17"/>
    <mergeCell ref="C18:C19"/>
    <mergeCell ref="L18:L19"/>
    <mergeCell ref="G16:H16"/>
    <mergeCell ref="D18:D19"/>
    <mergeCell ref="O16:P16"/>
    <mergeCell ref="S15:V15"/>
    <mergeCell ref="K16:K17"/>
    <mergeCell ref="L16:L17"/>
    <mergeCell ref="M16:M17"/>
    <mergeCell ref="N16:N17"/>
    <mergeCell ref="C28:C29"/>
    <mergeCell ref="C26:C27"/>
    <mergeCell ref="N26:N27"/>
    <mergeCell ref="F21:F22"/>
    <mergeCell ref="G21:H21"/>
    <mergeCell ref="K21:K22"/>
    <mergeCell ref="L21:L22"/>
    <mergeCell ref="M21:M22"/>
    <mergeCell ref="N21:N22"/>
    <mergeCell ref="D28:D29"/>
    <mergeCell ref="K28:K29"/>
    <mergeCell ref="L28:L29"/>
    <mergeCell ref="D26:D27"/>
    <mergeCell ref="G26:H26"/>
    <mergeCell ref="F26:F27"/>
    <mergeCell ref="M26:M27"/>
    <mergeCell ref="C23:C24"/>
    <mergeCell ref="K20:N20"/>
    <mergeCell ref="C21:C22"/>
    <mergeCell ref="D21:D22"/>
    <mergeCell ref="E21:E22"/>
    <mergeCell ref="L23:L24"/>
    <mergeCell ref="K18:K19"/>
    <mergeCell ref="E26:E27"/>
    <mergeCell ref="K26:K27"/>
    <mergeCell ref="D23:D24"/>
    <mergeCell ref="K23:K24"/>
    <mergeCell ref="T8:T9"/>
    <mergeCell ref="C8:C9"/>
    <mergeCell ref="K8:K9"/>
    <mergeCell ref="L8:L9"/>
    <mergeCell ref="K10:K11"/>
    <mergeCell ref="S8:S9"/>
    <mergeCell ref="C10:C11"/>
    <mergeCell ref="D2:E2"/>
    <mergeCell ref="F16:F17"/>
    <mergeCell ref="D8:D9"/>
    <mergeCell ref="D16:D17"/>
    <mergeCell ref="E16:E17"/>
    <mergeCell ref="D4:E4"/>
    <mergeCell ref="D3:E3"/>
    <mergeCell ref="F2:G2"/>
    <mergeCell ref="U16:U17"/>
    <mergeCell ref="V16:V17"/>
    <mergeCell ref="S23:S24"/>
    <mergeCell ref="T23:T24"/>
    <mergeCell ref="S20:V20"/>
    <mergeCell ref="S21:S22"/>
    <mergeCell ref="T21:T22"/>
    <mergeCell ref="U21:U22"/>
    <mergeCell ref="V21:V22"/>
    <mergeCell ref="S28:S29"/>
    <mergeCell ref="T28:T29"/>
    <mergeCell ref="W21:X21"/>
    <mergeCell ref="O26:P26"/>
    <mergeCell ref="K15:N15"/>
    <mergeCell ref="L26:L27"/>
    <mergeCell ref="W16:X16"/>
    <mergeCell ref="W26:X26"/>
    <mergeCell ref="S16:S17"/>
    <mergeCell ref="T16:T17"/>
    <mergeCell ref="S18:S19"/>
    <mergeCell ref="T18:T19"/>
    <mergeCell ref="S26:S27"/>
    <mergeCell ref="T26:T27"/>
    <mergeCell ref="U26:U27"/>
    <mergeCell ref="V26:V27"/>
  </mergeCells>
  <phoneticPr fontId="2" type="noConversion"/>
  <conditionalFormatting sqref="C12">
    <cfRule type="cellIs" dxfId="531" priority="4" stopIfTrue="1" operator="equal">
      <formula>0</formula>
    </cfRule>
    <cfRule type="containsBlanks" dxfId="530" priority="5" stopIfTrue="1">
      <formula>LEN(TRIM(C12))=0</formula>
    </cfRule>
    <cfRule type="cellIs" dxfId="529" priority="6" operator="lessThan">
      <formula>0.1</formula>
    </cfRule>
  </conditionalFormatting>
  <conditionalFormatting sqref="D18 L18 G18:I20 O18:Q20 D23 L23 G23:I24 O23:Q24 D28">
    <cfRule type="cellIs" dxfId="528" priority="502" operator="lessThan">
      <formula>0.1</formula>
    </cfRule>
    <cfRule type="cellIs" dxfId="527" priority="503" operator="lessThan">
      <formula>10</formula>
    </cfRule>
    <cfRule type="cellIs" dxfId="526" priority="504" operator="greaterThanOrEqual">
      <formula>10</formula>
    </cfRule>
    <cfRule type="containsBlanks" dxfId="525" priority="501" stopIfTrue="1">
      <formula>LEN(TRIM(D18))=0</formula>
    </cfRule>
  </conditionalFormatting>
  <conditionalFormatting sqref="E10:H13 U10:X13">
    <cfRule type="cellIs" dxfId="524" priority="343" operator="between">
      <formula>10</formula>
      <formula>9999.999</formula>
    </cfRule>
    <cfRule type="cellIs" dxfId="523" priority="342" operator="greaterThan">
      <formula>10000</formula>
    </cfRule>
    <cfRule type="cellIs" dxfId="522" priority="344" operator="between">
      <formula>1</formula>
      <formula>9.999</formula>
    </cfRule>
    <cfRule type="cellIs" dxfId="521" priority="346" operator="lessThan">
      <formula>0.1</formula>
    </cfRule>
    <cfRule type="cellIs" dxfId="520" priority="345" operator="between">
      <formula>0.1</formula>
      <formula>0.999</formula>
    </cfRule>
  </conditionalFormatting>
  <conditionalFormatting sqref="E10:H13">
    <cfRule type="cellIs" dxfId="519" priority="221" operator="equal">
      <formula>0</formula>
    </cfRule>
  </conditionalFormatting>
  <conditionalFormatting sqref="G18:I20 G23:I24 G28:I29">
    <cfRule type="cellIs" dxfId="518" priority="506" operator="greaterThanOrEqual">
      <formula>$F18</formula>
    </cfRule>
    <cfRule type="cellIs" dxfId="517" priority="507" operator="lessThan">
      <formula>$F18</formula>
    </cfRule>
  </conditionalFormatting>
  <conditionalFormatting sqref="G28:I29">
    <cfRule type="cellIs" dxfId="516" priority="493" stopIfTrue="1" operator="equal">
      <formula>0</formula>
    </cfRule>
    <cfRule type="containsBlanks" dxfId="515" priority="494" stopIfTrue="1">
      <formula>LEN(TRIM(G28))=0</formula>
    </cfRule>
    <cfRule type="cellIs" dxfId="514" priority="495" operator="lessThan">
      <formula>0.1</formula>
    </cfRule>
    <cfRule type="cellIs" dxfId="513" priority="496" operator="lessThan">
      <formula>10</formula>
    </cfRule>
    <cfRule type="cellIs" dxfId="512" priority="497" operator="greaterThanOrEqual">
      <formula>10</formula>
    </cfRule>
  </conditionalFormatting>
  <conditionalFormatting sqref="K12">
    <cfRule type="cellIs" dxfId="511" priority="166" stopIfTrue="1" operator="equal">
      <formula>0</formula>
    </cfRule>
    <cfRule type="containsBlanks" dxfId="510" priority="167" stopIfTrue="1">
      <formula>LEN(TRIM(K12))=0</formula>
    </cfRule>
    <cfRule type="cellIs" dxfId="509" priority="168" operator="lessThan">
      <formula>0.1</formula>
    </cfRule>
  </conditionalFormatting>
  <conditionalFormatting sqref="L28">
    <cfRule type="containsBlanks" dxfId="508" priority="461" stopIfTrue="1">
      <formula>LEN(TRIM(L28))=0</formula>
    </cfRule>
    <cfRule type="cellIs" dxfId="507" priority="462" operator="lessThan">
      <formula>0.1</formula>
    </cfRule>
    <cfRule type="cellIs" dxfId="506" priority="463" operator="lessThan">
      <formula>10</formula>
    </cfRule>
    <cfRule type="cellIs" dxfId="505" priority="460" stopIfTrue="1" operator="equal">
      <formula>0</formula>
    </cfRule>
    <cfRule type="cellIs" dxfId="504" priority="464" operator="greaterThanOrEqual">
      <formula>10</formula>
    </cfRule>
  </conditionalFormatting>
  <conditionalFormatting sqref="M10:P13">
    <cfRule type="cellIs" dxfId="503" priority="12" operator="lessThan">
      <formula>0.1</formula>
    </cfRule>
    <cfRule type="cellIs" dxfId="502" priority="8" operator="greaterThan">
      <formula>10000</formula>
    </cfRule>
    <cfRule type="cellIs" dxfId="501" priority="7" operator="equal">
      <formula>0</formula>
    </cfRule>
    <cfRule type="cellIs" dxfId="500" priority="9" operator="between">
      <formula>10</formula>
      <formula>9999.999</formula>
    </cfRule>
    <cfRule type="cellIs" dxfId="499" priority="10" operator="between">
      <formula>1</formula>
      <formula>9.999</formula>
    </cfRule>
    <cfRule type="cellIs" dxfId="498" priority="11" operator="between">
      <formula>0.1</formula>
      <formula>0.999</formula>
    </cfRule>
  </conditionalFormatting>
  <conditionalFormatting sqref="O28:P29">
    <cfRule type="cellIs" dxfId="497" priority="117" operator="greaterThanOrEqual">
      <formula>10</formula>
    </cfRule>
    <cfRule type="cellIs" dxfId="496" priority="116" operator="lessThan">
      <formula>10</formula>
    </cfRule>
    <cfRule type="cellIs" dxfId="495" priority="115" operator="lessThan">
      <formula>0.1</formula>
    </cfRule>
    <cfRule type="containsBlanks" dxfId="494" priority="114" stopIfTrue="1">
      <formula>LEN(TRIM(O28))=0</formula>
    </cfRule>
    <cfRule type="cellIs" dxfId="493" priority="113" stopIfTrue="1" operator="equal">
      <formula>0</formula>
    </cfRule>
  </conditionalFormatting>
  <conditionalFormatting sqref="O18:Q18 O20:Q20">
    <cfRule type="cellIs" dxfId="492" priority="558" operator="lessThan">
      <formula>$N18</formula>
    </cfRule>
    <cfRule type="cellIs" dxfId="491" priority="557" operator="greaterThanOrEqual">
      <formula>$N18</formula>
    </cfRule>
  </conditionalFormatting>
  <conditionalFormatting sqref="O18:Q19 O23:Q24 O28:Q29">
    <cfRule type="cellIs" dxfId="490" priority="153" stopIfTrue="1" operator="equal">
      <formula>0</formula>
    </cfRule>
    <cfRule type="cellIs" dxfId="489" priority="212" operator="lessThan">
      <formula>$N18</formula>
    </cfRule>
  </conditionalFormatting>
  <conditionalFormatting sqref="O18:Q19 O23:Q24">
    <cfRule type="cellIs" dxfId="488" priority="214" operator="lessThan">
      <formula>10</formula>
    </cfRule>
  </conditionalFormatting>
  <conditionalFormatting sqref="O18:Q20 O23:Q24 D18 L18 G18:I20 D23 L23 G23:I24 D28">
    <cfRule type="cellIs" dxfId="487" priority="500" stopIfTrue="1" operator="equal">
      <formula>0</formula>
    </cfRule>
  </conditionalFormatting>
  <conditionalFormatting sqref="O19:Q19">
    <cfRule type="cellIs" dxfId="486" priority="213" operator="lessThan">
      <formula>0.1</formula>
    </cfRule>
    <cfRule type="cellIs" dxfId="485" priority="215" operator="greaterThanOrEqual">
      <formula>10</formula>
    </cfRule>
  </conditionalFormatting>
  <conditionalFormatting sqref="O23:Q24 O28:Q29 O18:Q19">
    <cfRule type="containsBlanks" dxfId="484" priority="152" stopIfTrue="1">
      <formula>LEN(TRIM(O18))=0</formula>
    </cfRule>
  </conditionalFormatting>
  <conditionalFormatting sqref="O28:Q29 O18:Q19 O23:Q24">
    <cfRule type="cellIs" dxfId="483" priority="211" operator="greaterThanOrEqual">
      <formula>$N18</formula>
    </cfRule>
  </conditionalFormatting>
  <conditionalFormatting sqref="O28:Q29">
    <cfRule type="cellIs" dxfId="482" priority="178" operator="greaterThanOrEqual">
      <formula>10</formula>
    </cfRule>
    <cfRule type="cellIs" dxfId="481" priority="176" operator="lessThan">
      <formula>0.1</formula>
    </cfRule>
    <cfRule type="cellIs" dxfId="480" priority="177" operator="lessThan">
      <formula>10</formula>
    </cfRule>
    <cfRule type="containsBlanks" dxfId="479" priority="175" stopIfTrue="1">
      <formula>LEN(TRIM(O28))=0</formula>
    </cfRule>
    <cfRule type="cellIs" dxfId="478" priority="174" stopIfTrue="1" operator="equal">
      <formula>0</formula>
    </cfRule>
    <cfRule type="containsBlanks" dxfId="477" priority="156" stopIfTrue="1">
      <formula>LEN(TRIM(O28))=0</formula>
    </cfRule>
    <cfRule type="cellIs" dxfId="476" priority="157" operator="lessThan">
      <formula>0.1</formula>
    </cfRule>
    <cfRule type="cellIs" dxfId="475" priority="158" operator="lessThan">
      <formula>10</formula>
    </cfRule>
    <cfRule type="cellIs" dxfId="474" priority="159" operator="greaterThanOrEqual">
      <formula>10</formula>
    </cfRule>
  </conditionalFormatting>
  <conditionalFormatting sqref="P22">
    <cfRule type="containsBlanks" dxfId="473" priority="163" stopIfTrue="1">
      <formula>LEN(TRIM(P22))=0</formula>
    </cfRule>
    <cfRule type="cellIs" dxfId="472" priority="164" operator="lessThan">
      <formula>0.1</formula>
    </cfRule>
    <cfRule type="cellIs" dxfId="471" priority="162" stopIfTrue="1" operator="equal">
      <formula>0</formula>
    </cfRule>
  </conditionalFormatting>
  <conditionalFormatting sqref="P23:P24">
    <cfRule type="cellIs" dxfId="470" priority="151" operator="lessThan">
      <formula>$N23</formula>
    </cfRule>
    <cfRule type="cellIs" dxfId="469" priority="150" operator="greaterThanOrEqual">
      <formula>$N23</formula>
    </cfRule>
  </conditionalFormatting>
  <conditionalFormatting sqref="P24">
    <cfRule type="cellIs" dxfId="468" priority="147" operator="greaterThanOrEqual">
      <formula>10</formula>
    </cfRule>
    <cfRule type="cellIs" dxfId="467" priority="141" operator="greaterThanOrEqual">
      <formula>$N24</formula>
    </cfRule>
    <cfRule type="cellIs" dxfId="466" priority="148" operator="greaterThanOrEqual">
      <formula>$N24</formula>
    </cfRule>
    <cfRule type="cellIs" dxfId="465" priority="142" operator="lessThan">
      <formula>$N24</formula>
    </cfRule>
    <cfRule type="cellIs" dxfId="464" priority="143" stopIfTrue="1" operator="equal">
      <formula>0</formula>
    </cfRule>
    <cfRule type="containsBlanks" dxfId="463" priority="144" stopIfTrue="1">
      <formula>LEN(TRIM(P24))=0</formula>
    </cfRule>
    <cfRule type="cellIs" dxfId="462" priority="145" operator="lessThan">
      <formula>0.1</formula>
    </cfRule>
    <cfRule type="cellIs" dxfId="461" priority="146" operator="lessThan">
      <formula>10</formula>
    </cfRule>
    <cfRule type="cellIs" dxfId="460" priority="149" operator="lessThan">
      <formula>$N24</formula>
    </cfRule>
  </conditionalFormatting>
  <conditionalFormatting sqref="P28:P29">
    <cfRule type="cellIs" dxfId="459" priority="118" operator="greaterThanOrEqual">
      <formula>$N28</formula>
    </cfRule>
    <cfRule type="cellIs" dxfId="458" priority="120" stopIfTrue="1" operator="equal">
      <formula>0</formula>
    </cfRule>
    <cfRule type="containsBlanks" dxfId="457" priority="121" stopIfTrue="1">
      <formula>LEN(TRIM(P28))=0</formula>
    </cfRule>
    <cfRule type="cellIs" dxfId="456" priority="122" operator="lessThan">
      <formula>0.1</formula>
    </cfRule>
    <cfRule type="cellIs" dxfId="455" priority="123" operator="lessThan">
      <formula>10</formula>
    </cfRule>
    <cfRule type="cellIs" dxfId="454" priority="124" operator="greaterThanOrEqual">
      <formula>10</formula>
    </cfRule>
    <cfRule type="cellIs" dxfId="453" priority="134" stopIfTrue="1" operator="equal">
      <formula>0</formula>
    </cfRule>
    <cfRule type="containsBlanks" dxfId="452" priority="135" stopIfTrue="1">
      <formula>LEN(TRIM(P28))=0</formula>
    </cfRule>
    <cfRule type="cellIs" dxfId="451" priority="136" operator="lessThan">
      <formula>0.1</formula>
    </cfRule>
    <cfRule type="cellIs" dxfId="450" priority="138" operator="greaterThanOrEqual">
      <formula>10</formula>
    </cfRule>
    <cfRule type="cellIs" dxfId="449" priority="139" operator="greaterThanOrEqual">
      <formula>$N28</formula>
    </cfRule>
    <cfRule type="cellIs" dxfId="448" priority="140" operator="lessThan">
      <formula>$N28</formula>
    </cfRule>
    <cfRule type="cellIs" dxfId="447" priority="137" operator="lessThan">
      <formula>10</formula>
    </cfRule>
    <cfRule type="cellIs" dxfId="446" priority="119" operator="lessThan">
      <formula>$N28</formula>
    </cfRule>
  </conditionalFormatting>
  <conditionalFormatting sqref="P29">
    <cfRule type="cellIs" dxfId="445" priority="125" operator="greaterThanOrEqual">
      <formula>$N29</formula>
    </cfRule>
    <cfRule type="cellIs" dxfId="444" priority="126" operator="lessThan">
      <formula>$N29</formula>
    </cfRule>
    <cfRule type="cellIs" dxfId="443" priority="127" stopIfTrue="1" operator="equal">
      <formula>0</formula>
    </cfRule>
    <cfRule type="containsBlanks" dxfId="442" priority="128" stopIfTrue="1">
      <formula>LEN(TRIM(P29))=0</formula>
    </cfRule>
    <cfRule type="cellIs" dxfId="441" priority="132" operator="greaterThanOrEqual">
      <formula>$N29</formula>
    </cfRule>
    <cfRule type="cellIs" dxfId="440" priority="133" operator="lessThan">
      <formula>$N29</formula>
    </cfRule>
    <cfRule type="cellIs" dxfId="439" priority="131" operator="greaterThanOrEqual">
      <formula>10</formula>
    </cfRule>
    <cfRule type="cellIs" dxfId="438" priority="130" operator="lessThan">
      <formula>10</formula>
    </cfRule>
    <cfRule type="cellIs" dxfId="437" priority="129" operator="lessThan">
      <formula>0.1</formula>
    </cfRule>
  </conditionalFormatting>
  <conditionalFormatting sqref="S12">
    <cfRule type="containsBlanks" dxfId="436" priority="2" stopIfTrue="1">
      <formula>LEN(TRIM(S12))=0</formula>
    </cfRule>
    <cfRule type="cellIs" dxfId="435" priority="3" operator="lessThan">
      <formula>0.1</formula>
    </cfRule>
    <cfRule type="cellIs" dxfId="434" priority="1" stopIfTrue="1" operator="equal">
      <formula>0</formula>
    </cfRule>
  </conditionalFormatting>
  <conditionalFormatting sqref="T18">
    <cfRule type="cellIs" dxfId="433" priority="449" operator="lessThan">
      <formula>10</formula>
    </cfRule>
    <cfRule type="cellIs" dxfId="432" priority="450" operator="greaterThanOrEqual">
      <formula>10</formula>
    </cfRule>
    <cfRule type="containsBlanks" dxfId="431" priority="447" stopIfTrue="1">
      <formula>LEN(TRIM(T18))=0</formula>
    </cfRule>
    <cfRule type="cellIs" dxfId="430" priority="446" stopIfTrue="1" operator="equal">
      <formula>0</formula>
    </cfRule>
    <cfRule type="cellIs" dxfId="429" priority="448" operator="lessThan">
      <formula>0.1</formula>
    </cfRule>
  </conditionalFormatting>
  <conditionalFormatting sqref="T23">
    <cfRule type="cellIs" dxfId="428" priority="327" stopIfTrue="1" operator="equal">
      <formula>0</formula>
    </cfRule>
    <cfRule type="containsBlanks" dxfId="427" priority="328" stopIfTrue="1">
      <formula>LEN(TRIM(T23))=0</formula>
    </cfRule>
    <cfRule type="cellIs" dxfId="426" priority="329" operator="lessThan">
      <formula>0.1</formula>
    </cfRule>
    <cfRule type="cellIs" dxfId="425" priority="330" operator="lessThan">
      <formula>10</formula>
    </cfRule>
    <cfRule type="cellIs" dxfId="424" priority="331" operator="greaterThanOrEqual">
      <formula>10</formula>
    </cfRule>
  </conditionalFormatting>
  <conditionalFormatting sqref="T28">
    <cfRule type="cellIs" dxfId="423" priority="436" stopIfTrue="1" operator="equal">
      <formula>0</formula>
    </cfRule>
    <cfRule type="containsBlanks" dxfId="422" priority="437" stopIfTrue="1">
      <formula>LEN(TRIM(T28))=0</formula>
    </cfRule>
    <cfRule type="cellIs" dxfId="421" priority="438" operator="lessThan">
      <formula>0.1</formula>
    </cfRule>
    <cfRule type="cellIs" dxfId="420" priority="439" operator="lessThan">
      <formula>10</formula>
    </cfRule>
    <cfRule type="cellIs" dxfId="419" priority="440" operator="greaterThanOrEqual">
      <formula>10</formula>
    </cfRule>
  </conditionalFormatting>
  <conditionalFormatting sqref="W18:Y20 W23:Y24 W28:Y29">
    <cfRule type="cellIs" dxfId="418" priority="433" operator="lessThan">
      <formula>$F18</formula>
    </cfRule>
    <cfRule type="cellIs" dxfId="417" priority="432" operator="greaterThanOrEqual">
      <formula>$F18</formula>
    </cfRule>
  </conditionalFormatting>
  <conditionalFormatting sqref="W18:AA20 W23:AA24">
    <cfRule type="cellIs" dxfId="416" priority="404" operator="lessThan">
      <formula>10</formula>
    </cfRule>
    <cfRule type="cellIs" dxfId="415" priority="401" stopIfTrue="1" operator="equal">
      <formula>0</formula>
    </cfRule>
    <cfRule type="containsBlanks" dxfId="414" priority="402" stopIfTrue="1">
      <formula>LEN(TRIM(W18))=0</formula>
    </cfRule>
    <cfRule type="cellIs" dxfId="413" priority="403" operator="lessThan">
      <formula>0.1</formula>
    </cfRule>
    <cfRule type="cellIs" dxfId="412" priority="405" operator="greaterThanOrEqual">
      <formula>10</formula>
    </cfRule>
  </conditionalFormatting>
  <conditionalFormatting sqref="W28:AA29">
    <cfRule type="containsBlanks" dxfId="411" priority="385" stopIfTrue="1">
      <formula>LEN(TRIM(W28))=0</formula>
    </cfRule>
    <cfRule type="cellIs" dxfId="410" priority="386" operator="lessThan">
      <formula>0.1</formula>
    </cfRule>
    <cfRule type="cellIs" dxfId="409" priority="387" operator="lessThan">
      <formula>10</formula>
    </cfRule>
    <cfRule type="cellIs" dxfId="408" priority="384" stopIfTrue="1" operator="equal">
      <formula>0</formula>
    </cfRule>
    <cfRule type="cellIs" dxfId="407" priority="388" operator="greaterThanOrEqual">
      <formula>10</formula>
    </cfRule>
  </conditionalFormatting>
  <conditionalFormatting sqref="Y28:Y29">
    <cfRule type="cellIs" dxfId="406" priority="372" operator="greaterThanOrEqual">
      <formula>10</formula>
    </cfRule>
    <cfRule type="cellIs" dxfId="405" priority="371" operator="lessThan">
      <formula>10</formula>
    </cfRule>
    <cfRule type="cellIs" dxfId="404" priority="370" operator="lessThan">
      <formula>0.1</formula>
    </cfRule>
    <cfRule type="containsBlanks" dxfId="403" priority="369" stopIfTrue="1">
      <formula>LEN(TRIM(Y28))=0</formula>
    </cfRule>
    <cfRule type="cellIs" dxfId="402" priority="368" stopIfTrue="1" operator="equal">
      <formula>0</formula>
    </cfRule>
  </conditionalFormatting>
  <conditionalFormatting sqref="Y28:AA28">
    <cfRule type="containsBlanks" dxfId="401" priority="309" stopIfTrue="1">
      <formula>LEN(TRIM(Y28))=0</formula>
    </cfRule>
    <cfRule type="cellIs" dxfId="400" priority="308" stopIfTrue="1" operator="equal">
      <formula>0</formula>
    </cfRule>
    <cfRule type="cellIs" dxfId="399" priority="312" operator="greaterThanOrEqual">
      <formula>10</formula>
    </cfRule>
    <cfRule type="cellIs" dxfId="398" priority="311" operator="lessThan">
      <formula>10</formula>
    </cfRule>
    <cfRule type="cellIs" dxfId="397" priority="310" operator="lessThan">
      <formula>0.1</formula>
    </cfRule>
  </conditionalFormatting>
  <conditionalFormatting sqref="Y28:AA29">
    <cfRule type="cellIs" dxfId="396" priority="304" operator="lessThan">
      <formula>10</formula>
    </cfRule>
    <cfRule type="cellIs" dxfId="395" priority="305" operator="greaterThanOrEqual">
      <formula>10</formula>
    </cfRule>
    <cfRule type="containsBlanks" dxfId="394" priority="302" stopIfTrue="1">
      <formula>LEN(TRIM(Y28))=0</formula>
    </cfRule>
    <cfRule type="cellIs" dxfId="393" priority="301" stopIfTrue="1" operator="equal">
      <formula>0</formula>
    </cfRule>
    <cfRule type="cellIs" dxfId="392" priority="303" operator="lessThan">
      <formula>0.1</formula>
    </cfRule>
  </conditionalFormatting>
  <conditionalFormatting sqref="Z18:Z20 Z23:Z24 Z28:Z29">
    <cfRule type="cellIs" dxfId="391" priority="419" operator="lessThan">
      <formula>$N18</formula>
    </cfRule>
    <cfRule type="cellIs" dxfId="390" priority="418" operator="greaterThanOrEqual">
      <formula>$N18</formula>
    </cfRule>
  </conditionalFormatting>
  <conditionalFormatting sqref="AA18:AA20 AA23:AA24">
    <cfRule type="cellIs" dxfId="389" priority="407" operator="lessThan">
      <formula>$F18</formula>
    </cfRule>
    <cfRule type="cellIs" dxfId="388" priority="406" operator="greaterThanOrEqual">
      <formula>$F18</formula>
    </cfRule>
  </conditionalFormatting>
  <conditionalFormatting sqref="AA28">
    <cfRule type="cellIs" dxfId="387" priority="313" operator="greaterThanOrEqual">
      <formula>$F28</formula>
    </cfRule>
    <cfRule type="cellIs" dxfId="386" priority="314" operator="lessThan">
      <formula>$F28</formula>
    </cfRule>
  </conditionalFormatting>
  <conditionalFormatting sqref="AA28:AA29">
    <cfRule type="cellIs" dxfId="385" priority="306" operator="greaterThanOrEqual">
      <formula>$F28</formula>
    </cfRule>
    <cfRule type="cellIs" dxfId="384" priority="307" operator="lessThan">
      <formula>$F28</formula>
    </cfRule>
    <cfRule type="cellIs" dxfId="383" priority="390" operator="lessThan">
      <formula>$F28</formula>
    </cfRule>
    <cfRule type="cellIs" dxfId="382" priority="389" operator="greaterThanOrEqual">
      <formula>$F28</formula>
    </cfRule>
  </conditionalFormatting>
  <dataValidations count="1">
    <dataValidation allowBlank="1" showErrorMessage="1" sqref="F14:H14 C8 K8 C12 S8 E12" xr:uid="{00000000-0002-0000-0200-000005000000}"/>
  </dataValidations>
  <pageMargins left="0.7" right="0.7" top="0.75" bottom="0.75" header="0.3" footer="0.3"/>
  <pageSetup orientation="portrait" r:id="rId1"/>
  <ignoredErrors>
    <ignoredError sqref="D4"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B0688B23-6125-49FA-9B9F-BE3A00B4E2DD}">
          <x14:formula1>
            <xm:f>'List Values'!$D$15:$D$19</xm:f>
          </x14:formula1>
          <xm:sqref>F4</xm:sqref>
        </x14:dataValidation>
        <x14:dataValidation type="list" allowBlank="1" showInputMessage="1" showErrorMessage="1" xr:uid="{44E4887F-EC09-4DD3-A7BB-3FED90528BBA}">
          <x14:formula1>
            <xm:f>'List Values'!$D$22:$D$24</xm:f>
          </x14:formula1>
          <xm:sqref>G4</xm:sqref>
        </x14:dataValidation>
        <x14:dataValidation type="list" allowBlank="1" showInputMessage="1" showErrorMessage="1" xr:uid="{7A257FB3-03C7-4DEF-9441-F0399894DF14}">
          <x14:formula1>
            <xm:f>'List Values'!$B$2:$B$20</xm:f>
          </x14:formula1>
          <xm:sqref>C4</xm:sqref>
        </x14:dataValidation>
        <x14:dataValidation type="list" allowBlank="1" showInputMessage="1" showErrorMessage="1" xr:uid="{3D820074-6605-408F-8FB7-476692367AAF}">
          <x14:formula1>
            <xm:f>'List Values'!D6:D7</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D8A6-1677-465E-88B2-1343E7284108}">
  <sheetPr codeName="Sheet3">
    <tabColor rgb="FF92D050"/>
  </sheetPr>
  <dimension ref="A1:Z54"/>
  <sheetViews>
    <sheetView workbookViewId="0"/>
  </sheetViews>
  <sheetFormatPr defaultColWidth="8.90625" defaultRowHeight="13" x14ac:dyDescent="0.35"/>
  <cols>
    <col min="1" max="1" width="2.08984375" style="27" customWidth="1"/>
    <col min="2" max="2" width="8.453125" style="28" hidden="1" customWidth="1"/>
    <col min="3" max="3" width="17.08984375" style="57" customWidth="1"/>
    <col min="4" max="4" width="13.54296875" style="179" customWidth="1"/>
    <col min="5" max="5" width="15.90625" style="57" customWidth="1"/>
    <col min="6" max="6" width="13.453125" style="57" customWidth="1"/>
    <col min="7" max="7" width="2.08984375" style="27" customWidth="1"/>
    <col min="8" max="8" width="15" style="27" customWidth="1"/>
    <col min="9" max="9" width="23" style="27" customWidth="1"/>
    <col min="10" max="10" width="17.453125" style="27" customWidth="1"/>
    <col min="11" max="11" width="15.54296875" style="27" customWidth="1"/>
    <col min="12" max="14" width="21.54296875" style="27" customWidth="1"/>
    <col min="15" max="15" width="10.08984375" style="27" bestFit="1" customWidth="1"/>
    <col min="16" max="16" width="11.08984375" style="27" bestFit="1" customWidth="1"/>
    <col min="17" max="17" width="2.90625" style="27" customWidth="1"/>
    <col min="18" max="18" width="23.08984375" style="27" customWidth="1"/>
    <col min="19" max="19" width="18.08984375" style="27" customWidth="1"/>
    <col min="20" max="20" width="21.08984375" style="27" customWidth="1"/>
    <col min="21" max="23" width="23.08984375" style="27" customWidth="1"/>
    <col min="24" max="24" width="17" style="27" customWidth="1"/>
    <col min="25" max="25" width="13.08984375" style="27" customWidth="1"/>
    <col min="26" max="16384" width="8.90625" style="27"/>
  </cols>
  <sheetData>
    <row r="1" spans="2:26" ht="13.5" thickBot="1" x14ac:dyDescent="0.4">
      <c r="C1" s="27"/>
      <c r="D1" s="28"/>
      <c r="E1" s="27"/>
      <c r="F1" s="27"/>
    </row>
    <row r="2" spans="2:26" ht="29.15" customHeight="1" thickBot="1" x14ac:dyDescent="0.4">
      <c r="C2" s="31" t="s">
        <v>47</v>
      </c>
      <c r="D2" s="177" t="s">
        <v>48</v>
      </c>
      <c r="E2" s="178"/>
      <c r="F2" s="36" t="s">
        <v>50</v>
      </c>
      <c r="J2" s="29"/>
      <c r="K2" s="29"/>
      <c r="U2" s="29"/>
    </row>
    <row r="3" spans="2:26" ht="52" x14ac:dyDescent="0.35">
      <c r="C3" s="37" t="s">
        <v>51</v>
      </c>
      <c r="D3" s="38" t="s">
        <v>52</v>
      </c>
      <c r="E3" s="39"/>
      <c r="F3" s="42" t="s">
        <v>55</v>
      </c>
      <c r="J3" s="29"/>
    </row>
    <row r="4" spans="2:26" ht="23.25" customHeight="1" x14ac:dyDescent="0.35">
      <c r="C4" s="43" t="s">
        <v>163</v>
      </c>
      <c r="D4" s="44" t="str">
        <f>_xlfn.XLOOKUP($C$4,Inhalation_Exp[OES],Inhalation_Exp[Data Type])</f>
        <v>Modeled Data</v>
      </c>
      <c r="E4" s="45"/>
      <c r="F4" s="48" t="s">
        <v>57</v>
      </c>
      <c r="J4" s="29"/>
    </row>
    <row r="5" spans="2:26" ht="24.75" customHeight="1" x14ac:dyDescent="0.35">
      <c r="I5" s="29"/>
      <c r="J5" s="29"/>
      <c r="K5" s="50"/>
      <c r="L5" s="50"/>
      <c r="M5" s="50"/>
      <c r="N5" s="180"/>
    </row>
    <row r="6" spans="2:26" ht="15.5" x14ac:dyDescent="0.35">
      <c r="I6" s="181" t="s">
        <v>104</v>
      </c>
      <c r="J6" s="30"/>
      <c r="K6" s="29"/>
      <c r="L6" s="50"/>
      <c r="M6" s="50"/>
      <c r="N6" s="29"/>
      <c r="R6" s="181" t="s">
        <v>50</v>
      </c>
      <c r="U6" s="57"/>
      <c r="V6" s="50"/>
      <c r="W6" s="29"/>
    </row>
    <row r="7" spans="2:26" ht="15.75" customHeight="1" thickBot="1" x14ac:dyDescent="0.4">
      <c r="I7" s="182" t="s">
        <v>60</v>
      </c>
      <c r="J7" s="28"/>
      <c r="N7" s="50"/>
      <c r="R7" s="182" t="s">
        <v>60</v>
      </c>
      <c r="T7" s="57"/>
      <c r="U7" s="50"/>
    </row>
    <row r="8" spans="2:26" ht="23.25" customHeight="1" x14ac:dyDescent="0.35">
      <c r="I8" s="58" t="s">
        <v>61</v>
      </c>
      <c r="J8" s="101" t="s">
        <v>62</v>
      </c>
      <c r="K8" s="60" t="s">
        <v>105</v>
      </c>
      <c r="L8" s="60" t="s">
        <v>64</v>
      </c>
      <c r="M8" s="183" t="s">
        <v>106</v>
      </c>
      <c r="N8" s="184"/>
      <c r="R8" s="58" t="s">
        <v>61</v>
      </c>
      <c r="S8" s="101" t="s">
        <v>62</v>
      </c>
      <c r="T8" s="60" t="s">
        <v>107</v>
      </c>
      <c r="U8" s="60" t="s">
        <v>64</v>
      </c>
      <c r="V8" s="183" t="s">
        <v>108</v>
      </c>
      <c r="W8" s="184"/>
    </row>
    <row r="9" spans="2:26" ht="27" customHeight="1" thickBot="1" x14ac:dyDescent="0.4">
      <c r="H9" s="28"/>
      <c r="I9" s="65"/>
      <c r="J9" s="110"/>
      <c r="K9" s="70" t="s">
        <v>67</v>
      </c>
      <c r="L9" s="70" t="s">
        <v>68</v>
      </c>
      <c r="M9" s="185" t="s">
        <v>69</v>
      </c>
      <c r="N9" s="184"/>
      <c r="R9" s="65"/>
      <c r="S9" s="110"/>
      <c r="T9" s="70" t="s">
        <v>109</v>
      </c>
      <c r="U9" s="70" t="s">
        <v>68</v>
      </c>
      <c r="V9" s="185" t="s">
        <v>110</v>
      </c>
      <c r="W9" s="184"/>
    </row>
    <row r="10" spans="2:26" ht="12.75" customHeight="1" x14ac:dyDescent="0.35">
      <c r="H10" s="28"/>
      <c r="I10" s="71" t="str">
        <f>$F$4</f>
        <v>Average Adult Worker</v>
      </c>
      <c r="J10" s="186" t="s">
        <v>72</v>
      </c>
      <c r="K10" s="187">
        <f>SUMIFS(Inhalation_Exp[24hr_High-End],Inhalation_Exp[OES],$C$4,Inhalation_Exp[Worker Type],$I10,Inhalation_Exp[Data Type],$D$4)</f>
        <v>2.2875E-3</v>
      </c>
      <c r="L10" s="187">
        <f>SUMIFS(Inhalation_Exp[Int_High-End],Inhalation_Exp[OES],$C$4,Inhalation_Exp[Worker Type],$I10,Inhalation_Exp[Data Type],$D$4)</f>
        <v>1.6775E-3</v>
      </c>
      <c r="M10" s="188">
        <f>SUMIFS(Inhalation_Exp[ADD_High-End],Inhalation_Exp[OES],$C$4,Inhalation_Exp[Worker Type],$I10,Inhalation_Exp[Data Type],$D$4)</f>
        <v>1.5667808219178082E-3</v>
      </c>
      <c r="N10" s="189"/>
      <c r="R10" s="71" t="str">
        <f>$F$4</f>
        <v>Average Adult Worker</v>
      </c>
      <c r="S10" s="186" t="s">
        <v>72</v>
      </c>
      <c r="T10" s="187">
        <f>SUMIFS(Dermal_Exp[High-End AD (mg/kg-day)],Dermal_Exp[Worker Type],$R$10,Dermal_Exp[OES],$C$4)</f>
        <v>7.4899999999999993E-3</v>
      </c>
      <c r="U10" s="187">
        <f>SUMIFS(Dermal_Exp[High-End IADD (mg/kg-day)],Dermal_Exp[Worker Type],$R$10,Dermal_Exp[OES],$C$4)</f>
        <v>5.4926666666666657E-3</v>
      </c>
      <c r="V10" s="188">
        <f>SUMIFS(Dermal_Exp[High-End ADD (mg/kg-day)],Dermal_Exp[Worker Type],$R$10,Dermal_Exp[OES],$C$4)</f>
        <v>5.1301369863013691E-3</v>
      </c>
      <c r="W10" s="189"/>
      <c r="Z10" s="190"/>
    </row>
    <row r="11" spans="2:26" ht="13.5" thickBot="1" x14ac:dyDescent="0.4">
      <c r="H11" s="28"/>
      <c r="I11" s="79"/>
      <c r="J11" s="191" t="s">
        <v>73</v>
      </c>
      <c r="K11" s="192">
        <f>SUMIFS(Inhalation_Exp[24hr_Central Tendency],Inhalation_Exp[OES],$C$4,Inhalation_Exp[Worker Type],$I10,Inhalation_Exp[Data Type],$D$4)</f>
        <v>5.0000000000000001E-4</v>
      </c>
      <c r="L11" s="192">
        <f>SUMIFS(Inhalation_Exp[Int_Central Tendency],Inhalation_Exp[OES],$C$4,Inhalation_Exp[Worker Type],$I10,Inhalation_Exp[Data Type],$D$4)</f>
        <v>3.6666666666666667E-4</v>
      </c>
      <c r="M11" s="193">
        <f>SUMIFS(Inhalation_Exp[ADD_Central Tendency],Inhalation_Exp[OES],$C$4,Inhalation_Exp[Worker Type],$I10,Inhalation_Exp[Data Type],$D$4)</f>
        <v>3.4246575342465754E-4</v>
      </c>
      <c r="N11" s="189"/>
      <c r="R11" s="79"/>
      <c r="S11" s="191" t="s">
        <v>73</v>
      </c>
      <c r="T11" s="192">
        <f>SUMIFS(Dermal_Exp[Central Tendency AD (mg/kg-day)],Dermal_Exp[Worker Type],$R$10,Dermal_Exp[OES],$C$4)</f>
        <v>3.7449999999999996E-3</v>
      </c>
      <c r="U11" s="192">
        <f>SUMIFS(Dermal_Exp[Central Tendency IADD (mg/kg-day)],Dermal_Exp[Worker Type],$R$10,Dermal_Exp[OES],$C$4)</f>
        <v>2.7463333333333328E-3</v>
      </c>
      <c r="V11" s="193">
        <f>SUMIFS(Dermal_Exp[Central Tendency ADD (mg/kg-day)],Dermal_Exp[Worker Type],$R$10,Dermal_Exp[OES],$C$4)</f>
        <v>2.5650684931506846E-3</v>
      </c>
      <c r="W11" s="189"/>
      <c r="Z11" s="190"/>
    </row>
    <row r="12" spans="2:26" ht="12.75" customHeight="1" x14ac:dyDescent="0.35">
      <c r="H12" s="28"/>
      <c r="R12" s="194"/>
      <c r="S12" s="195"/>
      <c r="T12" s="196"/>
      <c r="U12" s="196"/>
      <c r="V12" s="196"/>
      <c r="W12" s="196"/>
      <c r="Z12" s="190"/>
    </row>
    <row r="13" spans="2:26" ht="15.75" customHeight="1" x14ac:dyDescent="0.35">
      <c r="H13" s="28"/>
      <c r="I13" s="28"/>
      <c r="J13" s="57"/>
      <c r="K13" s="196"/>
      <c r="L13" s="196"/>
      <c r="M13" s="196"/>
      <c r="N13" s="196"/>
      <c r="R13" s="197"/>
      <c r="S13" s="195"/>
      <c r="T13" s="196"/>
      <c r="U13" s="196"/>
      <c r="V13" s="196"/>
      <c r="W13" s="196"/>
    </row>
    <row r="14" spans="2:26" s="29" customFormat="1" x14ac:dyDescent="0.35">
      <c r="B14" s="30"/>
      <c r="C14" s="62"/>
      <c r="D14" s="62"/>
      <c r="E14" s="62"/>
      <c r="F14" s="62"/>
      <c r="G14" s="62"/>
      <c r="H14" s="49"/>
      <c r="I14" s="50"/>
      <c r="K14" s="49"/>
      <c r="L14" s="49"/>
      <c r="M14" s="49"/>
      <c r="N14" s="49"/>
      <c r="O14" s="49"/>
      <c r="P14" s="49"/>
      <c r="R14" s="62"/>
      <c r="S14" s="49"/>
      <c r="T14" s="50"/>
      <c r="V14" s="49"/>
    </row>
    <row r="15" spans="2:26" s="29" customFormat="1" ht="15.5" thickBot="1" x14ac:dyDescent="0.4">
      <c r="B15" s="30"/>
      <c r="C15" s="50"/>
      <c r="D15" s="93"/>
      <c r="E15" s="93"/>
      <c r="F15" s="93"/>
      <c r="G15" s="96"/>
      <c r="H15" s="198" t="s">
        <v>111</v>
      </c>
      <c r="I15" s="50"/>
      <c r="K15" s="49"/>
      <c r="L15" s="199"/>
      <c r="M15" s="199"/>
      <c r="N15" s="200"/>
      <c r="O15" s="200"/>
      <c r="R15" s="201" t="s">
        <v>112</v>
      </c>
      <c r="S15" s="141"/>
      <c r="T15" s="141"/>
    </row>
    <row r="16" spans="2:26" s="29" customFormat="1" ht="12.75" customHeight="1" x14ac:dyDescent="0.35">
      <c r="B16" s="30"/>
      <c r="C16" s="202" t="s">
        <v>113</v>
      </c>
      <c r="D16" s="202" t="s">
        <v>114</v>
      </c>
      <c r="E16" s="202"/>
      <c r="F16" s="203" t="s">
        <v>115</v>
      </c>
      <c r="G16" s="204"/>
      <c r="H16" s="99" t="s">
        <v>116</v>
      </c>
      <c r="I16" s="101" t="s">
        <v>62</v>
      </c>
      <c r="J16" s="38" t="s">
        <v>80</v>
      </c>
      <c r="K16" s="38" t="str">
        <f>_xlfn.CONCAT("Exposure Estimates: ",$F$4," MOE")</f>
        <v>Exposure Estimates: Average Adult Worker MOE</v>
      </c>
      <c r="L16" s="205"/>
      <c r="M16" s="205"/>
      <c r="N16" s="205"/>
      <c r="O16" s="205"/>
      <c r="P16" s="39"/>
      <c r="Q16" s="204"/>
      <c r="R16" s="99" t="s">
        <v>79</v>
      </c>
      <c r="S16" s="101" t="s">
        <v>62</v>
      </c>
      <c r="T16" s="59" t="s">
        <v>80</v>
      </c>
      <c r="U16" s="206" t="str">
        <f>_xlfn.CONCAT("Exposure Estimates: ",$F$4," MOE")</f>
        <v>Exposure Estimates: Average Adult Worker MOE</v>
      </c>
      <c r="V16" s="205"/>
      <c r="W16" s="205"/>
      <c r="X16" s="39"/>
    </row>
    <row r="17" spans="1:24" s="29" customFormat="1" ht="12.75" customHeight="1" x14ac:dyDescent="0.35">
      <c r="B17" s="30"/>
      <c r="C17" s="207"/>
      <c r="D17" s="207"/>
      <c r="E17" s="207"/>
      <c r="F17" s="208"/>
      <c r="G17" s="209"/>
      <c r="H17" s="114"/>
      <c r="I17" s="110"/>
      <c r="J17" s="210"/>
      <c r="K17" s="211"/>
      <c r="L17" s="212" t="s">
        <v>117</v>
      </c>
      <c r="M17" s="213"/>
      <c r="N17" s="213"/>
      <c r="O17" s="213"/>
      <c r="P17" s="214"/>
      <c r="Q17" s="209"/>
      <c r="R17" s="114"/>
      <c r="S17" s="110"/>
      <c r="T17" s="66"/>
      <c r="U17" s="215" t="s">
        <v>118</v>
      </c>
      <c r="V17" s="216" t="s">
        <v>119</v>
      </c>
      <c r="W17" s="216"/>
      <c r="X17" s="216"/>
    </row>
    <row r="18" spans="1:24" s="29" customFormat="1" x14ac:dyDescent="0.35">
      <c r="B18" s="30"/>
      <c r="C18" s="207"/>
      <c r="D18" s="217"/>
      <c r="E18" s="217"/>
      <c r="F18" s="208"/>
      <c r="G18" s="209"/>
      <c r="H18" s="218"/>
      <c r="I18" s="110"/>
      <c r="J18" s="111"/>
      <c r="K18" s="70" t="s">
        <v>120</v>
      </c>
      <c r="L18" s="70">
        <f>'List Values'!$D$15</f>
        <v>10</v>
      </c>
      <c r="M18" s="70">
        <f>'List Values'!$D$16</f>
        <v>25</v>
      </c>
      <c r="N18" s="70">
        <f>'List Values'!$D$17</f>
        <v>50</v>
      </c>
      <c r="O18" s="70">
        <f>'List Values'!$D$18</f>
        <v>1000</v>
      </c>
      <c r="P18" s="112">
        <f>'List Values'!$D$19</f>
        <v>10000</v>
      </c>
      <c r="Q18" s="209"/>
      <c r="R18" s="108"/>
      <c r="S18" s="110"/>
      <c r="T18" s="66"/>
      <c r="U18" s="219"/>
      <c r="V18" s="220">
        <f>'List Values'!D22</f>
        <v>5</v>
      </c>
      <c r="W18" s="220">
        <f>'List Values'!$D$23</f>
        <v>10</v>
      </c>
      <c r="X18" s="221">
        <f>'List Values'!$D$24</f>
        <v>20</v>
      </c>
    </row>
    <row r="19" spans="1:24" s="29" customFormat="1" ht="19.5" customHeight="1" x14ac:dyDescent="0.35">
      <c r="B19" s="180" t="s">
        <v>88</v>
      </c>
      <c r="C19" s="222" t="s">
        <v>121</v>
      </c>
      <c r="D19" s="223" t="str">
        <f>_xlfn.XLOOKUP($B19,Tox_Table[Code],Tox_Table[Health Effect])</f>
        <v>Phthalate syndrome-related effects</v>
      </c>
      <c r="E19" s="223">
        <f>_xlfn.XLOOKUP($B19,Tox_Table[Code],Tox_Table[Endpoint])</f>
        <v>0</v>
      </c>
      <c r="F19" s="224">
        <f>_xlfn.XLOOKUP($B19,Tox_Table[Code],Tox_Table[Study])</f>
        <v>0</v>
      </c>
      <c r="G19" s="225"/>
      <c r="H19" s="226">
        <f>_xlfn.XLOOKUP($B19, Tox_Table[Code],Tox_Table[HED / POD (mg/kg/day)], FALSE)</f>
        <v>5.7</v>
      </c>
      <c r="I19" s="227" t="s">
        <v>72</v>
      </c>
      <c r="J19" s="118">
        <f>_xlfn.XLOOKUP($B19,Tox_Table[Code],Tox_Table[Benchmark MOE])</f>
        <v>30</v>
      </c>
      <c r="K19" s="120">
        <f>IFERROR($H19/$K10, "")</f>
        <v>2491.8032786885246</v>
      </c>
      <c r="L19" s="120">
        <f t="shared" ref="L19:P20" si="0">IFERROR($H$19/($K10/L$18), "")</f>
        <v>24918.032786885247</v>
      </c>
      <c r="M19" s="120">
        <f t="shared" si="0"/>
        <v>62295.081967213118</v>
      </c>
      <c r="N19" s="120">
        <f t="shared" si="0"/>
        <v>124590.16393442624</v>
      </c>
      <c r="O19" s="120">
        <f t="shared" si="0"/>
        <v>2491803.2786885244</v>
      </c>
      <c r="P19" s="125">
        <f t="shared" si="0"/>
        <v>24918032.786885247</v>
      </c>
      <c r="Q19" s="225"/>
      <c r="R19" s="228">
        <f>_xlfn.XLOOKUP($B19, Tox_Table[Code],Tox_Table[HED / POD (mg/kg/day)], FALSE)</f>
        <v>5.7</v>
      </c>
      <c r="S19" s="117" t="s">
        <v>72</v>
      </c>
      <c r="T19" s="118">
        <f>_xlfn.XLOOKUP($B19,Tox_Table[Code],Tox_Table[Benchmark MOE])</f>
        <v>30</v>
      </c>
      <c r="U19" s="229">
        <f>IFERROR(($R$19/$T10), "")</f>
        <v>761.01468624833126</v>
      </c>
      <c r="V19" s="120">
        <f>IFERROR(($R$19/($T10/$V$18)), "")</f>
        <v>3805.0734312416562</v>
      </c>
      <c r="W19" s="120">
        <f>IFERROR(($R$19/($T10/$W$18)), "")</f>
        <v>7610.1468624833124</v>
      </c>
      <c r="X19" s="125">
        <f>IFERROR(($R$19/($T10/$X$18)), "")</f>
        <v>15220.293724966625</v>
      </c>
    </row>
    <row r="20" spans="1:24" s="29" customFormat="1" ht="19.5" customHeight="1" x14ac:dyDescent="0.35">
      <c r="B20" s="180" t="s">
        <v>88</v>
      </c>
      <c r="C20" s="230"/>
      <c r="D20" s="231"/>
      <c r="E20" s="231"/>
      <c r="F20" s="232"/>
      <c r="G20" s="225"/>
      <c r="H20" s="233"/>
      <c r="I20" s="234" t="s">
        <v>73</v>
      </c>
      <c r="J20" s="129">
        <f>_xlfn.XLOOKUP($B20,Tox_Table[Code],Tox_Table[Benchmark MOE])</f>
        <v>30</v>
      </c>
      <c r="K20" s="137">
        <f>IFERROR($H19/$K$11, "")</f>
        <v>11400</v>
      </c>
      <c r="L20" s="131">
        <f t="shared" si="0"/>
        <v>114000</v>
      </c>
      <c r="M20" s="131">
        <f t="shared" si="0"/>
        <v>285000</v>
      </c>
      <c r="N20" s="131">
        <f t="shared" si="0"/>
        <v>570000</v>
      </c>
      <c r="O20" s="131">
        <f t="shared" si="0"/>
        <v>11400000</v>
      </c>
      <c r="P20" s="235">
        <f t="shared" si="0"/>
        <v>114000000.00000001</v>
      </c>
      <c r="Q20" s="225"/>
      <c r="R20" s="236"/>
      <c r="S20" s="128" t="s">
        <v>73</v>
      </c>
      <c r="T20" s="129">
        <f>_xlfn.XLOOKUP($B20,Tox_Table[Code],Tox_Table[Benchmark MOE])</f>
        <v>30</v>
      </c>
      <c r="U20" s="131">
        <f>IFERROR(($R$19/$T11), "")</f>
        <v>1522.0293724966625</v>
      </c>
      <c r="V20" s="131">
        <f>IFERROR(($R$19/($T11/$V$18)), "")</f>
        <v>7610.1468624833124</v>
      </c>
      <c r="W20" s="131">
        <f>IFERROR(($R$19/($T11/$W$18)), "")</f>
        <v>15220.293724966625</v>
      </c>
      <c r="X20" s="235">
        <f>IFERROR(($R$19/($T11/$X$18)), "")</f>
        <v>30440.587449933249</v>
      </c>
    </row>
    <row r="21" spans="1:24" s="29" customFormat="1" ht="19.5" customHeight="1" x14ac:dyDescent="0.35">
      <c r="B21" s="180" t="s">
        <v>93</v>
      </c>
      <c r="C21" s="222" t="s">
        <v>122</v>
      </c>
      <c r="D21" s="223" t="str">
        <f>_xlfn.XLOOKUP($B21,Tox_Table[Code],Tox_Table[Health Effect])</f>
        <v>Phthalate syndrome-related effects</v>
      </c>
      <c r="E21" s="223">
        <f>_xlfn.XLOOKUP($B21,Tox_Table[Code],Tox_Table[Endpoint])</f>
        <v>0</v>
      </c>
      <c r="F21" s="224">
        <f>_xlfn.XLOOKUP($B21,Tox_Table[Code],Tox_Table[Study])</f>
        <v>0</v>
      </c>
      <c r="G21" s="225"/>
      <c r="H21" s="226">
        <f>_xlfn.XLOOKUP($B21, Tox_Table[Code],Tox_Table[HED / POD (mg/kg/day)], FALSE)</f>
        <v>5.7</v>
      </c>
      <c r="I21" s="227" t="s">
        <v>72</v>
      </c>
      <c r="J21" s="118">
        <f>_xlfn.XLOOKUP($B21,Tox_Table[Code],Tox_Table[Benchmark MOE])</f>
        <v>30</v>
      </c>
      <c r="K21" s="120">
        <f>IFERROR($H21/$L10, "")</f>
        <v>3397.9135618479881</v>
      </c>
      <c r="L21" s="120">
        <f t="shared" ref="L21:P22" si="1">IFERROR($H$21/($L10/L$18), "")</f>
        <v>33979.135618479886</v>
      </c>
      <c r="M21" s="120">
        <f t="shared" si="1"/>
        <v>84947.839046199704</v>
      </c>
      <c r="N21" s="120">
        <f t="shared" si="1"/>
        <v>169895.67809239941</v>
      </c>
      <c r="O21" s="120">
        <f t="shared" si="1"/>
        <v>3397913.5618479881</v>
      </c>
      <c r="P21" s="125">
        <f t="shared" si="1"/>
        <v>33979135.618479878</v>
      </c>
      <c r="Q21" s="225"/>
      <c r="R21" s="228">
        <f>_xlfn.XLOOKUP($B21, Tox_Table[Code],Tox_Table[HED / POD (mg/kg/day)], FALSE)</f>
        <v>5.7</v>
      </c>
      <c r="S21" s="117" t="s">
        <v>72</v>
      </c>
      <c r="T21" s="118">
        <f>_xlfn.XLOOKUP($B21,Tox_Table[Code],Tox_Table[Benchmark MOE])</f>
        <v>30</v>
      </c>
      <c r="U21" s="120">
        <f>IFERROR(($R$21/$U10), "")</f>
        <v>1037.7472994295426</v>
      </c>
      <c r="V21" s="120">
        <f t="shared" ref="V21:X22" si="2">IFERROR(($R$21/($U10/V$18)), "")</f>
        <v>5188.7364971477127</v>
      </c>
      <c r="W21" s="120">
        <f t="shared" si="2"/>
        <v>10377.472994295425</v>
      </c>
      <c r="X21" s="125">
        <f t="shared" si="2"/>
        <v>20754.945988590851</v>
      </c>
    </row>
    <row r="22" spans="1:24" s="29" customFormat="1" ht="19.5" customHeight="1" thickBot="1" x14ac:dyDescent="0.4">
      <c r="B22" s="180" t="s">
        <v>93</v>
      </c>
      <c r="C22" s="230"/>
      <c r="D22" s="231"/>
      <c r="E22" s="231"/>
      <c r="F22" s="232"/>
      <c r="G22" s="225"/>
      <c r="H22" s="233"/>
      <c r="I22" s="234" t="s">
        <v>73</v>
      </c>
      <c r="J22" s="129">
        <f>_xlfn.XLOOKUP($B22,Tox_Table[Code],Tox_Table[Benchmark MOE])</f>
        <v>30</v>
      </c>
      <c r="K22" s="131">
        <f>IFERROR($H21/$L11, "")</f>
        <v>15545.454545454546</v>
      </c>
      <c r="L22" s="131">
        <f t="shared" si="1"/>
        <v>155454.54545454547</v>
      </c>
      <c r="M22" s="131">
        <f t="shared" si="1"/>
        <v>388636.36363636365</v>
      </c>
      <c r="N22" s="131">
        <f t="shared" si="1"/>
        <v>777272.72727272729</v>
      </c>
      <c r="O22" s="131">
        <f t="shared" si="1"/>
        <v>15545454.545454547</v>
      </c>
      <c r="P22" s="235">
        <f t="shared" si="1"/>
        <v>155454545.45454547</v>
      </c>
      <c r="Q22" s="225"/>
      <c r="R22" s="236"/>
      <c r="S22" s="128" t="s">
        <v>73</v>
      </c>
      <c r="T22" s="129">
        <f>_xlfn.XLOOKUP($B22,Tox_Table[Code],Tox_Table[Benchmark MOE])</f>
        <v>30</v>
      </c>
      <c r="U22" s="131">
        <f>IFERROR(($R$21/$U11), "")</f>
        <v>2075.4945988590853</v>
      </c>
      <c r="V22" s="131">
        <f t="shared" si="2"/>
        <v>10377.472994295425</v>
      </c>
      <c r="W22" s="131">
        <f t="shared" si="2"/>
        <v>20754.945988590851</v>
      </c>
      <c r="X22" s="235">
        <f t="shared" si="2"/>
        <v>41509.891977181702</v>
      </c>
    </row>
    <row r="23" spans="1:24" s="29" customFormat="1" ht="19.5" customHeight="1" x14ac:dyDescent="0.35">
      <c r="B23" s="180" t="s">
        <v>99</v>
      </c>
      <c r="C23" s="222" t="s">
        <v>123</v>
      </c>
      <c r="D23" s="223" t="str">
        <f>_xlfn.XLOOKUP($B23,Tox_Table[Code],Tox_Table[Health Effect])</f>
        <v>Phthalate syndrome-related effects</v>
      </c>
      <c r="E23" s="223">
        <f>_xlfn.XLOOKUP($B23,Tox_Table[Code],Tox_Table[Endpoint])</f>
        <v>0</v>
      </c>
      <c r="F23" s="224">
        <f>_xlfn.XLOOKUP($B23,Tox_Table[Code],Tox_Table[Study])</f>
        <v>0</v>
      </c>
      <c r="G23" s="237"/>
      <c r="H23" s="226">
        <f>_xlfn.XLOOKUP($B23, Tox_Table[Code],Tox_Table[HED / POD (mg/kg/day)], FALSE)</f>
        <v>5.7</v>
      </c>
      <c r="I23" s="227" t="s">
        <v>72</v>
      </c>
      <c r="J23" s="118">
        <f>_xlfn.XLOOKUP($B23,Tox_Table[Code],Tox_Table[Benchmark MOE])</f>
        <v>30</v>
      </c>
      <c r="K23" s="120">
        <f>IFERROR($H23/$M10, "")</f>
        <v>3638.032786885246</v>
      </c>
      <c r="L23" s="120">
        <f t="shared" ref="L23:P24" si="3">IFERROR($H$23/($M10/L$18), "")</f>
        <v>36380.327868852459</v>
      </c>
      <c r="M23" s="120">
        <f t="shared" si="3"/>
        <v>90950.819672131154</v>
      </c>
      <c r="N23" s="120">
        <f t="shared" si="3"/>
        <v>181901.63934426231</v>
      </c>
      <c r="O23" s="120">
        <f t="shared" si="3"/>
        <v>3638032.7868852462</v>
      </c>
      <c r="P23" s="125">
        <f t="shared" si="3"/>
        <v>36380327.868852466</v>
      </c>
      <c r="Q23" s="237"/>
      <c r="R23" s="228">
        <f>_xlfn.XLOOKUP($B23, Tox_Table[Code],Tox_Table[HED / POD (mg/kg/day)], FALSE)</f>
        <v>5.7</v>
      </c>
      <c r="S23" s="117" t="s">
        <v>72</v>
      </c>
      <c r="T23" s="118">
        <f>_xlfn.XLOOKUP($B23,Tox_Table[Code],Tox_Table[Benchmark MOE])</f>
        <v>30</v>
      </c>
      <c r="U23" s="120">
        <f>IFERROR(($R$23/$V10), "")</f>
        <v>1111.0814419225637</v>
      </c>
      <c r="V23" s="120">
        <f t="shared" ref="V23:X24" si="4">IFERROR(($R$23/($V10/V$18)), "")</f>
        <v>5555.4072096128184</v>
      </c>
      <c r="W23" s="120">
        <f t="shared" si="4"/>
        <v>11110.814419225637</v>
      </c>
      <c r="X23" s="125">
        <f t="shared" si="4"/>
        <v>22221.628838451274</v>
      </c>
    </row>
    <row r="24" spans="1:24" s="29" customFormat="1" ht="19.5" customHeight="1" thickBot="1" x14ac:dyDescent="0.4">
      <c r="B24" s="180" t="s">
        <v>99</v>
      </c>
      <c r="C24" s="238"/>
      <c r="D24" s="239"/>
      <c r="E24" s="239"/>
      <c r="F24" s="240"/>
      <c r="G24" s="241"/>
      <c r="H24" s="233"/>
      <c r="I24" s="242" t="s">
        <v>73</v>
      </c>
      <c r="J24" s="243">
        <f>_xlfn.XLOOKUP($B24,Tox_Table[Code],Tox_Table[Benchmark MOE])</f>
        <v>30</v>
      </c>
      <c r="K24" s="131">
        <f>IFERROR($H23/$M11, "")</f>
        <v>16644</v>
      </c>
      <c r="L24" s="131">
        <f t="shared" si="3"/>
        <v>166440.00000000003</v>
      </c>
      <c r="M24" s="131">
        <f t="shared" si="3"/>
        <v>416100</v>
      </c>
      <c r="N24" s="131">
        <f t="shared" si="3"/>
        <v>832200</v>
      </c>
      <c r="O24" s="131">
        <f t="shared" si="3"/>
        <v>16644000</v>
      </c>
      <c r="P24" s="235">
        <f t="shared" si="3"/>
        <v>166440000</v>
      </c>
      <c r="Q24" s="241"/>
      <c r="R24" s="236"/>
      <c r="S24" s="244" t="s">
        <v>73</v>
      </c>
      <c r="T24" s="129">
        <f>_xlfn.XLOOKUP($B24,Tox_Table[Code],Tox_Table[Benchmark MOE])</f>
        <v>30</v>
      </c>
      <c r="U24" s="131">
        <f>IFERROR(($R$23/$V11), "")</f>
        <v>2222.1628838451275</v>
      </c>
      <c r="V24" s="131">
        <f t="shared" si="4"/>
        <v>11110.814419225637</v>
      </c>
      <c r="W24" s="131">
        <f t="shared" si="4"/>
        <v>22221.628838451274</v>
      </c>
      <c r="X24" s="235">
        <f t="shared" si="4"/>
        <v>44443.257676902547</v>
      </c>
    </row>
    <row r="25" spans="1:24" s="29" customFormat="1" x14ac:dyDescent="0.35">
      <c r="B25" s="28"/>
      <c r="C25" s="57"/>
      <c r="D25" s="179"/>
      <c r="E25" s="57"/>
      <c r="F25" s="57"/>
      <c r="G25" s="27"/>
      <c r="H25" s="27"/>
      <c r="I25" s="27"/>
      <c r="J25" s="27"/>
      <c r="K25" s="27"/>
      <c r="L25" s="27"/>
      <c r="M25" s="27"/>
      <c r="O25" s="27"/>
      <c r="P25" s="27"/>
      <c r="R25" s="27"/>
    </row>
    <row r="26" spans="1:24" s="29" customFormat="1" x14ac:dyDescent="0.35">
      <c r="B26" s="28"/>
      <c r="C26" s="57"/>
      <c r="D26" s="179"/>
      <c r="E26" s="57"/>
      <c r="F26" s="57"/>
      <c r="G26" s="27"/>
      <c r="H26" s="27"/>
      <c r="I26" s="27"/>
      <c r="J26" s="27"/>
      <c r="K26" s="27"/>
      <c r="L26" s="27"/>
      <c r="M26" s="27"/>
      <c r="N26" s="27"/>
      <c r="O26" s="27"/>
      <c r="P26" s="27"/>
      <c r="R26" s="27"/>
    </row>
    <row r="27" spans="1:24" s="29" customFormat="1" x14ac:dyDescent="0.35">
      <c r="B27" s="28"/>
      <c r="C27" s="57"/>
      <c r="D27" s="179"/>
      <c r="E27" s="57"/>
      <c r="F27" s="57"/>
      <c r="G27" s="27"/>
      <c r="H27" s="27"/>
      <c r="I27" s="27"/>
      <c r="J27" s="27"/>
      <c r="K27" s="27"/>
      <c r="L27" s="27"/>
      <c r="M27" s="27"/>
      <c r="N27" s="27"/>
      <c r="O27" s="27"/>
      <c r="P27" s="27"/>
      <c r="R27" s="27"/>
      <c r="S27" s="27"/>
    </row>
    <row r="28" spans="1:24" s="29" customFormat="1" x14ac:dyDescent="0.35">
      <c r="A28" s="27"/>
      <c r="B28" s="28"/>
      <c r="C28" s="57"/>
      <c r="D28" s="179"/>
      <c r="E28" s="57"/>
      <c r="F28" s="57"/>
      <c r="G28" s="27"/>
      <c r="H28" s="27"/>
      <c r="I28" s="27"/>
      <c r="J28" s="27"/>
      <c r="K28" s="27"/>
      <c r="L28" s="27"/>
      <c r="M28" s="27"/>
      <c r="N28" s="27"/>
      <c r="O28" s="27"/>
      <c r="P28" s="27"/>
      <c r="R28" s="27"/>
      <c r="S28" s="27"/>
    </row>
    <row r="33" spans="1:20" x14ac:dyDescent="0.35">
      <c r="I33" s="29"/>
      <c r="J33" s="29"/>
      <c r="K33" s="29"/>
      <c r="L33" s="29"/>
      <c r="M33" s="29"/>
    </row>
    <row r="38" spans="1:20" x14ac:dyDescent="0.35">
      <c r="O38" s="29"/>
      <c r="P38" s="29"/>
    </row>
    <row r="39" spans="1:20" x14ac:dyDescent="0.35">
      <c r="C39" s="50"/>
      <c r="D39" s="49"/>
      <c r="E39" s="50"/>
      <c r="F39" s="50"/>
      <c r="G39" s="29"/>
      <c r="H39" s="29"/>
    </row>
    <row r="40" spans="1:20" x14ac:dyDescent="0.35">
      <c r="R40" s="29"/>
    </row>
    <row r="41" spans="1:20" x14ac:dyDescent="0.35">
      <c r="B41" s="30"/>
    </row>
    <row r="42" spans="1:20" x14ac:dyDescent="0.35">
      <c r="B42" s="160"/>
    </row>
    <row r="43" spans="1:20" x14ac:dyDescent="0.35">
      <c r="B43" s="160"/>
      <c r="I43" s="158"/>
      <c r="J43" s="158"/>
      <c r="K43" s="158"/>
      <c r="L43" s="158"/>
      <c r="M43" s="158"/>
      <c r="N43" s="29"/>
    </row>
    <row r="44" spans="1:20" x14ac:dyDescent="0.35">
      <c r="B44" s="160"/>
      <c r="I44" s="158"/>
      <c r="J44" s="158"/>
      <c r="K44" s="158"/>
      <c r="L44" s="158"/>
      <c r="M44" s="158"/>
      <c r="S44" s="29"/>
    </row>
    <row r="45" spans="1:20" x14ac:dyDescent="0.35">
      <c r="B45" s="160"/>
      <c r="C45" s="162"/>
      <c r="D45" s="245"/>
      <c r="E45" s="162"/>
      <c r="I45" s="158"/>
      <c r="J45" s="158"/>
      <c r="K45" s="158"/>
      <c r="L45" s="158"/>
      <c r="M45" s="158"/>
    </row>
    <row r="46" spans="1:20" s="29" customFormat="1" x14ac:dyDescent="0.35">
      <c r="A46" s="27"/>
      <c r="B46" s="160"/>
      <c r="C46" s="57"/>
      <c r="D46" s="179"/>
      <c r="E46" s="162"/>
      <c r="F46" s="57"/>
      <c r="G46" s="27"/>
      <c r="H46" s="27"/>
      <c r="I46" s="158"/>
      <c r="J46" s="158"/>
      <c r="K46" s="158"/>
      <c r="L46" s="158"/>
      <c r="M46" s="158"/>
      <c r="N46" s="27"/>
      <c r="O46" s="27"/>
      <c r="P46" s="27"/>
      <c r="R46" s="27"/>
      <c r="S46" s="27"/>
    </row>
    <row r="47" spans="1:20" x14ac:dyDescent="0.35">
      <c r="R47" s="159"/>
      <c r="S47" s="159"/>
      <c r="T47" s="159"/>
    </row>
    <row r="48" spans="1:20" x14ac:dyDescent="0.35">
      <c r="F48" s="158"/>
      <c r="G48" s="159"/>
      <c r="H48" s="246"/>
      <c r="I48" s="247"/>
      <c r="J48" s="247"/>
      <c r="R48" s="246"/>
      <c r="S48" s="247"/>
      <c r="T48" s="247"/>
    </row>
    <row r="49" spans="1:20" x14ac:dyDescent="0.35">
      <c r="H49" s="62"/>
      <c r="I49" s="248"/>
      <c r="J49" s="248"/>
      <c r="R49" s="249"/>
      <c r="S49" s="196"/>
      <c r="T49" s="196"/>
    </row>
    <row r="50" spans="1:20" x14ac:dyDescent="0.35">
      <c r="A50" s="27" t="s">
        <v>124</v>
      </c>
      <c r="H50" s="62"/>
      <c r="I50" s="248"/>
      <c r="J50" s="248"/>
      <c r="R50" s="249"/>
      <c r="S50" s="248"/>
      <c r="T50" s="248"/>
    </row>
    <row r="51" spans="1:20" x14ac:dyDescent="0.35">
      <c r="H51" s="62"/>
      <c r="I51" s="248"/>
      <c r="J51" s="248"/>
      <c r="R51" s="249"/>
      <c r="S51" s="248"/>
      <c r="T51" s="248"/>
    </row>
    <row r="52" spans="1:20" x14ac:dyDescent="0.35">
      <c r="H52" s="62"/>
      <c r="I52" s="248"/>
      <c r="J52" s="248"/>
      <c r="R52" s="249"/>
      <c r="S52" s="248"/>
      <c r="T52" s="248"/>
    </row>
    <row r="53" spans="1:20" x14ac:dyDescent="0.35">
      <c r="H53" s="62"/>
      <c r="I53" s="248"/>
      <c r="J53" s="248"/>
      <c r="R53" s="249"/>
      <c r="S53" s="248"/>
      <c r="T53" s="248"/>
    </row>
    <row r="54" spans="1:20" x14ac:dyDescent="0.35">
      <c r="H54" s="62"/>
      <c r="I54" s="248"/>
      <c r="J54" s="248"/>
      <c r="T54" s="196"/>
    </row>
  </sheetData>
  <sheetProtection sheet="1" objects="1" scenarios="1" formatCells="0" formatColumns="0" formatRows="0" sort="0" autoFilter="0"/>
  <dataConsolidate link="1"/>
  <mergeCells count="43">
    <mergeCell ref="R23:R24"/>
    <mergeCell ref="R21:R22"/>
    <mergeCell ref="F23:F24"/>
    <mergeCell ref="H23:H24"/>
    <mergeCell ref="H19:H20"/>
    <mergeCell ref="F21:F22"/>
    <mergeCell ref="H21:H22"/>
    <mergeCell ref="C23:C24"/>
    <mergeCell ref="D23:D24"/>
    <mergeCell ref="E23:E24"/>
    <mergeCell ref="U16:X16"/>
    <mergeCell ref="S8:S9"/>
    <mergeCell ref="R8:R9"/>
    <mergeCell ref="J16:J18"/>
    <mergeCell ref="K16:P16"/>
    <mergeCell ref="T16:T18"/>
    <mergeCell ref="R16:R18"/>
    <mergeCell ref="S16:S18"/>
    <mergeCell ref="L15:M15"/>
    <mergeCell ref="R12:R13"/>
    <mergeCell ref="U17:U18"/>
    <mergeCell ref="V17:X17"/>
    <mergeCell ref="L17:P17"/>
    <mergeCell ref="J8:J9"/>
    <mergeCell ref="R10:R11"/>
    <mergeCell ref="C21:C22"/>
    <mergeCell ref="D21:D22"/>
    <mergeCell ref="E21:E22"/>
    <mergeCell ref="C16:C18"/>
    <mergeCell ref="D16:E18"/>
    <mergeCell ref="E19:E20"/>
    <mergeCell ref="I10:I11"/>
    <mergeCell ref="I8:I9"/>
    <mergeCell ref="C19:C20"/>
    <mergeCell ref="D19:D20"/>
    <mergeCell ref="R19:R20"/>
    <mergeCell ref="D2:E2"/>
    <mergeCell ref="D3:E3"/>
    <mergeCell ref="D4:E4"/>
    <mergeCell ref="I16:I18"/>
    <mergeCell ref="F19:F20"/>
    <mergeCell ref="F16:F18"/>
    <mergeCell ref="H16:H18"/>
  </mergeCells>
  <phoneticPr fontId="2" type="noConversion"/>
  <conditionalFormatting sqref="D19:F24">
    <cfRule type="cellIs" priority="1" operator="equal">
      <formula>0</formula>
    </cfRule>
  </conditionalFormatting>
  <conditionalFormatting sqref="F4">
    <cfRule type="cellIs" dxfId="381" priority="22" operator="lessThan">
      <formula>0.1</formula>
    </cfRule>
    <cfRule type="cellIs" dxfId="380" priority="20" stopIfTrue="1" operator="equal">
      <formula>0</formula>
    </cfRule>
    <cfRule type="containsBlanks" dxfId="379" priority="21" stopIfTrue="1">
      <formula>LEN(TRIM(F4))=0</formula>
    </cfRule>
  </conditionalFormatting>
  <conditionalFormatting sqref="H19 H23">
    <cfRule type="cellIs" dxfId="378" priority="118" operator="greaterThanOrEqual">
      <formula>10</formula>
    </cfRule>
    <cfRule type="cellIs" dxfId="377" priority="116" operator="lessThan">
      <formula>0.1</formula>
    </cfRule>
    <cfRule type="containsBlanks" dxfId="376" priority="115" stopIfTrue="1">
      <formula>LEN(TRIM(H19))=0</formula>
    </cfRule>
    <cfRule type="cellIs" dxfId="375" priority="114" stopIfTrue="1" operator="equal">
      <formula>0</formula>
    </cfRule>
    <cfRule type="cellIs" dxfId="374" priority="117" operator="lessThan">
      <formula>10</formula>
    </cfRule>
  </conditionalFormatting>
  <conditionalFormatting sqref="H21">
    <cfRule type="cellIs" dxfId="373" priority="76" operator="lessThan">
      <formula>10</formula>
    </cfRule>
    <cfRule type="cellIs" dxfId="372" priority="75" operator="lessThan">
      <formula>0.1</formula>
    </cfRule>
    <cfRule type="containsBlanks" dxfId="371" priority="74" stopIfTrue="1">
      <formula>LEN(TRIM(H21))=0</formula>
    </cfRule>
    <cfRule type="cellIs" dxfId="370" priority="73" stopIfTrue="1" operator="equal">
      <formula>0</formula>
    </cfRule>
    <cfRule type="cellIs" dxfId="369" priority="77" operator="greaterThanOrEqual">
      <formula>10</formula>
    </cfRule>
  </conditionalFormatting>
  <conditionalFormatting sqref="K10:N11">
    <cfRule type="cellIs" dxfId="368" priority="3" operator="greaterThan">
      <formula>10000</formula>
    </cfRule>
    <cfRule type="cellIs" dxfId="367" priority="4" operator="between">
      <formula>10</formula>
      <formula>9999.999</formula>
    </cfRule>
    <cfRule type="cellIs" dxfId="366" priority="5" operator="between">
      <formula>1</formula>
      <formula>9.999</formula>
    </cfRule>
    <cfRule type="cellIs" dxfId="365" priority="6" operator="between">
      <formula>0.1</formula>
      <formula>0.999</formula>
    </cfRule>
    <cfRule type="cellIs" dxfId="364" priority="7" operator="equal">
      <formula>0</formula>
    </cfRule>
    <cfRule type="cellIs" dxfId="363" priority="170" operator="lessThan">
      <formula>0.1</formula>
    </cfRule>
  </conditionalFormatting>
  <conditionalFormatting sqref="K13:N13">
    <cfRule type="cellIs" dxfId="362" priority="62" operator="between">
      <formula>1</formula>
      <formula>9.999</formula>
    </cfRule>
    <cfRule type="cellIs" dxfId="361" priority="59" operator="equal">
      <formula>0</formula>
    </cfRule>
    <cfRule type="cellIs" dxfId="360" priority="60" operator="greaterThan">
      <formula>10000</formula>
    </cfRule>
    <cfRule type="cellIs" dxfId="359" priority="61" operator="between">
      <formula>10</formula>
      <formula>9999.999</formula>
    </cfRule>
    <cfRule type="cellIs" dxfId="358" priority="64" operator="lessThan">
      <formula>0.1</formula>
    </cfRule>
    <cfRule type="cellIs" dxfId="357" priority="63" operator="between">
      <formula>0.1</formula>
      <formula>0.999</formula>
    </cfRule>
  </conditionalFormatting>
  <conditionalFormatting sqref="K19:P24 U19:X24">
    <cfRule type="cellIs" dxfId="356" priority="144" operator="greaterThanOrEqual">
      <formula>10</formula>
    </cfRule>
    <cfRule type="cellIs" dxfId="355" priority="143" operator="lessThan">
      <formula>10</formula>
    </cfRule>
    <cfRule type="cellIs" dxfId="354" priority="142" operator="lessThan">
      <formula>0.1</formula>
    </cfRule>
    <cfRule type="cellIs" dxfId="353" priority="47" stopIfTrue="1" operator="equal">
      <formula>0</formula>
    </cfRule>
  </conditionalFormatting>
  <conditionalFormatting sqref="K19:P24">
    <cfRule type="cellIs" dxfId="352" priority="139" operator="greaterThanOrEqual">
      <formula>$J19</formula>
    </cfRule>
    <cfRule type="cellIs" dxfId="351" priority="138" operator="lessThan">
      <formula>$J19</formula>
    </cfRule>
  </conditionalFormatting>
  <conditionalFormatting sqref="L8:L9">
    <cfRule type="cellIs" dxfId="350" priority="96" stopIfTrue="1" operator="equal">
      <formula>0</formula>
    </cfRule>
    <cfRule type="cellIs" dxfId="349" priority="98" operator="lessThan">
      <formula>0.1</formula>
    </cfRule>
    <cfRule type="containsBlanks" dxfId="348" priority="97" stopIfTrue="1">
      <formula>LEN(TRIM(L8))=0</formula>
    </cfRule>
  </conditionalFormatting>
  <conditionalFormatting sqref="R19 R23">
    <cfRule type="cellIs" dxfId="347" priority="106" operator="lessThan">
      <formula>0.1</formula>
    </cfRule>
    <cfRule type="cellIs" dxfId="346" priority="107" operator="lessThan">
      <formula>10</formula>
    </cfRule>
    <cfRule type="cellIs" dxfId="345" priority="108" operator="greaterThanOrEqual">
      <formula>10</formula>
    </cfRule>
    <cfRule type="containsBlanks" dxfId="344" priority="105" stopIfTrue="1">
      <formula>LEN(TRIM(R19))=0</formula>
    </cfRule>
    <cfRule type="cellIs" dxfId="343" priority="104" stopIfTrue="1" operator="equal">
      <formula>0</formula>
    </cfRule>
  </conditionalFormatting>
  <conditionalFormatting sqref="R21">
    <cfRule type="cellIs" dxfId="342" priority="68" stopIfTrue="1" operator="equal">
      <formula>0</formula>
    </cfRule>
    <cfRule type="containsBlanks" dxfId="341" priority="69" stopIfTrue="1">
      <formula>LEN(TRIM(R21))=0</formula>
    </cfRule>
    <cfRule type="cellIs" dxfId="340" priority="70" operator="lessThan">
      <formula>0.1</formula>
    </cfRule>
    <cfRule type="cellIs" dxfId="339" priority="71" operator="lessThan">
      <formula>10</formula>
    </cfRule>
    <cfRule type="cellIs" dxfId="338" priority="72" operator="greaterThanOrEqual">
      <formula>10</formula>
    </cfRule>
  </conditionalFormatting>
  <conditionalFormatting sqref="T10:W11">
    <cfRule type="cellIs" dxfId="337" priority="8" operator="equal">
      <formula>0</formula>
    </cfRule>
  </conditionalFormatting>
  <conditionalFormatting sqref="T10:W13">
    <cfRule type="cellIs" dxfId="336" priority="10" operator="between">
      <formula>10</formula>
      <formula>9999.999</formula>
    </cfRule>
    <cfRule type="cellIs" dxfId="335" priority="11" operator="between">
      <formula>1</formula>
      <formula>9.999</formula>
    </cfRule>
    <cfRule type="cellIs" dxfId="334" priority="12" operator="between">
      <formula>0.1</formula>
      <formula>0.999</formula>
    </cfRule>
    <cfRule type="cellIs" dxfId="333" priority="9" operator="greaterThan">
      <formula>10000</formula>
    </cfRule>
    <cfRule type="cellIs" dxfId="332" priority="13" operator="lessThan">
      <formula>0.1</formula>
    </cfRule>
  </conditionalFormatting>
  <conditionalFormatting sqref="U8:U9">
    <cfRule type="containsBlanks" dxfId="331" priority="79" stopIfTrue="1">
      <formula>LEN(TRIM(U8))=0</formula>
    </cfRule>
    <cfRule type="cellIs" dxfId="330" priority="80" operator="lessThan">
      <formula>0.1</formula>
    </cfRule>
    <cfRule type="cellIs" dxfId="329" priority="78" stopIfTrue="1" operator="equal">
      <formula>0</formula>
    </cfRule>
  </conditionalFormatting>
  <conditionalFormatting sqref="U19:X24 K19:P24">
    <cfRule type="containsBlanks" dxfId="328" priority="46" stopIfTrue="1">
      <formula>LEN(TRIM(K19))=0</formula>
    </cfRule>
  </conditionalFormatting>
  <conditionalFormatting sqref="U19:X24">
    <cfRule type="cellIs" dxfId="327" priority="45" operator="greaterThanOrEqual">
      <formula>$J19</formula>
    </cfRule>
    <cfRule type="cellIs" dxfId="326" priority="44" operator="lessThan">
      <formula>$J19</formula>
    </cfRule>
  </conditionalFormatting>
  <dataValidations count="1">
    <dataValidation allowBlank="1" showErrorMessage="1" sqref="I13 I8 R8" xr:uid="{B6FDB558-C6DA-450F-B0A7-6A9F371395FE}"/>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2F1E36-23C0-46BD-94ED-210B8C9D18DC}">
          <x14:formula1>
            <xm:f>'List Values'!$D$6:$D$8</xm:f>
          </x14:formula1>
          <xm:sqref>F4</xm:sqref>
        </x14:dataValidation>
        <x14:dataValidation type="list" allowBlank="1" showInputMessage="1" showErrorMessage="1" xr:uid="{EEB43209-65D0-4ECD-98C8-2D730F6098A1}">
          <x14:formula1>
            <xm:f>'List Values'!$B$2:$B$20</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3F8EF-0238-48DF-B0F9-9BD2EA206E1A}">
  <sheetPr codeName="Sheet11">
    <tabColor rgb="FF92D050"/>
  </sheetPr>
  <dimension ref="A1:V71"/>
  <sheetViews>
    <sheetView zoomScale="70" zoomScaleNormal="70" workbookViewId="0"/>
  </sheetViews>
  <sheetFormatPr defaultColWidth="8.90625" defaultRowHeight="13" x14ac:dyDescent="0.35"/>
  <cols>
    <col min="1" max="1" width="2.08984375" style="27" customWidth="1"/>
    <col min="2" max="2" width="8.453125" style="28" customWidth="1"/>
    <col min="3" max="3" width="20.90625" style="57" customWidth="1"/>
    <col min="4" max="4" width="15.453125" style="179" customWidth="1"/>
    <col min="5" max="5" width="11.453125" style="57" customWidth="1"/>
    <col min="6" max="6" width="11.54296875" style="57" customWidth="1"/>
    <col min="7" max="7" width="2.453125" style="27" customWidth="1"/>
    <col min="8" max="8" width="10.453125" style="27" customWidth="1"/>
    <col min="9" max="9" width="9.90625" style="57" customWidth="1"/>
    <col min="10" max="10" width="10.08984375" style="27" bestFit="1" customWidth="1"/>
    <col min="11" max="11" width="14.453125" style="27" customWidth="1"/>
    <col min="12" max="12" width="22.54296875" style="27" customWidth="1"/>
    <col min="13" max="13" width="18.08984375" style="27" customWidth="1"/>
    <col min="14" max="14" width="18.90625" style="27" customWidth="1"/>
    <col min="15" max="15" width="21.08984375" style="27" customWidth="1"/>
    <col min="16" max="17" width="18.90625" style="27" customWidth="1"/>
    <col min="18" max="18" width="23.08984375" style="27" customWidth="1"/>
    <col min="19" max="19" width="18.08984375" style="27" customWidth="1"/>
    <col min="20" max="20" width="21.08984375" style="27" customWidth="1"/>
    <col min="21" max="21" width="17.08984375" style="27" customWidth="1"/>
    <col min="22" max="22" width="17.54296875" style="27" customWidth="1"/>
    <col min="23" max="23" width="16.90625" style="27" customWidth="1"/>
    <col min="24" max="24" width="17" style="27" customWidth="1"/>
    <col min="25" max="25" width="13.08984375" style="27" customWidth="1"/>
    <col min="26" max="16384" width="8.90625" style="27"/>
  </cols>
  <sheetData>
    <row r="1" spans="2:22" ht="13.5" thickBot="1" x14ac:dyDescent="0.4"/>
    <row r="2" spans="2:22" ht="27.75" customHeight="1" thickBot="1" x14ac:dyDescent="0.4">
      <c r="C2" s="31" t="s">
        <v>47</v>
      </c>
      <c r="D2" s="177" t="s">
        <v>48</v>
      </c>
      <c r="E2" s="178"/>
      <c r="F2" s="36" t="s">
        <v>50</v>
      </c>
      <c r="L2" s="181" t="s">
        <v>104</v>
      </c>
      <c r="M2" s="181"/>
      <c r="N2" s="30"/>
      <c r="O2" s="29"/>
      <c r="P2" s="50"/>
      <c r="Q2" s="50"/>
      <c r="S2" s="57"/>
      <c r="T2" s="50"/>
      <c r="U2" s="29"/>
      <c r="V2" s="29"/>
    </row>
    <row r="3" spans="2:22" ht="39.5" thickBot="1" x14ac:dyDescent="0.4">
      <c r="C3" s="37" t="s">
        <v>51</v>
      </c>
      <c r="D3" s="38" t="s">
        <v>52</v>
      </c>
      <c r="E3" s="39"/>
      <c r="F3" s="42" t="s">
        <v>55</v>
      </c>
      <c r="G3" s="57"/>
      <c r="I3" s="27"/>
      <c r="K3" s="182"/>
      <c r="L3" s="182" t="s">
        <v>60</v>
      </c>
    </row>
    <row r="4" spans="2:22" ht="26.5" thickBot="1" x14ac:dyDescent="0.4">
      <c r="C4" s="43" t="s">
        <v>163</v>
      </c>
      <c r="D4" s="44" t="str">
        <f>_xlfn.XLOOKUP($C$4,Inhalation_Exp[OES],Inhalation_Exp[Data Type])</f>
        <v>Modeled Data</v>
      </c>
      <c r="E4" s="250"/>
      <c r="F4" s="48" t="s">
        <v>57</v>
      </c>
      <c r="G4" s="57"/>
      <c r="H4" s="57"/>
      <c r="L4" s="58" t="s">
        <v>125</v>
      </c>
      <c r="M4" s="101" t="s">
        <v>62</v>
      </c>
      <c r="N4" s="60" t="s">
        <v>105</v>
      </c>
      <c r="O4" s="60" t="s">
        <v>64</v>
      </c>
      <c r="P4" s="60" t="s">
        <v>106</v>
      </c>
      <c r="Q4" s="61"/>
    </row>
    <row r="5" spans="2:22" ht="26.5" thickBot="1" x14ac:dyDescent="0.4">
      <c r="G5" s="50"/>
      <c r="H5" s="50"/>
      <c r="I5" s="50"/>
      <c r="J5" s="29"/>
      <c r="L5" s="65"/>
      <c r="M5" s="110"/>
      <c r="N5" s="70" t="s">
        <v>126</v>
      </c>
      <c r="O5" s="70" t="s">
        <v>68</v>
      </c>
      <c r="P5" s="70" t="s">
        <v>127</v>
      </c>
      <c r="Q5" s="61"/>
    </row>
    <row r="6" spans="2:22" ht="18" customHeight="1" x14ac:dyDescent="0.35">
      <c r="L6" s="71" t="str">
        <f>$F$4</f>
        <v>Average Adult Worker</v>
      </c>
      <c r="M6" s="251" t="s">
        <v>72</v>
      </c>
      <c r="N6" s="78">
        <f>SUMIFS(Inhalation_Exp[24hr_High-End],Inhalation_Exp[OES],$C$4,Inhalation_Exp[Worker Type],$L6,Inhalation_Exp[Data Type],$D$4)</f>
        <v>2.2875E-3</v>
      </c>
      <c r="O6" s="78">
        <f>SUMIFS(Inhalation_Exp[Int_High-End],Inhalation_Exp[OES],$C$4,Inhalation_Exp[Worker Type],$L6,Inhalation_Exp[Data Type],$D$4)</f>
        <v>1.6775E-3</v>
      </c>
      <c r="P6" s="78">
        <f>SUMIFS(Inhalation_Exp[ADD_High-End],Inhalation_Exp[OES],$C$4,Inhalation_Exp[Worker Type],$L6,Inhalation_Exp[Data Type],$D$4)</f>
        <v>1.5667808219178082E-3</v>
      </c>
      <c r="Q6" s="75"/>
    </row>
    <row r="7" spans="2:22" ht="15" customHeight="1" thickBot="1" x14ac:dyDescent="0.4">
      <c r="L7" s="79"/>
      <c r="M7" s="252" t="s">
        <v>73</v>
      </c>
      <c r="N7" s="90">
        <f>SUMIFS(Inhalation_Exp[24hr_Central Tendency],Inhalation_Exp[OES],$C$4,Inhalation_Exp[Worker Type],$L6,Inhalation_Exp[Data Type],$D$4)</f>
        <v>5.0000000000000001E-4</v>
      </c>
      <c r="O7" s="90">
        <f>SUMIFS(Inhalation_Exp[Int_Central Tendency],Inhalation_Exp[OES],$C$4,Inhalation_Exp[Worker Type],$L6,Inhalation_Exp[Data Type],$D$4)</f>
        <v>3.6666666666666667E-4</v>
      </c>
      <c r="P7" s="90">
        <f>SUMIFS(Inhalation_Exp[ADD_Central Tendency],Inhalation_Exp[OES],$C$4,Inhalation_Exp[Worker Type],$L6,Inhalation_Exp[Data Type],$D$4)</f>
        <v>3.4246575342465754E-4</v>
      </c>
      <c r="Q7" s="75"/>
    </row>
    <row r="8" spans="2:22" ht="15.5" x14ac:dyDescent="0.35">
      <c r="C8" s="27"/>
      <c r="D8" s="27"/>
      <c r="E8" s="27"/>
      <c r="F8" s="27"/>
      <c r="L8" s="181" t="s">
        <v>50</v>
      </c>
    </row>
    <row r="9" spans="2:22" ht="25.5" customHeight="1" thickBot="1" x14ac:dyDescent="0.4">
      <c r="C9" s="27"/>
      <c r="D9" s="27"/>
      <c r="E9" s="27"/>
      <c r="H9" s="28"/>
      <c r="L9" s="182" t="s">
        <v>60</v>
      </c>
    </row>
    <row r="10" spans="2:22" ht="26" x14ac:dyDescent="0.35">
      <c r="C10" s="27"/>
      <c r="D10" s="27"/>
      <c r="E10" s="27"/>
      <c r="H10" s="28"/>
      <c r="L10" s="58" t="s">
        <v>125</v>
      </c>
      <c r="M10" s="101" t="s">
        <v>62</v>
      </c>
      <c r="N10" s="60" t="s">
        <v>107</v>
      </c>
      <c r="O10" s="60" t="s">
        <v>64</v>
      </c>
      <c r="P10" s="60" t="s">
        <v>108</v>
      </c>
      <c r="Q10" s="61"/>
    </row>
    <row r="11" spans="2:22" ht="13.5" thickBot="1" x14ac:dyDescent="0.4">
      <c r="H11" s="28"/>
      <c r="L11" s="65"/>
      <c r="M11" s="110"/>
      <c r="N11" s="70" t="s">
        <v>109</v>
      </c>
      <c r="O11" s="70" t="s">
        <v>68</v>
      </c>
      <c r="P11" s="70" t="s">
        <v>110</v>
      </c>
      <c r="Q11" s="61"/>
    </row>
    <row r="12" spans="2:22" ht="12.75" customHeight="1" thickBot="1" x14ac:dyDescent="0.4">
      <c r="H12" s="28"/>
      <c r="L12" s="71" t="str">
        <f>$F$4</f>
        <v>Average Adult Worker</v>
      </c>
      <c r="M12" s="251" t="s">
        <v>72</v>
      </c>
      <c r="N12" s="74">
        <f>SUMIFS(Dermal_Exp[High-End AD (mg/kg-day)],Dermal_Exp[Worker Type],$L$12,Dermal_Exp[OES],$C$4)</f>
        <v>7.4899999999999993E-3</v>
      </c>
      <c r="O12" s="74">
        <f>SUMIFS(Dermal_Exp[High-End IADD (mg/kg-day)],Dermal_Exp[Worker Type],$L$12,Dermal_Exp[OES],$C$4)</f>
        <v>5.4926666666666657E-3</v>
      </c>
      <c r="P12" s="74">
        <f>SUMIFS(Dermal_Exp[High-End ADD (mg/kg-day)],Dermal_Exp[Worker Type],$L$12,Dermal_Exp[OES],$C$4)</f>
        <v>5.1301369863013691E-3</v>
      </c>
      <c r="Q12" s="75"/>
    </row>
    <row r="13" spans="2:22" ht="15.75" customHeight="1" thickBot="1" x14ac:dyDescent="0.4">
      <c r="H13" s="28"/>
      <c r="L13" s="79"/>
      <c r="M13" s="252" t="s">
        <v>73</v>
      </c>
      <c r="N13" s="253">
        <f>SUMIFS(Dermal_Exp[Central Tendency AD (mg/kg-day)],Dermal_Exp[Worker Type],$L$12,Dermal_Exp[OES],$C$4)</f>
        <v>3.7449999999999996E-3</v>
      </c>
      <c r="O13" s="91">
        <f>SUMIFS(Dermal_Exp[Central Tendency IADD (mg/kg-day)],Dermal_Exp[Worker Type],$L$12,Dermal_Exp[OES],$C$4)</f>
        <v>2.7463333333333328E-3</v>
      </c>
      <c r="P13" s="91">
        <f>SUMIFS(Dermal_Exp[Central Tendency ADD (mg/kg-day)],Dermal_Exp[Worker Type],$L$12,Dermal_Exp[OES],$C$4)</f>
        <v>2.5650684931506846E-3</v>
      </c>
      <c r="Q13" s="75"/>
    </row>
    <row r="14" spans="2:22" s="29" customFormat="1" ht="15.5" thickBot="1" x14ac:dyDescent="0.4">
      <c r="B14" s="30"/>
      <c r="C14" s="50"/>
      <c r="D14" s="93"/>
      <c r="E14" s="93"/>
      <c r="F14" s="93"/>
      <c r="G14" s="96"/>
      <c r="H14" s="198" t="s">
        <v>128</v>
      </c>
      <c r="I14" s="50"/>
      <c r="J14" s="50"/>
      <c r="L14" s="49"/>
      <c r="M14" s="199"/>
      <c r="N14" s="199"/>
      <c r="O14" s="200"/>
      <c r="P14" s="200"/>
      <c r="S14" s="190"/>
    </row>
    <row r="15" spans="2:22" s="29" customFormat="1" x14ac:dyDescent="0.35">
      <c r="B15" s="30"/>
      <c r="C15" s="202" t="s">
        <v>113</v>
      </c>
      <c r="D15" s="202" t="s">
        <v>114</v>
      </c>
      <c r="E15" s="202"/>
      <c r="F15" s="203" t="s">
        <v>115</v>
      </c>
      <c r="G15" s="204"/>
      <c r="H15" s="99" t="s">
        <v>79</v>
      </c>
      <c r="I15" s="59" t="s">
        <v>62</v>
      </c>
      <c r="J15" s="38" t="s">
        <v>80</v>
      </c>
      <c r="K15" s="205" t="str">
        <f>_xlfn.CONCAT("Exposure Estimates: ",$F$4," MOE")</f>
        <v>Exposure Estimates: Average Adult Worker MOE</v>
      </c>
      <c r="L15" s="254"/>
      <c r="M15" s="205"/>
      <c r="N15" s="205"/>
      <c r="O15" s="205"/>
      <c r="P15" s="205"/>
      <c r="Q15" s="39"/>
      <c r="S15" s="190"/>
    </row>
    <row r="16" spans="2:22" s="29" customFormat="1" x14ac:dyDescent="0.35">
      <c r="B16" s="30"/>
      <c r="C16" s="207"/>
      <c r="D16" s="207"/>
      <c r="E16" s="207"/>
      <c r="F16" s="208"/>
      <c r="G16" s="209"/>
      <c r="H16" s="255"/>
      <c r="I16" s="66"/>
      <c r="J16" s="210"/>
      <c r="K16" s="216" t="s">
        <v>129</v>
      </c>
      <c r="L16" s="256" t="s">
        <v>120</v>
      </c>
      <c r="M16" s="216" t="s">
        <v>130</v>
      </c>
      <c r="N16" s="216"/>
      <c r="O16" s="216"/>
      <c r="P16" s="216"/>
      <c r="Q16" s="257"/>
      <c r="S16" s="190"/>
    </row>
    <row r="17" spans="2:17" s="29" customFormat="1" ht="13.5" thickBot="1" x14ac:dyDescent="0.4">
      <c r="B17" s="30"/>
      <c r="C17" s="207"/>
      <c r="D17" s="207"/>
      <c r="E17" s="207"/>
      <c r="F17" s="208"/>
      <c r="G17" s="209"/>
      <c r="H17" s="258"/>
      <c r="I17" s="66"/>
      <c r="J17" s="111"/>
      <c r="K17" s="109"/>
      <c r="L17" s="259"/>
      <c r="M17" s="70">
        <f>'List Values'!$D$15</f>
        <v>10</v>
      </c>
      <c r="N17" s="70">
        <f>'List Values'!$D$16</f>
        <v>25</v>
      </c>
      <c r="O17" s="70">
        <f>'List Values'!$D$17</f>
        <v>50</v>
      </c>
      <c r="P17" s="70">
        <f>'List Values'!$D$18</f>
        <v>1000</v>
      </c>
      <c r="Q17" s="112">
        <f>'List Values'!$D$19</f>
        <v>10000</v>
      </c>
    </row>
    <row r="18" spans="2:17" s="29" customFormat="1" x14ac:dyDescent="0.35">
      <c r="B18" s="260" t="s">
        <v>88</v>
      </c>
      <c r="C18" s="222" t="s">
        <v>121</v>
      </c>
      <c r="D18" s="261" t="str">
        <f>_xlfn.XLOOKUP($B18,Tox_Table[Code],Tox_Table[Health Effect])</f>
        <v>Phthalate syndrome-related effects</v>
      </c>
      <c r="E18" s="261">
        <f>_xlfn.XLOOKUP($B18,Tox_Table[Code],Tox_Table[Endpoint])</f>
        <v>0</v>
      </c>
      <c r="F18" s="262">
        <f>_xlfn.XLOOKUP($B18,Tox_Table[Code],Tox_Table[Study])</f>
        <v>0</v>
      </c>
      <c r="G18" s="225"/>
      <c r="H18" s="263">
        <f>_xlfn.XLOOKUP($B18, Tox_Table[Code],Tox_Table[HED / POD (mg/kg/day)], FALSE)</f>
        <v>5.7</v>
      </c>
      <c r="I18" s="264" t="s">
        <v>72</v>
      </c>
      <c r="J18" s="265">
        <f>_xlfn.XLOOKUP($B18,Tox_Table[Code],Tox_Table[Benchmark MOE])</f>
        <v>30</v>
      </c>
      <c r="K18" s="266" t="s">
        <v>118</v>
      </c>
      <c r="L18" s="229">
        <f>IFERROR($H$18/($N$6+$N$12),"")</f>
        <v>582.97110713372547</v>
      </c>
      <c r="M18" s="120">
        <f>IFERROR($H$18/(($N$6/M$17)+$N$12),"")</f>
        <v>738.46153846153857</v>
      </c>
      <c r="N18" s="120">
        <f>IFERROR($H$18/(($N$6/N$17)+$N$12),"")</f>
        <v>751.83011277451692</v>
      </c>
      <c r="O18" s="120">
        <f>IFERROR($H$18/(($N$6/O$17)+$N$12),"")</f>
        <v>756.39451945725386</v>
      </c>
      <c r="P18" s="120">
        <f>IFERROR($H$18/(($N$6/P$17)+$N$12),"")</f>
        <v>760.78233783740961</v>
      </c>
      <c r="Q18" s="125">
        <f>IFERROR($H$18/(($N$6/Q$17)+$N$12),"")</f>
        <v>760.99144502095487</v>
      </c>
    </row>
    <row r="19" spans="2:17" s="29" customFormat="1" x14ac:dyDescent="0.35">
      <c r="B19" s="260"/>
      <c r="C19" s="230"/>
      <c r="D19" s="267"/>
      <c r="E19" s="267"/>
      <c r="F19" s="268"/>
      <c r="G19" s="225"/>
      <c r="H19" s="269"/>
      <c r="I19" s="270"/>
      <c r="J19" s="271"/>
      <c r="K19" s="272">
        <f>'List Values'!$D$22</f>
        <v>5</v>
      </c>
      <c r="L19" s="273">
        <f>IFERROR($H$18/($N$6+$N$12/K19),"")</f>
        <v>1505.745608241976</v>
      </c>
      <c r="M19" s="273">
        <f t="shared" ref="M19:Q21" si="0">IFERROR($H$18/(($N$6/M$17)+$N$12/$K19),"")</f>
        <v>3300.9989865353996</v>
      </c>
      <c r="N19" s="273">
        <f t="shared" si="0"/>
        <v>3586.0333438188118</v>
      </c>
      <c r="O19" s="273">
        <f t="shared" si="0"/>
        <v>3692.3076923076928</v>
      </c>
      <c r="P19" s="273">
        <f t="shared" si="0"/>
        <v>3799.2718062371382</v>
      </c>
      <c r="Q19" s="274">
        <f t="shared" si="0"/>
        <v>3804.4924715267953</v>
      </c>
    </row>
    <row r="20" spans="2:17" s="29" customFormat="1" x14ac:dyDescent="0.35">
      <c r="B20" s="260"/>
      <c r="C20" s="230"/>
      <c r="D20" s="267"/>
      <c r="E20" s="267"/>
      <c r="F20" s="268"/>
      <c r="G20" s="225"/>
      <c r="H20" s="269"/>
      <c r="I20" s="270"/>
      <c r="J20" s="271"/>
      <c r="K20" s="272">
        <f>'List Values'!$D$23</f>
        <v>10</v>
      </c>
      <c r="L20" s="273">
        <f>IFERROR($H$18/($N$6+$N$12/K20),"")</f>
        <v>1877.1612053350898</v>
      </c>
      <c r="M20" s="273">
        <f t="shared" si="0"/>
        <v>5829.7110713372549</v>
      </c>
      <c r="N20" s="273">
        <f t="shared" si="0"/>
        <v>6781.677572873291</v>
      </c>
      <c r="O20" s="273">
        <f t="shared" si="0"/>
        <v>7172.0666876376235</v>
      </c>
      <c r="P20" s="273">
        <f t="shared" si="0"/>
        <v>7586.9756917291998</v>
      </c>
      <c r="Q20" s="274">
        <f t="shared" si="0"/>
        <v>7607.8233783740952</v>
      </c>
    </row>
    <row r="21" spans="2:17" s="29" customFormat="1" x14ac:dyDescent="0.35">
      <c r="B21" s="260"/>
      <c r="C21" s="230"/>
      <c r="D21" s="267"/>
      <c r="E21" s="267"/>
      <c r="F21" s="268"/>
      <c r="G21" s="225"/>
      <c r="H21" s="269"/>
      <c r="I21" s="270"/>
      <c r="J21" s="275"/>
      <c r="K21" s="272">
        <f>'List Values'!$D$24</f>
        <v>20</v>
      </c>
      <c r="L21" s="273">
        <f>IFERROR($H$18/($N$6+$N$12/K21),"")</f>
        <v>2141.247182569497</v>
      </c>
      <c r="M21" s="273">
        <f t="shared" si="0"/>
        <v>9448.8188976377969</v>
      </c>
      <c r="N21" s="273">
        <f t="shared" si="0"/>
        <v>12231.759656652363</v>
      </c>
      <c r="O21" s="273">
        <f t="shared" si="0"/>
        <v>13563.355145746582</v>
      </c>
      <c r="P21" s="273">
        <f t="shared" si="0"/>
        <v>15127.890389145077</v>
      </c>
      <c r="Q21" s="274">
        <f t="shared" si="0"/>
        <v>15211.002625232255</v>
      </c>
    </row>
    <row r="22" spans="2:17" s="29" customFormat="1" x14ac:dyDescent="0.35">
      <c r="B22" s="260" t="s">
        <v>88</v>
      </c>
      <c r="C22" s="230"/>
      <c r="D22" s="267"/>
      <c r="E22" s="267"/>
      <c r="F22" s="268"/>
      <c r="G22" s="225"/>
      <c r="H22" s="269">
        <f>_xlfn.XLOOKUP(B22, Tox_Table[Code],Tox_Table[HED / POD (mg/kg/day)], FALSE)</f>
        <v>5.7</v>
      </c>
      <c r="I22" s="270" t="s">
        <v>73</v>
      </c>
      <c r="J22" s="276">
        <f>_xlfn.XLOOKUP($B22,Tox_Table[Code],Tox_Table[Benchmark MOE])</f>
        <v>30</v>
      </c>
      <c r="K22" s="272" t="s">
        <v>118</v>
      </c>
      <c r="L22" s="273">
        <f>IFERROR($H$22/($N$7+$N$13),"")</f>
        <v>1342.7561837455833</v>
      </c>
      <c r="M22" s="273">
        <f>IFERROR($H$22/(($N$7/M$17)+$N$13),"")</f>
        <v>1501.9762845849805</v>
      </c>
      <c r="N22" s="273">
        <f>IFERROR($H$22/(($N$7/N$17)+$N$13),"")</f>
        <v>1513.94422310757</v>
      </c>
      <c r="O22" s="273">
        <f>IFERROR($H$22/(($N$7/O$17)+$N$13),"")</f>
        <v>1517.9760319573904</v>
      </c>
      <c r="P22" s="273">
        <f>IFERROR($H$22/(($N$7/P$17)+$N$13),"")</f>
        <v>1521.8261914297159</v>
      </c>
      <c r="Q22" s="274">
        <f>IFERROR($H$22/(($N$7/Q$17)+$N$13),"")</f>
        <v>1522.0090519485723</v>
      </c>
    </row>
    <row r="23" spans="2:17" s="29" customFormat="1" x14ac:dyDescent="0.35">
      <c r="B23" s="260"/>
      <c r="C23" s="230"/>
      <c r="D23" s="267"/>
      <c r="E23" s="267"/>
      <c r="F23" s="268"/>
      <c r="G23" s="225"/>
      <c r="H23" s="269"/>
      <c r="I23" s="270"/>
      <c r="J23" s="276"/>
      <c r="K23" s="272">
        <f>'List Values'!$D$22</f>
        <v>5</v>
      </c>
      <c r="L23" s="273">
        <f>IFERROR($H$22/($N$7+$N$13/K23),"")</f>
        <v>4563.6509207365898</v>
      </c>
      <c r="M23" s="273">
        <f t="shared" ref="M23:Q25" si="1">IFERROR($H$22/(($N$7/M$17)+$N$13/$K23),"")</f>
        <v>7133.9173967459337</v>
      </c>
      <c r="N23" s="273">
        <f t="shared" si="1"/>
        <v>7412.223667100131</v>
      </c>
      <c r="O23" s="273">
        <f t="shared" si="1"/>
        <v>7509.8814229249019</v>
      </c>
      <c r="P23" s="273">
        <f t="shared" si="1"/>
        <v>7605.0700466978005</v>
      </c>
      <c r="Q23" s="274">
        <f t="shared" si="1"/>
        <v>7609.6388759094862</v>
      </c>
    </row>
    <row r="24" spans="2:17" s="29" customFormat="1" x14ac:dyDescent="0.35">
      <c r="B24" s="260"/>
      <c r="C24" s="230"/>
      <c r="D24" s="267"/>
      <c r="E24" s="267"/>
      <c r="F24" s="268"/>
      <c r="G24" s="225"/>
      <c r="H24" s="269"/>
      <c r="I24" s="270"/>
      <c r="J24" s="276"/>
      <c r="K24" s="272">
        <f>'List Values'!$D$23</f>
        <v>10</v>
      </c>
      <c r="L24" s="273">
        <f>IFERROR($H$22/($N$7+$N$13/K24),"")</f>
        <v>6518.0102915951975</v>
      </c>
      <c r="M24" s="273">
        <f t="shared" si="1"/>
        <v>13427.561837455833</v>
      </c>
      <c r="N24" s="273">
        <f t="shared" si="1"/>
        <v>14448.669201520916</v>
      </c>
      <c r="O24" s="273">
        <f t="shared" si="1"/>
        <v>14824.447334200262</v>
      </c>
      <c r="P24" s="273">
        <f t="shared" si="1"/>
        <v>15200.000000000002</v>
      </c>
      <c r="Q24" s="274">
        <f t="shared" si="1"/>
        <v>15218.26191429716</v>
      </c>
    </row>
    <row r="25" spans="2:17" s="29" customFormat="1" ht="13.5" thickBot="1" x14ac:dyDescent="0.4">
      <c r="B25" s="260"/>
      <c r="C25" s="238"/>
      <c r="D25" s="277"/>
      <c r="E25" s="277"/>
      <c r="F25" s="278"/>
      <c r="G25" s="225"/>
      <c r="H25" s="279"/>
      <c r="I25" s="280"/>
      <c r="J25" s="281"/>
      <c r="K25" s="272">
        <f>'List Values'!$D$24</f>
        <v>20</v>
      </c>
      <c r="L25" s="137">
        <f>IFERROR($H$22/($N$7+$N$13/K25),"")</f>
        <v>8293.9250636595134</v>
      </c>
      <c r="M25" s="137">
        <f t="shared" si="1"/>
        <v>24025.289778714439</v>
      </c>
      <c r="N25" s="137">
        <f t="shared" si="1"/>
        <v>27503.015681544035</v>
      </c>
      <c r="O25" s="137">
        <f t="shared" si="1"/>
        <v>28897.338403041831</v>
      </c>
      <c r="P25" s="137">
        <f t="shared" si="1"/>
        <v>30359.520639147806</v>
      </c>
      <c r="Q25" s="138">
        <f t="shared" si="1"/>
        <v>30432.461292044853</v>
      </c>
    </row>
    <row r="26" spans="2:17" s="29" customFormat="1" x14ac:dyDescent="0.35">
      <c r="B26" s="260" t="s">
        <v>93</v>
      </c>
      <c r="C26" s="230" t="s">
        <v>122</v>
      </c>
      <c r="D26" s="267" t="str">
        <f>_xlfn.XLOOKUP($B26,Tox_Table[Code],Tox_Table[Health Effect])</f>
        <v>Phthalate syndrome-related effects</v>
      </c>
      <c r="E26" s="267">
        <f>_xlfn.XLOOKUP($B26,Tox_Table[Code],Tox_Table[Endpoint])</f>
        <v>0</v>
      </c>
      <c r="F26" s="268">
        <f>_xlfn.XLOOKUP($B26,Tox_Table[Code],Tox_Table[Study])</f>
        <v>0</v>
      </c>
      <c r="G26" s="225"/>
      <c r="H26" s="282">
        <f>_xlfn.XLOOKUP($B26, Tox_Table[Code],Tox_Table[HED / POD (mg/kg/day)], FALSE)</f>
        <v>5.7</v>
      </c>
      <c r="I26" s="283" t="s">
        <v>72</v>
      </c>
      <c r="J26" s="275">
        <f>_xlfn.XLOOKUP($B26,Tox_Table[Code],Tox_Table[Benchmark MOE])</f>
        <v>30</v>
      </c>
      <c r="K26" s="284" t="s">
        <v>118</v>
      </c>
      <c r="L26" s="229">
        <f>IFERROR($H$26/($O$6+$O$12),"")</f>
        <v>794.96060063689833</v>
      </c>
      <c r="M26" s="229">
        <f>IFERROR($H$26/(($O$6/M$17)+$O$12),"")</f>
        <v>1006.9930069930072</v>
      </c>
      <c r="N26" s="229">
        <f>IFERROR($H$26/(($O$6/N$17)+$O$12),"")</f>
        <v>1025.2228810561596</v>
      </c>
      <c r="O26" s="229">
        <f>IFERROR($H$26/(($O$6/O$17)+$O$12),"")</f>
        <v>1031.4470719871645</v>
      </c>
      <c r="P26" s="229">
        <f>IFERROR($H$26/(($O$6/P$17)+$O$12),"")</f>
        <v>1037.4304606873768</v>
      </c>
      <c r="Q26" s="285">
        <f>IFERROR($H$26/(($O$6/Q$17)+$O$12),"")</f>
        <v>1037.7156068467568</v>
      </c>
    </row>
    <row r="27" spans="2:17" s="29" customFormat="1" x14ac:dyDescent="0.35">
      <c r="B27" s="260" t="s">
        <v>93</v>
      </c>
      <c r="C27" s="230"/>
      <c r="D27" s="267"/>
      <c r="E27" s="267"/>
      <c r="F27" s="268"/>
      <c r="G27" s="225"/>
      <c r="H27" s="269"/>
      <c r="I27" s="270"/>
      <c r="J27" s="276"/>
      <c r="K27" s="272">
        <f>'List Values'!$D$22</f>
        <v>5</v>
      </c>
      <c r="L27" s="273">
        <f>IFERROR($H$26/($O$6+$O$12/K27),"")</f>
        <v>2053.2894657845131</v>
      </c>
      <c r="M27" s="273">
        <f t="shared" ref="M27:Q29" si="2">IFERROR($H$26/(($O$6/M$17)+$O$12/$K27),"")</f>
        <v>4501.3622543664542</v>
      </c>
      <c r="N27" s="273">
        <f t="shared" si="2"/>
        <v>4890.0454688438331</v>
      </c>
      <c r="O27" s="273">
        <f t="shared" si="2"/>
        <v>5034.9650349650356</v>
      </c>
      <c r="P27" s="273">
        <f t="shared" si="2"/>
        <v>5180.8251903233704</v>
      </c>
      <c r="Q27" s="274">
        <f t="shared" si="2"/>
        <v>5187.9442793547205</v>
      </c>
    </row>
    <row r="28" spans="2:17" s="29" customFormat="1" x14ac:dyDescent="0.35">
      <c r="B28" s="260"/>
      <c r="C28" s="230"/>
      <c r="D28" s="267"/>
      <c r="E28" s="267"/>
      <c r="F28" s="268"/>
      <c r="G28" s="225"/>
      <c r="H28" s="269"/>
      <c r="I28" s="270"/>
      <c r="J28" s="276"/>
      <c r="K28" s="272">
        <f>'List Values'!$D$23</f>
        <v>10</v>
      </c>
      <c r="L28" s="273">
        <f>IFERROR($H$26/($O$6+$O$12/K28),"")</f>
        <v>2559.7652800023952</v>
      </c>
      <c r="M28" s="273">
        <f t="shared" si="2"/>
        <v>7949.6060063689838</v>
      </c>
      <c r="N28" s="273">
        <f t="shared" si="2"/>
        <v>9247.7421448272144</v>
      </c>
      <c r="O28" s="273">
        <f t="shared" si="2"/>
        <v>9780.0909376876662</v>
      </c>
      <c r="P28" s="273">
        <f t="shared" si="2"/>
        <v>10345.87594326709</v>
      </c>
      <c r="Q28" s="274">
        <f t="shared" si="2"/>
        <v>10374.304606873768</v>
      </c>
    </row>
    <row r="29" spans="2:17" s="29" customFormat="1" x14ac:dyDescent="0.35">
      <c r="B29" s="260"/>
      <c r="C29" s="230"/>
      <c r="D29" s="267"/>
      <c r="E29" s="267"/>
      <c r="F29" s="268"/>
      <c r="G29" s="225"/>
      <c r="H29" s="269"/>
      <c r="I29" s="270"/>
      <c r="J29" s="276"/>
      <c r="K29" s="272">
        <f>'List Values'!$D$24</f>
        <v>20</v>
      </c>
      <c r="L29" s="273">
        <f>IFERROR($H$26/($O$6+$O$12/K29),"")</f>
        <v>2919.8825216856776</v>
      </c>
      <c r="M29" s="273">
        <f t="shared" si="2"/>
        <v>12884.753042233358</v>
      </c>
      <c r="N29" s="273">
        <f t="shared" si="2"/>
        <v>16679.672259071402</v>
      </c>
      <c r="O29" s="273">
        <f t="shared" si="2"/>
        <v>18495.484289654429</v>
      </c>
      <c r="P29" s="273">
        <f t="shared" si="2"/>
        <v>20628.941439743285</v>
      </c>
      <c r="Q29" s="274">
        <f t="shared" si="2"/>
        <v>20742.276307134889</v>
      </c>
    </row>
    <row r="30" spans="2:17" s="29" customFormat="1" x14ac:dyDescent="0.35">
      <c r="B30" s="260" t="s">
        <v>93</v>
      </c>
      <c r="C30" s="230"/>
      <c r="D30" s="267"/>
      <c r="E30" s="267"/>
      <c r="F30" s="268"/>
      <c r="G30" s="225"/>
      <c r="H30" s="269">
        <f>_xlfn.XLOOKUP(B30, Tox_Table[Code],Tox_Table[HED / POD (mg/kg/day)], FALSE)</f>
        <v>5.7</v>
      </c>
      <c r="I30" s="270" t="s">
        <v>73</v>
      </c>
      <c r="J30" s="276">
        <f>_xlfn.XLOOKUP($B30,Tox_Table[Code],Tox_Table[Benchmark MOE])</f>
        <v>30</v>
      </c>
      <c r="K30" s="272" t="s">
        <v>118</v>
      </c>
      <c r="L30" s="273">
        <f>IFERROR($H$30/($O$7+$O$13),"")</f>
        <v>1831.0311596530682</v>
      </c>
      <c r="M30" s="273">
        <f>IFERROR($H$30/(($O$7/M$17)+$O$13),"")</f>
        <v>2048.1494789795188</v>
      </c>
      <c r="N30" s="273">
        <f>IFERROR($H$30/(($O$7/N$17)+$O$13),"")</f>
        <v>2064.4693951466866</v>
      </c>
      <c r="O30" s="273">
        <f>IFERROR($H$30/(($O$7/O$17)+$O$13),"")</f>
        <v>2069.9673163055327</v>
      </c>
      <c r="P30" s="273">
        <f>IFERROR($H$30/(($O$7/P$17)+$O$13),"")</f>
        <v>2075.2175337677945</v>
      </c>
      <c r="Q30" s="274">
        <f>IFERROR($H$30/(($O$7/Q$17)+$O$13),"")</f>
        <v>2075.4668890207804</v>
      </c>
    </row>
    <row r="31" spans="2:17" s="29" customFormat="1" x14ac:dyDescent="0.35">
      <c r="B31" s="260" t="s">
        <v>93</v>
      </c>
      <c r="C31" s="230"/>
      <c r="D31" s="267"/>
      <c r="E31" s="267"/>
      <c r="F31" s="268"/>
      <c r="G31" s="225"/>
      <c r="H31" s="269"/>
      <c r="I31" s="270"/>
      <c r="J31" s="276"/>
      <c r="K31" s="272">
        <f>'List Values'!$D$22</f>
        <v>5</v>
      </c>
      <c r="L31" s="273">
        <f>IFERROR($H$30/($O$7+$O$13/K31),"")</f>
        <v>6223.1603464589862</v>
      </c>
      <c r="M31" s="273">
        <f t="shared" ref="M31:Q33" si="3">IFERROR($H$30/(($O$7/M$17)+$O$13/$K31),"")</f>
        <v>9728.0691773808194</v>
      </c>
      <c r="N31" s="273">
        <f t="shared" si="3"/>
        <v>10107.577727863816</v>
      </c>
      <c r="O31" s="273">
        <f t="shared" si="3"/>
        <v>10240.747394897593</v>
      </c>
      <c r="P31" s="273">
        <f t="shared" si="3"/>
        <v>10370.550063678818</v>
      </c>
      <c r="Q31" s="274">
        <f t="shared" si="3"/>
        <v>10376.780285331119</v>
      </c>
    </row>
    <row r="32" spans="2:17" s="29" customFormat="1" x14ac:dyDescent="0.35">
      <c r="B32" s="260"/>
      <c r="C32" s="230"/>
      <c r="D32" s="267"/>
      <c r="E32" s="267"/>
      <c r="F32" s="268"/>
      <c r="G32" s="225"/>
      <c r="H32" s="269"/>
      <c r="I32" s="270"/>
      <c r="J32" s="276"/>
      <c r="K32" s="272">
        <f>'List Values'!$D$23</f>
        <v>10</v>
      </c>
      <c r="L32" s="273">
        <f>IFERROR($H$30/($O$7+$O$13/K32),"")</f>
        <v>8888.1958521752695</v>
      </c>
      <c r="M32" s="273">
        <f t="shared" si="3"/>
        <v>18310.311596530679</v>
      </c>
      <c r="N32" s="273">
        <f t="shared" si="3"/>
        <v>19702.730729346702</v>
      </c>
      <c r="O32" s="273">
        <f t="shared" si="3"/>
        <v>20215.155455727632</v>
      </c>
      <c r="P32" s="273">
        <f t="shared" si="3"/>
        <v>20727.272727272732</v>
      </c>
      <c r="Q32" s="274">
        <f t="shared" si="3"/>
        <v>20752.175337677945</v>
      </c>
    </row>
    <row r="33" spans="1:17" s="29" customFormat="1" ht="13.5" thickBot="1" x14ac:dyDescent="0.4">
      <c r="B33" s="260"/>
      <c r="C33" s="230"/>
      <c r="D33" s="267"/>
      <c r="E33" s="267"/>
      <c r="F33" s="268"/>
      <c r="G33" s="225"/>
      <c r="H33" s="286"/>
      <c r="I33" s="287"/>
      <c r="J33" s="288"/>
      <c r="K33" s="272">
        <f>'List Values'!$D$24</f>
        <v>20</v>
      </c>
      <c r="L33" s="289">
        <f>IFERROR($H$30/($O$7+$O$13/K33),"")</f>
        <v>11309.897814081154</v>
      </c>
      <c r="M33" s="289">
        <f t="shared" si="3"/>
        <v>32761.758789156051</v>
      </c>
      <c r="N33" s="289">
        <f t="shared" si="3"/>
        <v>37504.112293014587</v>
      </c>
      <c r="O33" s="289">
        <f t="shared" si="3"/>
        <v>39405.461458693404</v>
      </c>
      <c r="P33" s="289">
        <f t="shared" si="3"/>
        <v>41399.346326110652</v>
      </c>
      <c r="Q33" s="290">
        <f t="shared" si="3"/>
        <v>41498.810852788432</v>
      </c>
    </row>
    <row r="34" spans="1:17" s="29" customFormat="1" x14ac:dyDescent="0.35">
      <c r="B34" s="260" t="s">
        <v>99</v>
      </c>
      <c r="C34" s="222" t="s">
        <v>123</v>
      </c>
      <c r="D34" s="261" t="str">
        <f>_xlfn.XLOOKUP($B34,Tox_Table[Code],Tox_Table[Health Effect])</f>
        <v>Phthalate syndrome-related effects</v>
      </c>
      <c r="E34" s="261">
        <f>_xlfn.XLOOKUP($B34,Tox_Table[Code],Tox_Table[Endpoint])</f>
        <v>0</v>
      </c>
      <c r="F34" s="262">
        <f>_xlfn.XLOOKUP($B34,Tox_Table[Code],Tox_Table[Study])</f>
        <v>0</v>
      </c>
      <c r="G34" s="237"/>
      <c r="H34" s="263">
        <f>_xlfn.XLOOKUP($B34, Tox_Table[Code],Tox_Table[HED / POD (mg/kg/day)], FALSE)</f>
        <v>5.7</v>
      </c>
      <c r="I34" s="264" t="s">
        <v>72</v>
      </c>
      <c r="J34" s="291">
        <f>_xlfn.XLOOKUP($B34,Tox_Table[Code],Tox_Table[Benchmark MOE])</f>
        <v>30</v>
      </c>
      <c r="K34" s="266" t="s">
        <v>118</v>
      </c>
      <c r="L34" s="120">
        <f>IFERROR($H$34/($P$6+$P$12),"")</f>
        <v>851.13781641523917</v>
      </c>
      <c r="M34" s="120">
        <f>IFERROR($H$34/(($P$6/M$17)+$P$12),"")</f>
        <v>1078.1538461538464</v>
      </c>
      <c r="N34" s="120">
        <f>IFERROR($H$34/(($P$6/N$17)+$P$12),"")</f>
        <v>1097.671964650795</v>
      </c>
      <c r="O34" s="120">
        <f>IFERROR($H$34/(($P$6/O$17)+$P$12),"")</f>
        <v>1104.3359984075905</v>
      </c>
      <c r="P34" s="120">
        <f>IFERROR($H$34/(($P$6/P$17)+$P$12),"")</f>
        <v>1110.7422132426179</v>
      </c>
      <c r="Q34" s="125">
        <f>IFERROR($H$34/(($P$6/Q$17)+$P$12),"")</f>
        <v>1111.0475097305944</v>
      </c>
    </row>
    <row r="35" spans="1:17" s="29" customFormat="1" x14ac:dyDescent="0.35">
      <c r="B35" s="260" t="s">
        <v>99</v>
      </c>
      <c r="C35" s="230"/>
      <c r="D35" s="267"/>
      <c r="E35" s="267"/>
      <c r="F35" s="268"/>
      <c r="G35" s="237"/>
      <c r="H35" s="269"/>
      <c r="I35" s="270"/>
      <c r="J35" s="276"/>
      <c r="K35" s="272">
        <f>'List Values'!$D$22</f>
        <v>5</v>
      </c>
      <c r="L35" s="273">
        <f>IFERROR($H$34/($P$6+$P$12/K35),"")</f>
        <v>2198.388588033285</v>
      </c>
      <c r="M35" s="273">
        <f>IFERROR($H$34/(($P$6/M$17)+$P$12/$K35),"")</f>
        <v>4819.4585203416827</v>
      </c>
      <c r="N35" s="273">
        <f t="shared" ref="M35:Q37" si="4">IFERROR($H$34/(($P$6/N$17)+$P$12/$K35),"")</f>
        <v>5235.6086819754646</v>
      </c>
      <c r="O35" s="273">
        <f t="shared" si="4"/>
        <v>5390.7692307692314</v>
      </c>
      <c r="P35" s="273">
        <f t="shared" si="4"/>
        <v>5546.9368371062219</v>
      </c>
      <c r="Q35" s="274">
        <f t="shared" si="4"/>
        <v>5554.5590084291207</v>
      </c>
    </row>
    <row r="36" spans="1:17" s="29" customFormat="1" x14ac:dyDescent="0.35">
      <c r="B36" s="260"/>
      <c r="C36" s="230"/>
      <c r="D36" s="267"/>
      <c r="E36" s="267"/>
      <c r="F36" s="268"/>
      <c r="G36" s="237"/>
      <c r="H36" s="269"/>
      <c r="I36" s="270"/>
      <c r="J36" s="276"/>
      <c r="K36" s="272">
        <f>'List Values'!$D$23</f>
        <v>10</v>
      </c>
      <c r="L36" s="273">
        <f>IFERROR($H$34/($P$6+$P$12/K36),"")</f>
        <v>2740.6553597892312</v>
      </c>
      <c r="M36" s="273">
        <f t="shared" si="4"/>
        <v>8511.378164152391</v>
      </c>
      <c r="N36" s="273">
        <f t="shared" si="4"/>
        <v>9901.2492563950054</v>
      </c>
      <c r="O36" s="273">
        <f t="shared" si="4"/>
        <v>10471.217363950929</v>
      </c>
      <c r="P36" s="273">
        <f t="shared" si="4"/>
        <v>11076.984509924632</v>
      </c>
      <c r="Q36" s="274">
        <f t="shared" si="4"/>
        <v>11107.42213242618</v>
      </c>
    </row>
    <row r="37" spans="1:17" s="29" customFormat="1" x14ac:dyDescent="0.35">
      <c r="B37" s="260"/>
      <c r="C37" s="230"/>
      <c r="D37" s="267"/>
      <c r="E37" s="267"/>
      <c r="F37" s="268"/>
      <c r="G37" s="237"/>
      <c r="H37" s="269"/>
      <c r="I37" s="270"/>
      <c r="J37" s="276"/>
      <c r="K37" s="272">
        <f>'List Values'!$D$24</f>
        <v>20</v>
      </c>
      <c r="L37" s="273">
        <f>IFERROR($H$34/($P$6+$P$12/K37),"")</f>
        <v>3126.2208865514654</v>
      </c>
      <c r="M37" s="273">
        <f t="shared" si="4"/>
        <v>13795.275590551182</v>
      </c>
      <c r="N37" s="273">
        <f t="shared" si="4"/>
        <v>17858.36909871245</v>
      </c>
      <c r="O37" s="273">
        <f t="shared" si="4"/>
        <v>19802.498512790011</v>
      </c>
      <c r="P37" s="273">
        <f t="shared" si="4"/>
        <v>22086.719968151814</v>
      </c>
      <c r="Q37" s="274">
        <f t="shared" si="4"/>
        <v>22208.063832839092</v>
      </c>
    </row>
    <row r="38" spans="1:17" s="29" customFormat="1" x14ac:dyDescent="0.35">
      <c r="B38" s="260" t="s">
        <v>99</v>
      </c>
      <c r="C38" s="230"/>
      <c r="D38" s="267"/>
      <c r="E38" s="267"/>
      <c r="F38" s="268"/>
      <c r="G38" s="237"/>
      <c r="H38" s="269">
        <f>_xlfn.XLOOKUP(B38, Tox_Table[Code],Tox_Table[HED / POD (mg/kg/day)], FALSE)</f>
        <v>5.7</v>
      </c>
      <c r="I38" s="270" t="s">
        <v>73</v>
      </c>
      <c r="J38" s="276">
        <f>_xlfn.XLOOKUP($B38,Tox_Table[Code],Tox_Table[Benchmark MOE])</f>
        <v>30</v>
      </c>
      <c r="K38" s="272" t="s">
        <v>118</v>
      </c>
      <c r="L38" s="273">
        <f>IFERROR($H$38/($P$7+$P$13),"")</f>
        <v>1960.4240282685516</v>
      </c>
      <c r="M38" s="273">
        <f>IFERROR($H$38/(($P$7/M$17)+$P$13),"")</f>
        <v>2192.8853754940715</v>
      </c>
      <c r="N38" s="273">
        <f>IFERROR($H$38/(($P$7/N$17)+$P$13),"")</f>
        <v>2210.3585657370522</v>
      </c>
      <c r="O38" s="273">
        <f>IFERROR($H$38/(($P$7/O$17)+$P$13),"")</f>
        <v>2216.2450066577899</v>
      </c>
      <c r="P38" s="273">
        <f>IFERROR($H$38/(($P$7/P$17)+$P$13),"")</f>
        <v>2221.8662394873854</v>
      </c>
      <c r="Q38" s="274">
        <f>IFERROR($H$38/(($P$7/Q$17)+$P$13),"")</f>
        <v>2222.1332158449159</v>
      </c>
    </row>
    <row r="39" spans="1:17" s="29" customFormat="1" x14ac:dyDescent="0.35">
      <c r="B39" s="260" t="s">
        <v>99</v>
      </c>
      <c r="C39" s="230"/>
      <c r="D39" s="267"/>
      <c r="E39" s="267"/>
      <c r="F39" s="268"/>
      <c r="G39" s="237"/>
      <c r="H39" s="269"/>
      <c r="I39" s="270"/>
      <c r="J39" s="276"/>
      <c r="K39" s="272">
        <f>'List Values'!$D$22</f>
        <v>5</v>
      </c>
      <c r="L39" s="273">
        <f>IFERROR($H$38/($P$7+$P$13/K39),"")</f>
        <v>6662.9303442754208</v>
      </c>
      <c r="M39" s="273">
        <f t="shared" ref="M39:Q41" si="5">IFERROR($H$38/(($P$7/M$17)+$P$13/$K39),"")</f>
        <v>10415.519399249062</v>
      </c>
      <c r="N39" s="273">
        <f t="shared" si="5"/>
        <v>10821.84655396619</v>
      </c>
      <c r="O39" s="273">
        <f t="shared" si="5"/>
        <v>10964.426877470358</v>
      </c>
      <c r="P39" s="273">
        <f t="shared" si="5"/>
        <v>11103.402268178788</v>
      </c>
      <c r="Q39" s="274">
        <f t="shared" si="5"/>
        <v>11110.07275882785</v>
      </c>
    </row>
    <row r="40" spans="1:17" s="29" customFormat="1" x14ac:dyDescent="0.35">
      <c r="B40" s="260"/>
      <c r="C40" s="230"/>
      <c r="D40" s="267"/>
      <c r="E40" s="267"/>
      <c r="F40" s="268"/>
      <c r="G40" s="237"/>
      <c r="H40" s="269"/>
      <c r="I40" s="270"/>
      <c r="J40" s="276"/>
      <c r="K40" s="272">
        <f>'List Values'!$D$23</f>
        <v>10</v>
      </c>
      <c r="L40" s="273">
        <f>IFERROR($H$38/($P$7+$P$13/K40),"")</f>
        <v>9516.2950257289885</v>
      </c>
      <c r="M40" s="273">
        <f t="shared" si="5"/>
        <v>19604.240282685514</v>
      </c>
      <c r="N40" s="273">
        <f t="shared" si="5"/>
        <v>21095.057034220536</v>
      </c>
      <c r="O40" s="273">
        <f t="shared" si="5"/>
        <v>21643.69310793238</v>
      </c>
      <c r="P40" s="273">
        <f t="shared" si="5"/>
        <v>22192.000000000004</v>
      </c>
      <c r="Q40" s="274">
        <f t="shared" si="5"/>
        <v>22218.662394873856</v>
      </c>
    </row>
    <row r="41" spans="1:17" s="29" customFormat="1" ht="13.5" thickBot="1" x14ac:dyDescent="0.4">
      <c r="B41" s="260"/>
      <c r="C41" s="238"/>
      <c r="D41" s="277"/>
      <c r="E41" s="277"/>
      <c r="F41" s="278"/>
      <c r="G41" s="241"/>
      <c r="H41" s="279"/>
      <c r="I41" s="280"/>
      <c r="J41" s="281"/>
      <c r="K41" s="292">
        <f>'List Values'!$D$24</f>
        <v>20</v>
      </c>
      <c r="L41" s="137">
        <f>IFERROR($H$38/($P$7+$P$13/K41),"")</f>
        <v>12109.130592942889</v>
      </c>
      <c r="M41" s="137">
        <f t="shared" si="5"/>
        <v>35076.923076923078</v>
      </c>
      <c r="N41" s="137">
        <f t="shared" si="5"/>
        <v>40154.402895054292</v>
      </c>
      <c r="O41" s="137">
        <f t="shared" si="5"/>
        <v>42190.114068441071</v>
      </c>
      <c r="P41" s="137">
        <f t="shared" si="5"/>
        <v>44324.900133155796</v>
      </c>
      <c r="Q41" s="138">
        <f t="shared" si="5"/>
        <v>44431.393486385488</v>
      </c>
    </row>
    <row r="42" spans="1:17" s="29" customFormat="1" x14ac:dyDescent="0.35">
      <c r="B42" s="28"/>
      <c r="C42" s="57"/>
      <c r="D42" s="179"/>
      <c r="E42" s="57"/>
      <c r="F42" s="57"/>
      <c r="G42" s="27"/>
      <c r="H42" s="27"/>
      <c r="I42" s="57"/>
      <c r="J42" s="27"/>
      <c r="K42" s="27"/>
      <c r="L42" s="27"/>
      <c r="M42" s="27"/>
      <c r="N42" s="27"/>
      <c r="P42" s="27"/>
      <c r="Q42" s="27"/>
    </row>
    <row r="43" spans="1:17" s="29" customFormat="1" x14ac:dyDescent="0.35">
      <c r="B43" s="28"/>
      <c r="C43" s="57"/>
      <c r="D43" s="179"/>
      <c r="E43" s="57"/>
      <c r="F43" s="57"/>
      <c r="G43" s="27"/>
      <c r="H43" s="27"/>
      <c r="I43" s="57"/>
      <c r="J43" s="27"/>
      <c r="K43" s="27"/>
      <c r="L43" s="27"/>
      <c r="M43" s="27"/>
      <c r="N43" s="27"/>
      <c r="O43" s="27"/>
      <c r="P43" s="27"/>
      <c r="Q43" s="27"/>
    </row>
    <row r="44" spans="1:17" s="29" customFormat="1" x14ac:dyDescent="0.35">
      <c r="B44" s="28"/>
      <c r="C44" s="57"/>
      <c r="D44" s="179"/>
      <c r="E44" s="57"/>
      <c r="F44" s="57"/>
      <c r="G44" s="27"/>
      <c r="H44" s="27"/>
      <c r="I44" s="57"/>
      <c r="J44" s="27"/>
      <c r="K44" s="27"/>
      <c r="L44" s="27"/>
      <c r="M44" s="27"/>
      <c r="N44" s="27"/>
      <c r="O44" s="27"/>
      <c r="P44" s="27"/>
      <c r="Q44" s="27"/>
    </row>
    <row r="45" spans="1:17" s="29" customFormat="1" x14ac:dyDescent="0.35">
      <c r="A45" s="27"/>
      <c r="B45" s="28"/>
      <c r="C45" s="57"/>
      <c r="D45" s="179"/>
      <c r="E45" s="57"/>
      <c r="F45" s="57"/>
      <c r="G45" s="27"/>
      <c r="H45" s="27"/>
      <c r="I45" s="57"/>
      <c r="J45" s="27"/>
      <c r="K45" s="27"/>
      <c r="L45" s="27"/>
      <c r="M45" s="27"/>
      <c r="N45" s="27"/>
      <c r="O45" s="27"/>
      <c r="P45" s="27"/>
      <c r="Q45" s="27"/>
    </row>
    <row r="50" spans="1:17" x14ac:dyDescent="0.35">
      <c r="I50" s="50"/>
      <c r="J50" s="29"/>
      <c r="K50" s="29"/>
      <c r="L50" s="29"/>
      <c r="M50" s="29"/>
      <c r="N50" s="29"/>
    </row>
    <row r="55" spans="1:17" x14ac:dyDescent="0.35">
      <c r="P55" s="29"/>
      <c r="Q55" s="29"/>
    </row>
    <row r="56" spans="1:17" x14ac:dyDescent="0.35">
      <c r="C56" s="50"/>
      <c r="D56" s="49"/>
      <c r="E56" s="50"/>
      <c r="F56" s="50"/>
      <c r="G56" s="29"/>
      <c r="H56" s="29"/>
    </row>
    <row r="58" spans="1:17" x14ac:dyDescent="0.35">
      <c r="B58" s="30"/>
    </row>
    <row r="59" spans="1:17" x14ac:dyDescent="0.35">
      <c r="B59" s="160"/>
    </row>
    <row r="60" spans="1:17" x14ac:dyDescent="0.35">
      <c r="B60" s="160"/>
      <c r="I60" s="158"/>
      <c r="J60" s="158"/>
      <c r="K60" s="158"/>
      <c r="L60" s="158"/>
      <c r="M60" s="158"/>
      <c r="N60" s="158"/>
      <c r="O60" s="29"/>
    </row>
    <row r="61" spans="1:17" x14ac:dyDescent="0.35">
      <c r="B61" s="160"/>
      <c r="I61" s="158"/>
      <c r="J61" s="158"/>
      <c r="K61" s="158"/>
      <c r="L61" s="158"/>
      <c r="M61" s="158"/>
      <c r="N61" s="158"/>
    </row>
    <row r="62" spans="1:17" x14ac:dyDescent="0.35">
      <c r="B62" s="160"/>
      <c r="C62" s="162"/>
      <c r="D62" s="245"/>
      <c r="E62" s="162"/>
      <c r="I62" s="158"/>
      <c r="J62" s="158"/>
      <c r="K62" s="158"/>
      <c r="L62" s="158"/>
      <c r="M62" s="158"/>
      <c r="N62" s="158"/>
    </row>
    <row r="63" spans="1:17" s="29" customFormat="1" x14ac:dyDescent="0.35">
      <c r="A63" s="27"/>
      <c r="B63" s="160"/>
      <c r="C63" s="57"/>
      <c r="D63" s="179"/>
      <c r="E63" s="162"/>
      <c r="F63" s="57"/>
      <c r="G63" s="27"/>
      <c r="H63" s="27"/>
      <c r="I63" s="158"/>
      <c r="J63" s="158"/>
      <c r="K63" s="158"/>
      <c r="L63" s="158"/>
      <c r="M63" s="158"/>
      <c r="N63" s="158"/>
      <c r="O63" s="27"/>
      <c r="P63" s="27"/>
      <c r="Q63" s="27"/>
    </row>
    <row r="65" spans="1:11" x14ac:dyDescent="0.35">
      <c r="F65" s="158"/>
      <c r="G65" s="159"/>
      <c r="H65" s="246"/>
      <c r="I65" s="293"/>
      <c r="J65" s="247"/>
      <c r="K65" s="247"/>
    </row>
    <row r="66" spans="1:11" x14ac:dyDescent="0.35">
      <c r="H66" s="62"/>
      <c r="I66" s="294"/>
      <c r="J66" s="248"/>
      <c r="K66" s="248"/>
    </row>
    <row r="67" spans="1:11" x14ac:dyDescent="0.35">
      <c r="A67" s="27" t="s">
        <v>124</v>
      </c>
      <c r="H67" s="62"/>
      <c r="I67" s="294"/>
      <c r="J67" s="248"/>
      <c r="K67" s="248"/>
    </row>
    <row r="68" spans="1:11" x14ac:dyDescent="0.35">
      <c r="H68" s="62"/>
      <c r="I68" s="294"/>
      <c r="J68" s="248"/>
      <c r="K68" s="248"/>
    </row>
    <row r="69" spans="1:11" x14ac:dyDescent="0.35">
      <c r="H69" s="62"/>
      <c r="I69" s="294"/>
      <c r="J69" s="248"/>
      <c r="K69" s="248"/>
    </row>
    <row r="70" spans="1:11" x14ac:dyDescent="0.35">
      <c r="H70" s="62"/>
      <c r="I70" s="294"/>
      <c r="J70" s="248"/>
      <c r="K70" s="248"/>
    </row>
    <row r="71" spans="1:11" x14ac:dyDescent="0.35">
      <c r="H71" s="62"/>
      <c r="I71" s="294"/>
      <c r="J71" s="248"/>
      <c r="K71" s="248"/>
    </row>
  </sheetData>
  <sheetProtection sheet="1" objects="1" scenarios="1" formatCells="0" formatColumns="0" formatRows="0" sort="0" autoFilter="0"/>
  <autoFilter ref="A17:Y41" xr:uid="{0343F8EF-0238-48DF-B0F9-9BD2EA206E1A}">
    <filterColumn colId="3" showButton="0"/>
  </autoFilter>
  <dataConsolidate link="1"/>
  <mergeCells count="56">
    <mergeCell ref="D2:E2"/>
    <mergeCell ref="L4:L5"/>
    <mergeCell ref="M4:M5"/>
    <mergeCell ref="C15:C17"/>
    <mergeCell ref="D15:E17"/>
    <mergeCell ref="F15:F17"/>
    <mergeCell ref="H15:H17"/>
    <mergeCell ref="I15:I17"/>
    <mergeCell ref="L10:L11"/>
    <mergeCell ref="M10:M11"/>
    <mergeCell ref="D4:E4"/>
    <mergeCell ref="L6:L7"/>
    <mergeCell ref="L12:L13"/>
    <mergeCell ref="D3:E3"/>
    <mergeCell ref="H18:H21"/>
    <mergeCell ref="H22:H25"/>
    <mergeCell ref="H26:H29"/>
    <mergeCell ref="I26:I29"/>
    <mergeCell ref="M14:N14"/>
    <mergeCell ref="J15:J17"/>
    <mergeCell ref="L16:L17"/>
    <mergeCell ref="J18:J21"/>
    <mergeCell ref="I18:I21"/>
    <mergeCell ref="I22:I25"/>
    <mergeCell ref="J22:J25"/>
    <mergeCell ref="J26:J29"/>
    <mergeCell ref="M16:Q16"/>
    <mergeCell ref="K16:K17"/>
    <mergeCell ref="K15:Q15"/>
    <mergeCell ref="B38:B41"/>
    <mergeCell ref="E26:E33"/>
    <mergeCell ref="F26:F33"/>
    <mergeCell ref="D26:D33"/>
    <mergeCell ref="H38:H41"/>
    <mergeCell ref="C34:C41"/>
    <mergeCell ref="I34:I37"/>
    <mergeCell ref="J34:J37"/>
    <mergeCell ref="D34:D41"/>
    <mergeCell ref="E34:E41"/>
    <mergeCell ref="F34:F41"/>
    <mergeCell ref="I38:I41"/>
    <mergeCell ref="J38:J41"/>
    <mergeCell ref="C18:C25"/>
    <mergeCell ref="B18:B21"/>
    <mergeCell ref="B22:B25"/>
    <mergeCell ref="B26:B29"/>
    <mergeCell ref="C26:C33"/>
    <mergeCell ref="B30:B33"/>
    <mergeCell ref="F18:F25"/>
    <mergeCell ref="E18:E25"/>
    <mergeCell ref="D18:D25"/>
    <mergeCell ref="H30:H33"/>
    <mergeCell ref="I30:I33"/>
    <mergeCell ref="J30:J33"/>
    <mergeCell ref="H34:H37"/>
    <mergeCell ref="B34:B37"/>
  </mergeCells>
  <phoneticPr fontId="2" type="noConversion"/>
  <conditionalFormatting sqref="F4">
    <cfRule type="cellIs" dxfId="325" priority="47" stopIfTrue="1" operator="equal">
      <formula>0</formula>
    </cfRule>
    <cfRule type="containsBlanks" dxfId="324" priority="48" stopIfTrue="1">
      <formula>LEN(TRIM(F4))=0</formula>
    </cfRule>
    <cfRule type="cellIs" dxfId="323" priority="49" operator="lessThan">
      <formula>0.1</formula>
    </cfRule>
  </conditionalFormatting>
  <conditionalFormatting sqref="H18 H34">
    <cfRule type="cellIs" dxfId="322" priority="164" operator="lessThan">
      <formula>0.1</formula>
    </cfRule>
    <cfRule type="containsBlanks" dxfId="321" priority="163" stopIfTrue="1">
      <formula>LEN(TRIM(H18))=0</formula>
    </cfRule>
    <cfRule type="cellIs" dxfId="320" priority="162" stopIfTrue="1" operator="equal">
      <formula>0</formula>
    </cfRule>
    <cfRule type="cellIs" dxfId="319" priority="166" operator="greaterThanOrEqual">
      <formula>10</formula>
    </cfRule>
    <cfRule type="cellIs" dxfId="318" priority="165" operator="lessThan">
      <formula>10</formula>
    </cfRule>
  </conditionalFormatting>
  <conditionalFormatting sqref="H22">
    <cfRule type="cellIs" dxfId="317" priority="133" operator="greaterThanOrEqual">
      <formula>10</formula>
    </cfRule>
    <cfRule type="cellIs" dxfId="316" priority="132" operator="lessThan">
      <formula>10</formula>
    </cfRule>
    <cfRule type="cellIs" dxfId="315" priority="131" operator="lessThan">
      <formula>0.1</formula>
    </cfRule>
    <cfRule type="cellIs" dxfId="314" priority="129" stopIfTrue="1" operator="equal">
      <formula>0</formula>
    </cfRule>
    <cfRule type="containsBlanks" dxfId="313" priority="130" stopIfTrue="1">
      <formula>LEN(TRIM(H22))=0</formula>
    </cfRule>
  </conditionalFormatting>
  <conditionalFormatting sqref="H26">
    <cfRule type="cellIs" dxfId="312" priority="111" operator="greaterThanOrEqual">
      <formula>10</formula>
    </cfRule>
    <cfRule type="cellIs" dxfId="311" priority="110" operator="lessThan">
      <formula>10</formula>
    </cfRule>
    <cfRule type="cellIs" dxfId="310" priority="109" operator="lessThan">
      <formula>0.1</formula>
    </cfRule>
    <cfRule type="containsBlanks" dxfId="309" priority="108" stopIfTrue="1">
      <formula>LEN(TRIM(H26))=0</formula>
    </cfRule>
    <cfRule type="cellIs" dxfId="308" priority="107" stopIfTrue="1" operator="equal">
      <formula>0</formula>
    </cfRule>
  </conditionalFormatting>
  <conditionalFormatting sqref="H30">
    <cfRule type="cellIs" dxfId="307" priority="106" operator="greaterThanOrEqual">
      <formula>10</formula>
    </cfRule>
    <cfRule type="cellIs" dxfId="306" priority="105" operator="lessThan">
      <formula>10</formula>
    </cfRule>
    <cfRule type="cellIs" dxfId="305" priority="104" operator="lessThan">
      <formula>0.1</formula>
    </cfRule>
    <cfRule type="containsBlanks" dxfId="304" priority="103" stopIfTrue="1">
      <formula>LEN(TRIM(H30))=0</formula>
    </cfRule>
    <cfRule type="cellIs" dxfId="303" priority="102" stopIfTrue="1" operator="equal">
      <formula>0</formula>
    </cfRule>
  </conditionalFormatting>
  <conditionalFormatting sqref="H38">
    <cfRule type="containsBlanks" dxfId="302" priority="84" stopIfTrue="1">
      <formula>LEN(TRIM(H38))=0</formula>
    </cfRule>
    <cfRule type="cellIs" dxfId="301" priority="85" operator="lessThan">
      <formula>0.1</formula>
    </cfRule>
    <cfRule type="cellIs" dxfId="300" priority="86" operator="lessThan">
      <formula>10</formula>
    </cfRule>
    <cfRule type="cellIs" dxfId="299" priority="87" operator="greaterThanOrEqual">
      <formula>10</formula>
    </cfRule>
    <cfRule type="cellIs" dxfId="298" priority="83" stopIfTrue="1" operator="equal">
      <formula>0</formula>
    </cfRule>
  </conditionalFormatting>
  <conditionalFormatting sqref="L18:Q41">
    <cfRule type="cellIs" dxfId="297" priority="54" operator="greaterThanOrEqual">
      <formula>10</formula>
    </cfRule>
    <cfRule type="cellIs" dxfId="296" priority="53" operator="lessThan">
      <formula>10</formula>
    </cfRule>
    <cfRule type="cellIs" dxfId="295" priority="52" operator="lessThan">
      <formula>0.1</formula>
    </cfRule>
    <cfRule type="cellIs" dxfId="294" priority="55" operator="lessThan">
      <formula>$J$18</formula>
    </cfRule>
    <cfRule type="cellIs" dxfId="293" priority="11" stopIfTrue="1" operator="equal">
      <formula>0</formula>
    </cfRule>
    <cfRule type="containsBlanks" dxfId="292" priority="10">
      <formula>LEN(TRIM(L18))=0</formula>
    </cfRule>
    <cfRule type="cellIs" dxfId="291" priority="56" operator="greaterThanOrEqual">
      <formula>$J$18</formula>
    </cfRule>
  </conditionalFormatting>
  <conditionalFormatting sqref="N6:Q7">
    <cfRule type="cellIs" dxfId="290" priority="46" operator="lessThan">
      <formula>0.1</formula>
    </cfRule>
    <cfRule type="cellIs" dxfId="289" priority="44" operator="between">
      <formula>1</formula>
      <formula>9.999</formula>
    </cfRule>
    <cfRule type="cellIs" dxfId="288" priority="43" operator="between">
      <formula>10</formula>
      <formula>9999.999</formula>
    </cfRule>
    <cfRule type="cellIs" dxfId="287" priority="42" operator="greaterThan">
      <formula>10000</formula>
    </cfRule>
    <cfRule type="cellIs" dxfId="286" priority="41" operator="equal">
      <formula>0</formula>
    </cfRule>
    <cfRule type="cellIs" dxfId="285" priority="45" operator="between">
      <formula>0.1</formula>
      <formula>0.999</formula>
    </cfRule>
  </conditionalFormatting>
  <conditionalFormatting sqref="N12:Q13">
    <cfRule type="cellIs" dxfId="284" priority="1" operator="equal">
      <formula>0</formula>
    </cfRule>
    <cfRule type="cellIs" dxfId="283" priority="6" operator="lessThan">
      <formula>0.1</formula>
    </cfRule>
    <cfRule type="cellIs" dxfId="282" priority="5" operator="between">
      <formula>0.1</formula>
      <formula>0.999</formula>
    </cfRule>
    <cfRule type="cellIs" dxfId="281" priority="4" operator="between">
      <formula>1</formula>
      <formula>9.999</formula>
    </cfRule>
    <cfRule type="cellIs" dxfId="280" priority="3" operator="between">
      <formula>10</formula>
      <formula>9999.999</formula>
    </cfRule>
    <cfRule type="cellIs" dxfId="279" priority="2" operator="greaterThan">
      <formula>10000</formula>
    </cfRule>
  </conditionalFormatting>
  <conditionalFormatting sqref="O4:O5">
    <cfRule type="cellIs" dxfId="278" priority="152" stopIfTrue="1" operator="equal">
      <formula>0</formula>
    </cfRule>
    <cfRule type="cellIs" dxfId="277" priority="154" operator="lessThan">
      <formula>0.1</formula>
    </cfRule>
    <cfRule type="containsBlanks" dxfId="276" priority="153" stopIfTrue="1">
      <formula>LEN(TRIM(O4))=0</formula>
    </cfRule>
  </conditionalFormatting>
  <conditionalFormatting sqref="O10:O11">
    <cfRule type="cellIs" dxfId="275" priority="126" stopIfTrue="1" operator="equal">
      <formula>0</formula>
    </cfRule>
    <cfRule type="containsBlanks" dxfId="274" priority="127" stopIfTrue="1">
      <formula>LEN(TRIM(O10))=0</formula>
    </cfRule>
    <cfRule type="cellIs" dxfId="273" priority="128" operator="lessThan">
      <formula>0.1</formula>
    </cfRule>
  </conditionalFormatting>
  <dataValidations count="1">
    <dataValidation allowBlank="1" showErrorMessage="1" sqref="L4 L10" xr:uid="{0E2F5D05-59E6-4CA8-950E-8C0FEEEF3EDD}"/>
  </dataValidations>
  <pageMargins left="0.7" right="0.7" top="0.75" bottom="0.75" header="0.3" footer="0.3"/>
  <pageSetup orientation="portrait" r:id="rId1"/>
  <ignoredErrors>
    <ignoredError sqref="H22 H26 H34 H30"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8AA2E77-9C7B-4A85-BD17-BFF4F592D56F}">
          <x14:formula1>
            <xm:f>'List Values'!$D$6:$D$8</xm:f>
          </x14:formula1>
          <xm:sqref>F4</xm:sqref>
        </x14:dataValidation>
        <x14:dataValidation type="list" allowBlank="1" showInputMessage="1" showErrorMessage="1" xr:uid="{D5F6A2A8-3149-4118-9B46-756968515682}">
          <x14:formula1>
            <xm:f>'List Values'!$B$2:$B$20</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DFA29-5DDB-4018-BDB5-BC28E8281DEA}">
  <sheetPr codeName="Sheet7">
    <tabColor theme="1"/>
  </sheetPr>
  <dimension ref="A1:Y81"/>
  <sheetViews>
    <sheetView topLeftCell="B1" zoomScale="80" zoomScaleNormal="80" workbookViewId="0">
      <pane xSplit="3" ySplit="4" topLeftCell="E5" activePane="bottomRight" state="frozen"/>
      <selection activeCell="B1" sqref="B1"/>
      <selection pane="topRight" activeCell="E1" sqref="E1"/>
      <selection pane="bottomLeft" activeCell="B5" sqref="B5"/>
      <selection pane="bottomRight"/>
    </sheetView>
  </sheetViews>
  <sheetFormatPr defaultColWidth="9.08984375" defaultRowHeight="13" x14ac:dyDescent="0.3"/>
  <cols>
    <col min="1" max="1" width="10.08984375" style="8" hidden="1" customWidth="1"/>
    <col min="2" max="2" width="11.453125" style="358" customWidth="1"/>
    <col min="3" max="3" width="28.453125" style="8" customWidth="1"/>
    <col min="4" max="4" width="17.453125" style="8" customWidth="1"/>
    <col min="5" max="5" width="17.08984375" style="358" customWidth="1"/>
    <col min="6" max="6" width="9.90625" style="8" customWidth="1"/>
    <col min="7" max="7" width="11.54296875" style="8" customWidth="1"/>
    <col min="8" max="13" width="12.453125" style="8" customWidth="1"/>
    <col min="14" max="14" width="13.90625" style="8" customWidth="1"/>
    <col min="15" max="15" width="12.90625" style="8" customWidth="1"/>
    <col min="16" max="16" width="13.90625" style="8" customWidth="1"/>
    <col min="17" max="17" width="13.90625" style="358" customWidth="1"/>
    <col min="18" max="19" width="13.90625" style="8" customWidth="1"/>
    <col min="20" max="21" width="13.90625" style="358" customWidth="1"/>
    <col min="22" max="22" width="11" style="8" customWidth="1"/>
    <col min="23" max="23" width="11.453125" style="8" customWidth="1"/>
    <col min="24" max="24" width="28.08984375" style="8" customWidth="1"/>
    <col min="25" max="25" width="16.08984375" style="8" customWidth="1"/>
    <col min="26" max="16384" width="9.08984375" style="8"/>
  </cols>
  <sheetData>
    <row r="1" spans="1:25" ht="13.5" thickBot="1" x14ac:dyDescent="0.35">
      <c r="B1" s="295"/>
      <c r="C1" s="94"/>
      <c r="D1" s="94"/>
      <c r="E1" s="295"/>
      <c r="L1" s="296"/>
      <c r="M1" s="296"/>
      <c r="N1" s="296"/>
      <c r="O1" s="296"/>
      <c r="P1" s="94"/>
      <c r="Q1" s="295"/>
      <c r="T1" s="295"/>
      <c r="U1" s="295"/>
      <c r="V1" s="12"/>
      <c r="W1" s="12"/>
    </row>
    <row r="2" spans="1:25" ht="38.25" customHeight="1" thickBot="1" x14ac:dyDescent="0.35">
      <c r="B2" s="297"/>
      <c r="C2" s="297"/>
      <c r="D2" s="297"/>
      <c r="E2" s="297"/>
      <c r="F2" s="298" t="s">
        <v>131</v>
      </c>
      <c r="G2" s="299"/>
      <c r="H2" s="300" t="s">
        <v>132</v>
      </c>
      <c r="I2" s="301"/>
      <c r="J2" s="301" t="s">
        <v>133</v>
      </c>
      <c r="K2" s="301"/>
      <c r="L2" s="301" t="s">
        <v>134</v>
      </c>
      <c r="M2" s="301"/>
      <c r="N2" s="301" t="s">
        <v>135</v>
      </c>
      <c r="O2" s="302"/>
      <c r="P2" s="303" t="s">
        <v>63</v>
      </c>
      <c r="Q2" s="304"/>
      <c r="R2" s="303" t="s">
        <v>64</v>
      </c>
      <c r="S2" s="304"/>
      <c r="T2" s="303" t="s">
        <v>136</v>
      </c>
      <c r="U2" s="304"/>
      <c r="V2" s="305"/>
      <c r="W2" s="305"/>
      <c r="X2" s="305"/>
      <c r="Y2" s="305"/>
    </row>
    <row r="3" spans="1:25" ht="18" customHeight="1" x14ac:dyDescent="0.3">
      <c r="B3" s="306"/>
      <c r="C3" s="306"/>
      <c r="D3" s="306"/>
      <c r="E3" s="306"/>
      <c r="F3" s="307"/>
      <c r="G3" s="308"/>
      <c r="H3" s="309" t="s">
        <v>137</v>
      </c>
      <c r="I3" s="310"/>
      <c r="J3" s="310" t="s">
        <v>137</v>
      </c>
      <c r="K3" s="310"/>
      <c r="L3" s="310" t="s">
        <v>137</v>
      </c>
      <c r="M3" s="310"/>
      <c r="N3" s="310" t="s">
        <v>137</v>
      </c>
      <c r="O3" s="311"/>
      <c r="P3" s="303" t="s">
        <v>67</v>
      </c>
      <c r="Q3" s="304"/>
      <c r="R3" s="303" t="s">
        <v>138</v>
      </c>
      <c r="S3" s="304"/>
      <c r="T3" s="303" t="s">
        <v>69</v>
      </c>
      <c r="U3" s="304"/>
      <c r="V3" s="306"/>
      <c r="W3" s="306"/>
      <c r="X3" s="306"/>
      <c r="Y3" s="306"/>
    </row>
    <row r="4" spans="1:25" s="312" customFormat="1" ht="39.5" thickBot="1" x14ac:dyDescent="0.35">
      <c r="A4" s="312" t="s">
        <v>139</v>
      </c>
      <c r="B4" s="313" t="s">
        <v>140</v>
      </c>
      <c r="C4" s="313" t="s">
        <v>141</v>
      </c>
      <c r="D4" s="313" t="s">
        <v>125</v>
      </c>
      <c r="E4" s="313" t="s">
        <v>142</v>
      </c>
      <c r="F4" s="314" t="s">
        <v>143</v>
      </c>
      <c r="G4" s="315" t="s">
        <v>144</v>
      </c>
      <c r="H4" s="316" t="s">
        <v>145</v>
      </c>
      <c r="I4" s="317" t="s">
        <v>146</v>
      </c>
      <c r="J4" s="317" t="s">
        <v>147</v>
      </c>
      <c r="K4" s="317" t="s">
        <v>148</v>
      </c>
      <c r="L4" s="317" t="s">
        <v>149</v>
      </c>
      <c r="M4" s="317" t="s">
        <v>150</v>
      </c>
      <c r="N4" s="317" t="s">
        <v>151</v>
      </c>
      <c r="O4" s="318" t="s">
        <v>152</v>
      </c>
      <c r="P4" s="319" t="s">
        <v>153</v>
      </c>
      <c r="Q4" s="319" t="s">
        <v>154</v>
      </c>
      <c r="R4" s="319" t="s">
        <v>155</v>
      </c>
      <c r="S4" s="319" t="s">
        <v>156</v>
      </c>
      <c r="T4" s="319" t="s">
        <v>157</v>
      </c>
      <c r="U4" s="319" t="s">
        <v>158</v>
      </c>
      <c r="V4" s="313" t="s">
        <v>159</v>
      </c>
      <c r="W4" s="313" t="s">
        <v>160</v>
      </c>
      <c r="X4" s="313" t="s">
        <v>161</v>
      </c>
      <c r="Y4" s="313" t="s">
        <v>162</v>
      </c>
    </row>
    <row r="5" spans="1:25" ht="52" x14ac:dyDescent="0.3">
      <c r="B5" s="320">
        <v>1</v>
      </c>
      <c r="C5" s="321" t="s">
        <v>163</v>
      </c>
      <c r="D5" s="322" t="s">
        <v>57</v>
      </c>
      <c r="E5" s="323" t="s">
        <v>164</v>
      </c>
      <c r="F5" s="323">
        <v>250</v>
      </c>
      <c r="G5" s="323">
        <v>250</v>
      </c>
      <c r="H5" s="324">
        <v>1.83E-2</v>
      </c>
      <c r="I5" s="324">
        <v>4.0000000000000001E-3</v>
      </c>
      <c r="J5" s="324"/>
      <c r="K5" s="324"/>
      <c r="L5" s="325"/>
      <c r="M5" s="325"/>
      <c r="N5" s="326">
        <f>SUM(Inhalation_Exp[[#This Row],[Vapor_HE]],Inhalation_Exp[[#This Row],[Mist_HE]],Inhalation_Exp[[#This Row],[Dust_HE]])</f>
        <v>1.83E-2</v>
      </c>
      <c r="O5" s="326">
        <f>SUM(Inhalation_Exp[[#This Row],[Vapor_CT]],Inhalation_Exp[[#This Row],[Mist_CT]],Inhalation_Exp[[#This Row],[Dust_CT]])</f>
        <v>4.0000000000000001E-3</v>
      </c>
      <c r="P5" s="327">
        <f>((N5*ED_8)*WorkBreathRate)/IF(Inhalation_Exp[[#This Row],[Worker Type]]="Female of Reproductive Age",BW_F,BW_default)</f>
        <v>2.2875E-3</v>
      </c>
      <c r="Q5" s="327">
        <f>((O5*ED_8)*WorkBreathRate)/IF(Inhalation_Exp[[#This Row],[Worker Type]]="Female of Reproductive Age",BW_F,BW_default)</f>
        <v>5.0000000000000001E-4</v>
      </c>
      <c r="R5" s="327">
        <f>IF(EFID&gt;Inhalation_Exp[[#This Row],[ED_High-End]],Inhalation_Exp[[#This Row],[24hr_High-End]]*Inhalation_Exp[[#This Row],[ED_High-End]]/ID,Inhalation_Exp[[#This Row],[24hr_High-End]]*EFID/ID)</f>
        <v>1.6775E-3</v>
      </c>
      <c r="S5" s="328">
        <f>IF(EFID&gt;Inhalation_Exp[[#This Row],[ED_Central Tendency]],Inhalation_Exp[[#This Row],[24hr_Central Tendency]]*Inhalation_Exp[[#This Row],[ED_Central Tendency]]/ID,Inhalation_Exp[[#This Row],[24hr_Central Tendency]]*EFID/ID)</f>
        <v>3.6666666666666667E-4</v>
      </c>
      <c r="T5" s="327">
        <f t="shared" ref="T5:T37" si="0">P5*F5*WY_high/(WY_high*365)</f>
        <v>1.5667808219178082E-3</v>
      </c>
      <c r="U5" s="328">
        <f t="shared" ref="U5:U37" si="1">Q5*G5*WY_mid/(WY_mid*365)</f>
        <v>3.4246575342465754E-4</v>
      </c>
      <c r="V5" s="329" t="s">
        <v>165</v>
      </c>
      <c r="W5" s="329" t="s">
        <v>165</v>
      </c>
      <c r="X5" s="10" t="s">
        <v>166</v>
      </c>
      <c r="Y5" s="330" t="s">
        <v>167</v>
      </c>
    </row>
    <row r="6" spans="1:25" ht="52" x14ac:dyDescent="0.3">
      <c r="A6" s="331"/>
      <c r="B6" s="320">
        <v>1</v>
      </c>
      <c r="C6" s="321" t="s">
        <v>163</v>
      </c>
      <c r="D6" s="322" t="s">
        <v>168</v>
      </c>
      <c r="E6" s="323" t="s">
        <v>164</v>
      </c>
      <c r="F6" s="323">
        <v>250</v>
      </c>
      <c r="G6" s="323">
        <v>250</v>
      </c>
      <c r="H6" s="332">
        <v>1.83E-2</v>
      </c>
      <c r="I6" s="332">
        <v>4.0000000000000001E-3</v>
      </c>
      <c r="J6" s="332"/>
      <c r="K6" s="332"/>
      <c r="L6" s="333"/>
      <c r="M6" s="333"/>
      <c r="N6" s="334">
        <f>SUM(Inhalation_Exp[[#This Row],[Vapor_HE]],Inhalation_Exp[[#This Row],[Mist_HE]],Inhalation_Exp[[#This Row],[Dust_HE]])</f>
        <v>1.83E-2</v>
      </c>
      <c r="O6" s="334">
        <f>SUM(Inhalation_Exp[[#This Row],[Vapor_CT]],Inhalation_Exp[[#This Row],[Mist_CT]],Inhalation_Exp[[#This Row],[Dust_CT]])</f>
        <v>4.0000000000000001E-3</v>
      </c>
      <c r="P6" s="327">
        <f>((N6*ED_8)*WorkBreathRate)/IF(Inhalation_Exp[[#This Row],[Worker Type]]="Female of Reproductive Age",BW_F,BW_default)</f>
        <v>2.5267518122195371E-3</v>
      </c>
      <c r="Q6" s="327">
        <f>((O6*ED_8)*WorkBreathRate)/IF(Inhalation_Exp[[#This Row],[Worker Type]]="Female of Reproductive Age",BW_F,BW_default)</f>
        <v>5.5229547808077317E-4</v>
      </c>
      <c r="R6" s="327">
        <f>IF(EFID&gt;Inhalation_Exp[[#This Row],[ED_High-End]],Inhalation_Exp[[#This Row],[24hr_High-End]]*Inhalation_Exp[[#This Row],[ED_High-End]]/ID,Inhalation_Exp[[#This Row],[24hr_High-End]]*EFID/ID)</f>
        <v>1.8529513289609939E-3</v>
      </c>
      <c r="S6" s="328">
        <f>IF(EFID&gt;Inhalation_Exp[[#This Row],[ED_Central Tendency]],Inhalation_Exp[[#This Row],[24hr_Central Tendency]]*Inhalation_Exp[[#This Row],[ED_Central Tendency]]/ID,Inhalation_Exp[[#This Row],[24hr_Central Tendency]]*EFID/ID)</f>
        <v>4.0501668392590036E-4</v>
      </c>
      <c r="T6" s="327">
        <f t="shared" si="0"/>
        <v>1.7306519261777651E-3</v>
      </c>
      <c r="U6" s="328">
        <f t="shared" si="1"/>
        <v>3.7828457402792686E-4</v>
      </c>
      <c r="V6" s="329" t="s">
        <v>165</v>
      </c>
      <c r="W6" s="329" t="s">
        <v>165</v>
      </c>
      <c r="X6" s="10" t="s">
        <v>166</v>
      </c>
      <c r="Y6" s="330" t="s">
        <v>167</v>
      </c>
    </row>
    <row r="7" spans="1:25" ht="26" x14ac:dyDescent="0.3">
      <c r="A7" s="331"/>
      <c r="B7" s="320">
        <v>1</v>
      </c>
      <c r="C7" s="321" t="s">
        <v>163</v>
      </c>
      <c r="D7" s="322" t="s">
        <v>74</v>
      </c>
      <c r="E7" s="323" t="s">
        <v>164</v>
      </c>
      <c r="F7" s="323">
        <v>250</v>
      </c>
      <c r="G7" s="323">
        <v>250</v>
      </c>
      <c r="H7" s="332">
        <v>4.0000000000000001E-3</v>
      </c>
      <c r="I7" s="332">
        <v>4.0000000000000001E-3</v>
      </c>
      <c r="J7" s="332"/>
      <c r="K7" s="332"/>
      <c r="L7" s="333"/>
      <c r="M7" s="333"/>
      <c r="N7" s="334">
        <f>SUM(Inhalation_Exp[[#This Row],[Vapor_HE]],Inhalation_Exp[[#This Row],[Mist_HE]],Inhalation_Exp[[#This Row],[Dust_HE]])</f>
        <v>4.0000000000000001E-3</v>
      </c>
      <c r="O7" s="334">
        <f>SUM(Inhalation_Exp[[#This Row],[Vapor_CT]],Inhalation_Exp[[#This Row],[Mist_CT]],Inhalation_Exp[[#This Row],[Dust_CT]])</f>
        <v>4.0000000000000001E-3</v>
      </c>
      <c r="P7" s="327">
        <f>((N7*ED_8)*WorkBreathRate)/IF(Inhalation_Exp[[#This Row],[Worker Type]]="Female of Reproductive Age",BW_F,BW_default)</f>
        <v>5.0000000000000001E-4</v>
      </c>
      <c r="Q7" s="327">
        <f>((O7*ED_8)*WorkBreathRate)/IF(Inhalation_Exp[[#This Row],[Worker Type]]="Female of Reproductive Age",BW_F,BW_default)</f>
        <v>5.0000000000000001E-4</v>
      </c>
      <c r="R7" s="327">
        <f>IF(EFID&gt;Inhalation_Exp[[#This Row],[ED_High-End]],Inhalation_Exp[[#This Row],[24hr_High-End]]*Inhalation_Exp[[#This Row],[ED_High-End]]/ID,Inhalation_Exp[[#This Row],[24hr_High-End]]*EFID/ID)</f>
        <v>3.6666666666666667E-4</v>
      </c>
      <c r="S7" s="328">
        <f>IF(EFID&gt;Inhalation_Exp[[#This Row],[ED_Central Tendency]],Inhalation_Exp[[#This Row],[24hr_Central Tendency]]*Inhalation_Exp[[#This Row],[ED_Central Tendency]]/ID,Inhalation_Exp[[#This Row],[24hr_Central Tendency]]*EFID/ID)</f>
        <v>3.6666666666666667E-4</v>
      </c>
      <c r="T7" s="327">
        <f t="shared" si="0"/>
        <v>3.4246575342465754E-4</v>
      </c>
      <c r="U7" s="328">
        <f t="shared" si="1"/>
        <v>3.4246575342465754E-4</v>
      </c>
      <c r="V7" s="329" t="s">
        <v>165</v>
      </c>
      <c r="W7" s="329" t="s">
        <v>165</v>
      </c>
      <c r="X7" s="10" t="s">
        <v>169</v>
      </c>
      <c r="Y7" s="330" t="s">
        <v>167</v>
      </c>
    </row>
    <row r="8" spans="1:25" ht="52" x14ac:dyDescent="0.3">
      <c r="B8" s="320">
        <v>1</v>
      </c>
      <c r="C8" s="321" t="s">
        <v>170</v>
      </c>
      <c r="D8" s="322" t="s">
        <v>57</v>
      </c>
      <c r="E8" s="323" t="s">
        <v>164</v>
      </c>
      <c r="F8" s="323">
        <v>250</v>
      </c>
      <c r="G8" s="323">
        <v>208</v>
      </c>
      <c r="H8" s="332">
        <v>1.83E-2</v>
      </c>
      <c r="I8" s="332">
        <v>4.0000000000000001E-3</v>
      </c>
      <c r="J8" s="332"/>
      <c r="K8" s="332"/>
      <c r="L8" s="333"/>
      <c r="M8" s="333"/>
      <c r="N8" s="334">
        <f>SUM(Inhalation_Exp[[#This Row],[Vapor_HE]],Inhalation_Exp[[#This Row],[Mist_HE]],Inhalation_Exp[[#This Row],[Dust_HE]])</f>
        <v>1.83E-2</v>
      </c>
      <c r="O8" s="334">
        <f>SUM(Inhalation_Exp[[#This Row],[Vapor_CT]],Inhalation_Exp[[#This Row],[Mist_CT]],Inhalation_Exp[[#This Row],[Dust_CT]])</f>
        <v>4.0000000000000001E-3</v>
      </c>
      <c r="P8" s="335">
        <f>((N8*ED_8)*WorkBreathRate)/IF(Inhalation_Exp[[#This Row],[Worker Type]]="Female of Reproductive Age",BW_F,BW_default)</f>
        <v>2.2875E-3</v>
      </c>
      <c r="Q8" s="336">
        <f>((O8*ED_8)*WorkBreathRate)/IF(Inhalation_Exp[[#This Row],[Worker Type]]="Female of Reproductive Age",BW_F,BW_default)</f>
        <v>5.0000000000000001E-4</v>
      </c>
      <c r="R8" s="335">
        <f>IF(EFID&gt;Inhalation_Exp[[#This Row],[ED_High-End]],Inhalation_Exp[[#This Row],[24hr_High-End]]*Inhalation_Exp[[#This Row],[ED_High-End]]/ID,Inhalation_Exp[[#This Row],[24hr_High-End]]*EFID/ID)</f>
        <v>1.6775E-3</v>
      </c>
      <c r="S8" s="336">
        <f>IF(EFID&gt;Inhalation_Exp[[#This Row],[ED_Central Tendency]],Inhalation_Exp[[#This Row],[24hr_Central Tendency]]*Inhalation_Exp[[#This Row],[ED_Central Tendency]]/ID,Inhalation_Exp[[#This Row],[24hr_Central Tendency]]*EFID/ID)</f>
        <v>3.6666666666666667E-4</v>
      </c>
      <c r="T8" s="335">
        <f t="shared" si="0"/>
        <v>1.5667808219178082E-3</v>
      </c>
      <c r="U8" s="336">
        <f t="shared" si="1"/>
        <v>2.8493150684931511E-4</v>
      </c>
      <c r="V8" s="329" t="s">
        <v>165</v>
      </c>
      <c r="W8" s="329" t="s">
        <v>165</v>
      </c>
      <c r="X8" s="10" t="s">
        <v>166</v>
      </c>
      <c r="Y8" s="330" t="s">
        <v>167</v>
      </c>
    </row>
    <row r="9" spans="1:25" ht="52" x14ac:dyDescent="0.3">
      <c r="A9" s="331"/>
      <c r="B9" s="320">
        <v>1</v>
      </c>
      <c r="C9" s="321" t="s">
        <v>170</v>
      </c>
      <c r="D9" s="322" t="s">
        <v>168</v>
      </c>
      <c r="E9" s="323" t="s">
        <v>164</v>
      </c>
      <c r="F9" s="323">
        <v>250</v>
      </c>
      <c r="G9" s="323">
        <v>208</v>
      </c>
      <c r="H9" s="332">
        <v>1.83E-2</v>
      </c>
      <c r="I9" s="332">
        <v>4.0000000000000001E-3</v>
      </c>
      <c r="J9" s="332"/>
      <c r="K9" s="332"/>
      <c r="L9" s="333"/>
      <c r="M9" s="333"/>
      <c r="N9" s="334">
        <f>SUM(Inhalation_Exp[[#This Row],[Vapor_HE]],Inhalation_Exp[[#This Row],[Mist_HE]],Inhalation_Exp[[#This Row],[Dust_HE]])</f>
        <v>1.83E-2</v>
      </c>
      <c r="O9" s="334">
        <f>SUM(Inhalation_Exp[[#This Row],[Vapor_CT]],Inhalation_Exp[[#This Row],[Mist_CT]],Inhalation_Exp[[#This Row],[Dust_CT]])</f>
        <v>4.0000000000000001E-3</v>
      </c>
      <c r="P9" s="335">
        <f>((N9*ED_8)*WorkBreathRate)/IF(Inhalation_Exp[[#This Row],[Worker Type]]="Female of Reproductive Age",BW_F,BW_default)</f>
        <v>2.5267518122195371E-3</v>
      </c>
      <c r="Q9" s="335">
        <f>((O9*ED_8)*WorkBreathRate)/IF(Inhalation_Exp[[#This Row],[Worker Type]]="Female of Reproductive Age",BW_F,BW_default)</f>
        <v>5.5229547808077317E-4</v>
      </c>
      <c r="R9" s="335">
        <f>IF(EFID&gt;Inhalation_Exp[[#This Row],[ED_High-End]],Inhalation_Exp[[#This Row],[24hr_High-End]]*Inhalation_Exp[[#This Row],[ED_High-End]]/ID,Inhalation_Exp[[#This Row],[24hr_High-End]]*EFID/ID)</f>
        <v>1.8529513289609939E-3</v>
      </c>
      <c r="S9" s="336">
        <f>IF(EFID&gt;Inhalation_Exp[[#This Row],[ED_Central Tendency]],Inhalation_Exp[[#This Row],[24hr_Central Tendency]]*Inhalation_Exp[[#This Row],[ED_Central Tendency]]/ID,Inhalation_Exp[[#This Row],[24hr_Central Tendency]]*EFID/ID)</f>
        <v>4.0501668392590036E-4</v>
      </c>
      <c r="T9" s="335">
        <f t="shared" si="0"/>
        <v>1.7306519261777651E-3</v>
      </c>
      <c r="U9" s="336">
        <f t="shared" si="1"/>
        <v>3.1473276559123512E-4</v>
      </c>
      <c r="V9" s="329" t="s">
        <v>165</v>
      </c>
      <c r="W9" s="329" t="s">
        <v>165</v>
      </c>
      <c r="X9" s="10" t="s">
        <v>166</v>
      </c>
      <c r="Y9" s="330" t="s">
        <v>167</v>
      </c>
    </row>
    <row r="10" spans="1:25" ht="26" x14ac:dyDescent="0.3">
      <c r="A10" s="331"/>
      <c r="B10" s="320">
        <v>1</v>
      </c>
      <c r="C10" s="321" t="s">
        <v>170</v>
      </c>
      <c r="D10" s="322" t="s">
        <v>74</v>
      </c>
      <c r="E10" s="323" t="s">
        <v>164</v>
      </c>
      <c r="F10" s="323">
        <v>250</v>
      </c>
      <c r="G10" s="323">
        <v>208</v>
      </c>
      <c r="H10" s="332">
        <v>4.0000000000000001E-3</v>
      </c>
      <c r="I10" s="332">
        <v>4.0000000000000001E-3</v>
      </c>
      <c r="J10" s="332"/>
      <c r="K10" s="332"/>
      <c r="L10" s="333"/>
      <c r="M10" s="333"/>
      <c r="N10" s="334">
        <f>SUM(Inhalation_Exp[[#This Row],[Vapor_HE]],Inhalation_Exp[[#This Row],[Mist_HE]],Inhalation_Exp[[#This Row],[Dust_HE]])</f>
        <v>4.0000000000000001E-3</v>
      </c>
      <c r="O10" s="334">
        <f>SUM(Inhalation_Exp[[#This Row],[Vapor_CT]],Inhalation_Exp[[#This Row],[Mist_CT]],Inhalation_Exp[[#This Row],[Dust_CT]])</f>
        <v>4.0000000000000001E-3</v>
      </c>
      <c r="P10" s="335">
        <f>((N10*ED_8)*WorkBreathRate)/IF(Inhalation_Exp[[#This Row],[Worker Type]]="Female of Reproductive Age",BW_F,BW_default)</f>
        <v>5.0000000000000001E-4</v>
      </c>
      <c r="Q10" s="335">
        <f>((O10*ED_8)*WorkBreathRate)/IF(Inhalation_Exp[[#This Row],[Worker Type]]="Female of Reproductive Age",BW_F,BW_default)</f>
        <v>5.0000000000000001E-4</v>
      </c>
      <c r="R10" s="335">
        <f>IF(EFID&gt;Inhalation_Exp[[#This Row],[ED_High-End]],Inhalation_Exp[[#This Row],[24hr_High-End]]*Inhalation_Exp[[#This Row],[ED_High-End]]/ID,Inhalation_Exp[[#This Row],[24hr_High-End]]*EFID/ID)</f>
        <v>3.6666666666666667E-4</v>
      </c>
      <c r="S10" s="336">
        <f>IF(EFID&gt;Inhalation_Exp[[#This Row],[ED_Central Tendency]],Inhalation_Exp[[#This Row],[24hr_Central Tendency]]*Inhalation_Exp[[#This Row],[ED_Central Tendency]]/ID,Inhalation_Exp[[#This Row],[24hr_Central Tendency]]*EFID/ID)</f>
        <v>3.6666666666666667E-4</v>
      </c>
      <c r="T10" s="335">
        <f t="shared" si="0"/>
        <v>3.4246575342465754E-4</v>
      </c>
      <c r="U10" s="336">
        <f t="shared" si="1"/>
        <v>2.8493150684931511E-4</v>
      </c>
      <c r="V10" s="329" t="s">
        <v>165</v>
      </c>
      <c r="W10" s="329" t="s">
        <v>165</v>
      </c>
      <c r="X10" s="10" t="s">
        <v>169</v>
      </c>
      <c r="Y10" s="330" t="s">
        <v>167</v>
      </c>
    </row>
    <row r="11" spans="1:25" ht="52" x14ac:dyDescent="0.3">
      <c r="A11" s="331"/>
      <c r="B11" s="337">
        <v>2</v>
      </c>
      <c r="C11" s="338" t="s">
        <v>103</v>
      </c>
      <c r="D11" s="322" t="s">
        <v>57</v>
      </c>
      <c r="E11" s="323" t="s">
        <v>164</v>
      </c>
      <c r="F11" s="323">
        <v>250</v>
      </c>
      <c r="G11" s="323">
        <v>250</v>
      </c>
      <c r="H11" s="332">
        <v>1.83E-2</v>
      </c>
      <c r="I11" s="332">
        <v>4.0000000000000001E-3</v>
      </c>
      <c r="J11" s="332"/>
      <c r="K11" s="332"/>
      <c r="L11" s="333"/>
      <c r="M11" s="333"/>
      <c r="N11" s="334">
        <f>SUM(Inhalation_Exp[[#This Row],[Vapor_HE]],Inhalation_Exp[[#This Row],[Mist_HE]],Inhalation_Exp[[#This Row],[Dust_HE]])</f>
        <v>1.83E-2</v>
      </c>
      <c r="O11" s="334">
        <f>SUM(Inhalation_Exp[[#This Row],[Vapor_CT]],Inhalation_Exp[[#This Row],[Mist_CT]],Inhalation_Exp[[#This Row],[Dust_CT]])</f>
        <v>4.0000000000000001E-3</v>
      </c>
      <c r="P11" s="335">
        <f>((N11*ED_8)*WorkBreathRate)/IF(Inhalation_Exp[[#This Row],[Worker Type]]="Female of Reproductive Age",BW_F,BW_default)</f>
        <v>2.2875E-3</v>
      </c>
      <c r="Q11" s="336">
        <f>((O11*ED_8)*WorkBreathRate)/IF(Inhalation_Exp[[#This Row],[Worker Type]]="Female of Reproductive Age",BW_F,BW_default)</f>
        <v>5.0000000000000001E-4</v>
      </c>
      <c r="R11" s="335">
        <f>IF(EFID&gt;Inhalation_Exp[[#This Row],[ED_High-End]],Inhalation_Exp[[#This Row],[24hr_High-End]]*Inhalation_Exp[[#This Row],[ED_High-End]]/ID,Inhalation_Exp[[#This Row],[24hr_High-End]]*EFID/ID)</f>
        <v>1.6775E-3</v>
      </c>
      <c r="S11" s="336">
        <f>IF(EFID&gt;Inhalation_Exp[[#This Row],[ED_Central Tendency]],Inhalation_Exp[[#This Row],[24hr_Central Tendency]]*Inhalation_Exp[[#This Row],[ED_Central Tendency]]/ID,Inhalation_Exp[[#This Row],[24hr_Central Tendency]]*EFID/ID)</f>
        <v>3.6666666666666667E-4</v>
      </c>
      <c r="T11" s="335">
        <f t="shared" si="0"/>
        <v>1.5667808219178082E-3</v>
      </c>
      <c r="U11" s="336">
        <f t="shared" si="1"/>
        <v>3.4246575342465754E-4</v>
      </c>
      <c r="V11" s="329" t="s">
        <v>165</v>
      </c>
      <c r="W11" s="329" t="s">
        <v>165</v>
      </c>
      <c r="X11" s="10" t="s">
        <v>166</v>
      </c>
      <c r="Y11" s="330" t="s">
        <v>167</v>
      </c>
    </row>
    <row r="12" spans="1:25" ht="52" x14ac:dyDescent="0.3">
      <c r="A12" s="331"/>
      <c r="B12" s="337">
        <v>2</v>
      </c>
      <c r="C12" s="338" t="s">
        <v>103</v>
      </c>
      <c r="D12" s="322" t="s">
        <v>168</v>
      </c>
      <c r="E12" s="323" t="s">
        <v>164</v>
      </c>
      <c r="F12" s="323">
        <v>250</v>
      </c>
      <c r="G12" s="323">
        <v>250</v>
      </c>
      <c r="H12" s="332">
        <v>1.83E-2</v>
      </c>
      <c r="I12" s="332">
        <v>4.0000000000000001E-3</v>
      </c>
      <c r="J12" s="332"/>
      <c r="K12" s="332"/>
      <c r="L12" s="333"/>
      <c r="M12" s="333"/>
      <c r="N12" s="334">
        <f>SUM(Inhalation_Exp[[#This Row],[Vapor_HE]],Inhalation_Exp[[#This Row],[Mist_HE]],Inhalation_Exp[[#This Row],[Dust_HE]])</f>
        <v>1.83E-2</v>
      </c>
      <c r="O12" s="334">
        <f>SUM(Inhalation_Exp[[#This Row],[Vapor_CT]],Inhalation_Exp[[#This Row],[Mist_CT]],Inhalation_Exp[[#This Row],[Dust_CT]])</f>
        <v>4.0000000000000001E-3</v>
      </c>
      <c r="P12" s="335">
        <f>((N12*ED_8)*WorkBreathRate)/IF(Inhalation_Exp[[#This Row],[Worker Type]]="Female of Reproductive Age",BW_F,BW_default)</f>
        <v>2.5267518122195371E-3</v>
      </c>
      <c r="Q12" s="335">
        <f>((O12*ED_8)*WorkBreathRate)/IF(Inhalation_Exp[[#This Row],[Worker Type]]="Female of Reproductive Age",BW_F,BW_default)</f>
        <v>5.5229547808077317E-4</v>
      </c>
      <c r="R12" s="335">
        <f>IF(EFID&gt;Inhalation_Exp[[#This Row],[ED_High-End]],Inhalation_Exp[[#This Row],[24hr_High-End]]*Inhalation_Exp[[#This Row],[ED_High-End]]/ID,Inhalation_Exp[[#This Row],[24hr_High-End]]*EFID/ID)</f>
        <v>1.8529513289609939E-3</v>
      </c>
      <c r="S12" s="336">
        <f>IF(EFID&gt;Inhalation_Exp[[#This Row],[ED_Central Tendency]],Inhalation_Exp[[#This Row],[24hr_Central Tendency]]*Inhalation_Exp[[#This Row],[ED_Central Tendency]]/ID,Inhalation_Exp[[#This Row],[24hr_Central Tendency]]*EFID/ID)</f>
        <v>4.0501668392590036E-4</v>
      </c>
      <c r="T12" s="335">
        <f t="shared" si="0"/>
        <v>1.7306519261777651E-3</v>
      </c>
      <c r="U12" s="336">
        <f t="shared" si="1"/>
        <v>3.7828457402792686E-4</v>
      </c>
      <c r="V12" s="329" t="s">
        <v>165</v>
      </c>
      <c r="W12" s="329" t="s">
        <v>165</v>
      </c>
      <c r="X12" s="10" t="s">
        <v>166</v>
      </c>
      <c r="Y12" s="330" t="s">
        <v>167</v>
      </c>
    </row>
    <row r="13" spans="1:25" ht="29" x14ac:dyDescent="0.3">
      <c r="A13" s="331"/>
      <c r="B13" s="337">
        <v>2</v>
      </c>
      <c r="C13" s="338" t="s">
        <v>103</v>
      </c>
      <c r="D13" s="322" t="s">
        <v>74</v>
      </c>
      <c r="E13" s="323" t="s">
        <v>164</v>
      </c>
      <c r="F13" s="323">
        <v>250</v>
      </c>
      <c r="G13" s="323">
        <v>250</v>
      </c>
      <c r="H13" s="332">
        <v>4.0000000000000001E-3</v>
      </c>
      <c r="I13" s="332">
        <v>4.0000000000000001E-3</v>
      </c>
      <c r="J13" s="332"/>
      <c r="K13" s="332"/>
      <c r="L13" s="333"/>
      <c r="M13" s="333"/>
      <c r="N13" s="334">
        <f>SUM(Inhalation_Exp[[#This Row],[Vapor_HE]],Inhalation_Exp[[#This Row],[Mist_HE]],Inhalation_Exp[[#This Row],[Dust_HE]])</f>
        <v>4.0000000000000001E-3</v>
      </c>
      <c r="O13" s="334">
        <f>SUM(Inhalation_Exp[[#This Row],[Vapor_CT]],Inhalation_Exp[[#This Row],[Mist_CT]],Inhalation_Exp[[#This Row],[Dust_CT]])</f>
        <v>4.0000000000000001E-3</v>
      </c>
      <c r="P13" s="335">
        <f>((N13*ED_8)*WorkBreathRate)/IF(Inhalation_Exp[[#This Row],[Worker Type]]="Female of Reproductive Age",BW_F,BW_default)</f>
        <v>5.0000000000000001E-4</v>
      </c>
      <c r="Q13" s="335">
        <f>((O13*ED_8)*WorkBreathRate)/IF(Inhalation_Exp[[#This Row],[Worker Type]]="Female of Reproductive Age",BW_F,BW_default)</f>
        <v>5.0000000000000001E-4</v>
      </c>
      <c r="R13" s="335">
        <f>IF(EFID&gt;Inhalation_Exp[[#This Row],[ED_High-End]],Inhalation_Exp[[#This Row],[24hr_High-End]]*Inhalation_Exp[[#This Row],[ED_High-End]]/ID,Inhalation_Exp[[#This Row],[24hr_High-End]]*EFID/ID)</f>
        <v>3.6666666666666667E-4</v>
      </c>
      <c r="S13" s="336">
        <f>IF(EFID&gt;Inhalation_Exp[[#This Row],[ED_Central Tendency]],Inhalation_Exp[[#This Row],[24hr_Central Tendency]]*Inhalation_Exp[[#This Row],[ED_Central Tendency]]/ID,Inhalation_Exp[[#This Row],[24hr_Central Tendency]]*EFID/ID)</f>
        <v>3.6666666666666667E-4</v>
      </c>
      <c r="T13" s="335">
        <f t="shared" si="0"/>
        <v>3.4246575342465754E-4</v>
      </c>
      <c r="U13" s="336">
        <f t="shared" si="1"/>
        <v>3.4246575342465754E-4</v>
      </c>
      <c r="V13" s="329" t="s">
        <v>165</v>
      </c>
      <c r="W13" s="329" t="s">
        <v>165</v>
      </c>
      <c r="X13" s="10" t="s">
        <v>169</v>
      </c>
      <c r="Y13" s="330" t="s">
        <v>167</v>
      </c>
    </row>
    <row r="14" spans="1:25" ht="52" x14ac:dyDescent="0.3">
      <c r="B14" s="337">
        <v>2</v>
      </c>
      <c r="C14" s="338" t="s">
        <v>171</v>
      </c>
      <c r="D14" s="322" t="s">
        <v>57</v>
      </c>
      <c r="E14" s="323" t="s">
        <v>164</v>
      </c>
      <c r="F14" s="323">
        <v>250</v>
      </c>
      <c r="G14" s="323">
        <v>250</v>
      </c>
      <c r="H14" s="332">
        <v>1.83E-2</v>
      </c>
      <c r="I14" s="332">
        <v>4.0000000000000001E-3</v>
      </c>
      <c r="J14" s="332"/>
      <c r="K14" s="332"/>
      <c r="L14" s="333"/>
      <c r="M14" s="333"/>
      <c r="N14" s="334">
        <f>SUM(Inhalation_Exp[[#This Row],[Vapor_HE]],Inhalation_Exp[[#This Row],[Mist_HE]],Inhalation_Exp[[#This Row],[Dust_HE]])</f>
        <v>1.83E-2</v>
      </c>
      <c r="O14" s="334">
        <f>SUM(Inhalation_Exp[[#This Row],[Vapor_CT]],Inhalation_Exp[[#This Row],[Mist_CT]],Inhalation_Exp[[#This Row],[Dust_CT]])</f>
        <v>4.0000000000000001E-3</v>
      </c>
      <c r="P14" s="335">
        <f>((N14*ED_8)*WorkBreathRate)/IF(Inhalation_Exp[[#This Row],[Worker Type]]="Female of Reproductive Age",BW_F,BW_default)</f>
        <v>2.2875E-3</v>
      </c>
      <c r="Q14" s="336">
        <f>((O14*ED_8)*WorkBreathRate)/IF(Inhalation_Exp[[#This Row],[Worker Type]]="Female of Reproductive Age",BW_F,BW_default)</f>
        <v>5.0000000000000001E-4</v>
      </c>
      <c r="R14" s="335">
        <f>IF(EFID&gt;Inhalation_Exp[[#This Row],[ED_High-End]],Inhalation_Exp[[#This Row],[24hr_High-End]]*Inhalation_Exp[[#This Row],[ED_High-End]]/ID,Inhalation_Exp[[#This Row],[24hr_High-End]]*EFID/ID)</f>
        <v>1.6775E-3</v>
      </c>
      <c r="S14" s="336">
        <f>IF(EFID&gt;Inhalation_Exp[[#This Row],[ED_Central Tendency]],Inhalation_Exp[[#This Row],[24hr_Central Tendency]]*Inhalation_Exp[[#This Row],[ED_Central Tendency]]/ID,Inhalation_Exp[[#This Row],[24hr_Central Tendency]]*EFID/ID)</f>
        <v>3.6666666666666667E-4</v>
      </c>
      <c r="T14" s="335">
        <f t="shared" si="0"/>
        <v>1.5667808219178082E-3</v>
      </c>
      <c r="U14" s="336">
        <f t="shared" si="1"/>
        <v>3.4246575342465754E-4</v>
      </c>
      <c r="V14" s="329" t="s">
        <v>165</v>
      </c>
      <c r="W14" s="329" t="s">
        <v>165</v>
      </c>
      <c r="X14" s="10" t="s">
        <v>166</v>
      </c>
      <c r="Y14" s="330" t="s">
        <v>167</v>
      </c>
    </row>
    <row r="15" spans="1:25" ht="52" x14ac:dyDescent="0.3">
      <c r="A15" s="331"/>
      <c r="B15" s="337">
        <v>2</v>
      </c>
      <c r="C15" s="338" t="s">
        <v>171</v>
      </c>
      <c r="D15" s="322" t="s">
        <v>168</v>
      </c>
      <c r="E15" s="323" t="s">
        <v>164</v>
      </c>
      <c r="F15" s="323">
        <v>250</v>
      </c>
      <c r="G15" s="323">
        <v>250</v>
      </c>
      <c r="H15" s="332">
        <v>1.83E-2</v>
      </c>
      <c r="I15" s="332">
        <v>4.0000000000000001E-3</v>
      </c>
      <c r="J15" s="332"/>
      <c r="K15" s="332"/>
      <c r="L15" s="333"/>
      <c r="M15" s="333"/>
      <c r="N15" s="334">
        <f>SUM(Inhalation_Exp[[#This Row],[Vapor_HE]],Inhalation_Exp[[#This Row],[Mist_HE]],Inhalation_Exp[[#This Row],[Dust_HE]])</f>
        <v>1.83E-2</v>
      </c>
      <c r="O15" s="334">
        <f>SUM(Inhalation_Exp[[#This Row],[Vapor_CT]],Inhalation_Exp[[#This Row],[Mist_CT]],Inhalation_Exp[[#This Row],[Dust_CT]])</f>
        <v>4.0000000000000001E-3</v>
      </c>
      <c r="P15" s="335">
        <f>((N15*ED_8)*WorkBreathRate)/IF(Inhalation_Exp[[#This Row],[Worker Type]]="Female of Reproductive Age",BW_F,BW_default)</f>
        <v>2.5267518122195371E-3</v>
      </c>
      <c r="Q15" s="335">
        <f>((O15*ED_8)*WorkBreathRate)/IF(Inhalation_Exp[[#This Row],[Worker Type]]="Female of Reproductive Age",BW_F,BW_default)</f>
        <v>5.5229547808077317E-4</v>
      </c>
      <c r="R15" s="335">
        <f>IF(EFID&gt;Inhalation_Exp[[#This Row],[ED_High-End]],Inhalation_Exp[[#This Row],[24hr_High-End]]*Inhalation_Exp[[#This Row],[ED_High-End]]/ID,Inhalation_Exp[[#This Row],[24hr_High-End]]*EFID/ID)</f>
        <v>1.8529513289609939E-3</v>
      </c>
      <c r="S15" s="336">
        <f>IF(EFID&gt;Inhalation_Exp[[#This Row],[ED_Central Tendency]],Inhalation_Exp[[#This Row],[24hr_Central Tendency]]*Inhalation_Exp[[#This Row],[ED_Central Tendency]]/ID,Inhalation_Exp[[#This Row],[24hr_Central Tendency]]*EFID/ID)</f>
        <v>4.0501668392590036E-4</v>
      </c>
      <c r="T15" s="335">
        <f t="shared" si="0"/>
        <v>1.7306519261777651E-3</v>
      </c>
      <c r="U15" s="336">
        <f t="shared" si="1"/>
        <v>3.7828457402792686E-4</v>
      </c>
      <c r="V15" s="329" t="s">
        <v>165</v>
      </c>
      <c r="W15" s="329" t="s">
        <v>165</v>
      </c>
      <c r="X15" s="10" t="s">
        <v>166</v>
      </c>
      <c r="Y15" s="330" t="s">
        <v>167</v>
      </c>
    </row>
    <row r="16" spans="1:25" ht="29" x14ac:dyDescent="0.3">
      <c r="A16" s="331"/>
      <c r="B16" s="337">
        <v>2</v>
      </c>
      <c r="C16" s="338" t="s">
        <v>171</v>
      </c>
      <c r="D16" s="322" t="s">
        <v>74</v>
      </c>
      <c r="E16" s="323" t="s">
        <v>164</v>
      </c>
      <c r="F16" s="323">
        <v>250</v>
      </c>
      <c r="G16" s="323">
        <v>250</v>
      </c>
      <c r="H16" s="332">
        <v>4.0000000000000001E-3</v>
      </c>
      <c r="I16" s="332">
        <v>4.0000000000000001E-3</v>
      </c>
      <c r="J16" s="332"/>
      <c r="K16" s="332"/>
      <c r="L16" s="333"/>
      <c r="M16" s="333"/>
      <c r="N16" s="334">
        <f>SUM(Inhalation_Exp[[#This Row],[Vapor_HE]],Inhalation_Exp[[#This Row],[Mist_HE]],Inhalation_Exp[[#This Row],[Dust_HE]])</f>
        <v>4.0000000000000001E-3</v>
      </c>
      <c r="O16" s="334">
        <f>SUM(Inhalation_Exp[[#This Row],[Vapor_CT]],Inhalation_Exp[[#This Row],[Mist_CT]],Inhalation_Exp[[#This Row],[Dust_CT]])</f>
        <v>4.0000000000000001E-3</v>
      </c>
      <c r="P16" s="335">
        <f>((N16*ED_8)*WorkBreathRate)/IF(Inhalation_Exp[[#This Row],[Worker Type]]="Female of Reproductive Age",BW_F,BW_default)</f>
        <v>5.0000000000000001E-4</v>
      </c>
      <c r="Q16" s="335">
        <f>((O16*ED_8)*WorkBreathRate)/IF(Inhalation_Exp[[#This Row],[Worker Type]]="Female of Reproductive Age",BW_F,BW_default)</f>
        <v>5.0000000000000001E-4</v>
      </c>
      <c r="R16" s="335">
        <f>IF(EFID&gt;Inhalation_Exp[[#This Row],[ED_High-End]],Inhalation_Exp[[#This Row],[24hr_High-End]]*Inhalation_Exp[[#This Row],[ED_High-End]]/ID,Inhalation_Exp[[#This Row],[24hr_High-End]]*EFID/ID)</f>
        <v>3.6666666666666667E-4</v>
      </c>
      <c r="S16" s="336">
        <f>IF(EFID&gt;Inhalation_Exp[[#This Row],[ED_Central Tendency]],Inhalation_Exp[[#This Row],[24hr_Central Tendency]]*Inhalation_Exp[[#This Row],[ED_Central Tendency]]/ID,Inhalation_Exp[[#This Row],[24hr_Central Tendency]]*EFID/ID)</f>
        <v>3.6666666666666667E-4</v>
      </c>
      <c r="T16" s="335">
        <f t="shared" si="0"/>
        <v>3.4246575342465754E-4</v>
      </c>
      <c r="U16" s="336">
        <f t="shared" si="1"/>
        <v>3.4246575342465754E-4</v>
      </c>
      <c r="V16" s="329" t="s">
        <v>165</v>
      </c>
      <c r="W16" s="329" t="s">
        <v>165</v>
      </c>
      <c r="X16" s="10" t="s">
        <v>169</v>
      </c>
      <c r="Y16" s="330" t="s">
        <v>167</v>
      </c>
    </row>
    <row r="17" spans="1:25" ht="78" x14ac:dyDescent="0.3">
      <c r="A17" s="331"/>
      <c r="B17" s="339">
        <v>2</v>
      </c>
      <c r="C17" s="340" t="s">
        <v>172</v>
      </c>
      <c r="D17" s="322" t="s">
        <v>57</v>
      </c>
      <c r="E17" s="323" t="s">
        <v>164</v>
      </c>
      <c r="F17" s="323">
        <v>250</v>
      </c>
      <c r="G17" s="323">
        <v>250</v>
      </c>
      <c r="H17" s="332">
        <v>1.83E-2</v>
      </c>
      <c r="I17" s="332">
        <v>4.0000000000000001E-3</v>
      </c>
      <c r="J17" s="332"/>
      <c r="K17" s="332"/>
      <c r="L17" s="341"/>
      <c r="M17" s="341"/>
      <c r="N17" s="341">
        <f>SUM(Inhalation_Exp[[#This Row],[Vapor_HE]],Inhalation_Exp[[#This Row],[Mist_HE]],Inhalation_Exp[[#This Row],[Dust_HE]])</f>
        <v>1.83E-2</v>
      </c>
      <c r="O17" s="341">
        <f>SUM(Inhalation_Exp[[#This Row],[Vapor_CT]],Inhalation_Exp[[#This Row],[Mist_CT]],Inhalation_Exp[[#This Row],[Dust_CT]])</f>
        <v>4.0000000000000001E-3</v>
      </c>
      <c r="P17" s="327">
        <f>((N17*ED_8)*WorkBreathRate)/IF(Inhalation_Exp[[#This Row],[Worker Type]]="Female of Reproductive Age",BW_F,BW_default)</f>
        <v>2.2875E-3</v>
      </c>
      <c r="Q17" s="327">
        <f>((O17*ED_8)*WorkBreathRate)/IF(Inhalation_Exp[[#This Row],[Worker Type]]="Female of Reproductive Age",BW_F,BW_default)</f>
        <v>5.0000000000000001E-4</v>
      </c>
      <c r="R17" s="342">
        <f>IF(EFID&gt;Inhalation_Exp[[#This Row],[ED_High-End]],Inhalation_Exp[[#This Row],[24hr_High-End]]*Inhalation_Exp[[#This Row],[ED_High-End]]/ID,Inhalation_Exp[[#This Row],[24hr_High-End]]*EFID/ID)</f>
        <v>1.6775E-3</v>
      </c>
      <c r="S17" s="342">
        <f>IF(EFID&gt;Inhalation_Exp[[#This Row],[ED_Central Tendency]],Inhalation_Exp[[#This Row],[24hr_Central Tendency]]*Inhalation_Exp[[#This Row],[ED_Central Tendency]]/ID,Inhalation_Exp[[#This Row],[24hr_Central Tendency]]*EFID/ID)</f>
        <v>3.6666666666666667E-4</v>
      </c>
      <c r="T17" s="327">
        <f t="shared" ref="T17:T22" si="2">P17*F17*WY_high/(WY_high*365)</f>
        <v>1.5667808219178082E-3</v>
      </c>
      <c r="U17" s="327">
        <f t="shared" ref="U17:U22" si="3">Q17*G17*WY_mid/(WY_mid*365)</f>
        <v>3.4246575342465754E-4</v>
      </c>
      <c r="V17" s="329" t="s">
        <v>165</v>
      </c>
      <c r="W17" s="329" t="s">
        <v>165</v>
      </c>
      <c r="X17" s="10" t="s">
        <v>173</v>
      </c>
      <c r="Y17" s="330" t="s">
        <v>167</v>
      </c>
    </row>
    <row r="18" spans="1:25" ht="78" x14ac:dyDescent="0.3">
      <c r="A18" s="331"/>
      <c r="B18" s="339">
        <v>2</v>
      </c>
      <c r="C18" s="340" t="s">
        <v>172</v>
      </c>
      <c r="D18" s="322" t="s">
        <v>168</v>
      </c>
      <c r="E18" s="323" t="s">
        <v>164</v>
      </c>
      <c r="F18" s="323">
        <v>250</v>
      </c>
      <c r="G18" s="323">
        <v>250</v>
      </c>
      <c r="H18" s="332">
        <v>1.83E-2</v>
      </c>
      <c r="I18" s="332">
        <v>4.0000000000000001E-3</v>
      </c>
      <c r="J18" s="332"/>
      <c r="K18" s="332"/>
      <c r="L18" s="341"/>
      <c r="M18" s="341"/>
      <c r="N18" s="341">
        <f>SUM(Inhalation_Exp[[#This Row],[Vapor_HE]],Inhalation_Exp[[#This Row],[Mist_HE]],Inhalation_Exp[[#This Row],[Dust_HE]])</f>
        <v>1.83E-2</v>
      </c>
      <c r="O18" s="341">
        <f>SUM(Inhalation_Exp[[#This Row],[Vapor_CT]],Inhalation_Exp[[#This Row],[Mist_CT]],Inhalation_Exp[[#This Row],[Dust_CT]])</f>
        <v>4.0000000000000001E-3</v>
      </c>
      <c r="P18" s="327">
        <f>((N18*ED_8)*WorkBreathRate)/IF(Inhalation_Exp[[#This Row],[Worker Type]]="Female of Reproductive Age",BW_F,BW_default)</f>
        <v>2.5267518122195371E-3</v>
      </c>
      <c r="Q18" s="327">
        <f>((O18*ED_8)*WorkBreathRate)/IF(Inhalation_Exp[[#This Row],[Worker Type]]="Female of Reproductive Age",BW_F,BW_default)</f>
        <v>5.5229547808077317E-4</v>
      </c>
      <c r="R18" s="342">
        <f>IF(EFID&gt;Inhalation_Exp[[#This Row],[ED_High-End]],Inhalation_Exp[[#This Row],[24hr_High-End]]*Inhalation_Exp[[#This Row],[ED_High-End]]/ID,Inhalation_Exp[[#This Row],[24hr_High-End]]*EFID/ID)</f>
        <v>1.8529513289609939E-3</v>
      </c>
      <c r="S18" s="342">
        <f>IF(EFID&gt;Inhalation_Exp[[#This Row],[ED_Central Tendency]],Inhalation_Exp[[#This Row],[24hr_Central Tendency]]*Inhalation_Exp[[#This Row],[ED_Central Tendency]]/ID,Inhalation_Exp[[#This Row],[24hr_Central Tendency]]*EFID/ID)</f>
        <v>4.0501668392590036E-4</v>
      </c>
      <c r="T18" s="327">
        <f t="shared" si="2"/>
        <v>1.7306519261777651E-3</v>
      </c>
      <c r="U18" s="327">
        <f t="shared" si="3"/>
        <v>3.7828457402792686E-4</v>
      </c>
      <c r="V18" s="329" t="s">
        <v>165</v>
      </c>
      <c r="W18" s="329" t="s">
        <v>165</v>
      </c>
      <c r="X18" s="10" t="s">
        <v>173</v>
      </c>
      <c r="Y18" s="330" t="s">
        <v>167</v>
      </c>
    </row>
    <row r="19" spans="1:25" ht="78" x14ac:dyDescent="0.3">
      <c r="A19" s="331"/>
      <c r="B19" s="339">
        <v>2</v>
      </c>
      <c r="C19" s="340" t="s">
        <v>172</v>
      </c>
      <c r="D19" s="322" t="s">
        <v>74</v>
      </c>
      <c r="E19" s="323" t="s">
        <v>164</v>
      </c>
      <c r="F19" s="323">
        <v>250</v>
      </c>
      <c r="G19" s="323">
        <v>250</v>
      </c>
      <c r="H19" s="332">
        <v>4.0000000000000001E-3</v>
      </c>
      <c r="I19" s="332">
        <v>4.0000000000000001E-3</v>
      </c>
      <c r="J19" s="332"/>
      <c r="K19" s="332"/>
      <c r="L19" s="341"/>
      <c r="M19" s="341"/>
      <c r="N19" s="341">
        <f>SUM(Inhalation_Exp[[#This Row],[Vapor_HE]],Inhalation_Exp[[#This Row],[Mist_HE]],Inhalation_Exp[[#This Row],[Dust_HE]])</f>
        <v>4.0000000000000001E-3</v>
      </c>
      <c r="O19" s="341">
        <f>SUM(Inhalation_Exp[[#This Row],[Vapor_CT]],Inhalation_Exp[[#This Row],[Mist_CT]],Inhalation_Exp[[#This Row],[Dust_CT]])</f>
        <v>4.0000000000000001E-3</v>
      </c>
      <c r="P19" s="327">
        <f>((N19*ED_8)*WorkBreathRate)/IF(Inhalation_Exp[[#This Row],[Worker Type]]="Female of Reproductive Age",BW_F,BW_default)</f>
        <v>5.0000000000000001E-4</v>
      </c>
      <c r="Q19" s="327">
        <f>((O19*ED_8)*WorkBreathRate)/IF(Inhalation_Exp[[#This Row],[Worker Type]]="Female of Reproductive Age",BW_F,BW_default)</f>
        <v>5.0000000000000001E-4</v>
      </c>
      <c r="R19" s="342">
        <f>IF(EFID&gt;Inhalation_Exp[[#This Row],[ED_High-End]],Inhalation_Exp[[#This Row],[24hr_High-End]]*Inhalation_Exp[[#This Row],[ED_High-End]]/ID,Inhalation_Exp[[#This Row],[24hr_High-End]]*EFID/ID)</f>
        <v>3.6666666666666667E-4</v>
      </c>
      <c r="S19" s="342">
        <f>IF(EFID&gt;Inhalation_Exp[[#This Row],[ED_Central Tendency]],Inhalation_Exp[[#This Row],[24hr_Central Tendency]]*Inhalation_Exp[[#This Row],[ED_Central Tendency]]/ID,Inhalation_Exp[[#This Row],[24hr_Central Tendency]]*EFID/ID)</f>
        <v>3.6666666666666667E-4</v>
      </c>
      <c r="T19" s="327">
        <f t="shared" si="2"/>
        <v>3.4246575342465754E-4</v>
      </c>
      <c r="U19" s="327">
        <f t="shared" si="3"/>
        <v>3.4246575342465754E-4</v>
      </c>
      <c r="V19" s="329" t="s">
        <v>165</v>
      </c>
      <c r="W19" s="329" t="s">
        <v>165</v>
      </c>
      <c r="X19" s="10" t="s">
        <v>173</v>
      </c>
      <c r="Y19" s="330" t="s">
        <v>167</v>
      </c>
    </row>
    <row r="20" spans="1:25" ht="52" x14ac:dyDescent="0.3">
      <c r="A20" s="331"/>
      <c r="B20" s="339">
        <v>2</v>
      </c>
      <c r="C20" s="340" t="s">
        <v>174</v>
      </c>
      <c r="D20" s="322" t="s">
        <v>57</v>
      </c>
      <c r="E20" s="323" t="s">
        <v>164</v>
      </c>
      <c r="F20" s="323">
        <v>250</v>
      </c>
      <c r="G20" s="323">
        <v>250</v>
      </c>
      <c r="H20" s="332">
        <v>1.83E-2</v>
      </c>
      <c r="I20" s="332">
        <v>4.0000000000000001E-3</v>
      </c>
      <c r="J20" s="332"/>
      <c r="K20" s="332"/>
      <c r="L20" s="334">
        <v>6.7000000000000002E-6</v>
      </c>
      <c r="M20" s="334">
        <v>6.4000000000000001E-7</v>
      </c>
      <c r="N20" s="334">
        <f>SUM(Inhalation_Exp[[#This Row],[Vapor_HE]],Inhalation_Exp[[#This Row],[Mist_HE]],Inhalation_Exp[[#This Row],[Dust_HE]])</f>
        <v>1.8306699999999999E-2</v>
      </c>
      <c r="O20" s="334">
        <f>SUM(Inhalation_Exp[[#This Row],[Vapor_CT]],Inhalation_Exp[[#This Row],[Mist_CT]],Inhalation_Exp[[#This Row],[Dust_CT]])</f>
        <v>4.0006399999999998E-3</v>
      </c>
      <c r="P20" s="327">
        <f>((N20*ED_8)*WorkBreathRate)/IF(Inhalation_Exp[[#This Row],[Worker Type]]="Female of Reproductive Age",BW_F,BW_default)</f>
        <v>2.2883374999999998E-3</v>
      </c>
      <c r="Q20" s="327">
        <f>((O20*ED_8)*WorkBreathRate)/IF(Inhalation_Exp[[#This Row],[Worker Type]]="Female of Reproductive Age",BW_F,BW_default)</f>
        <v>5.0007999999999997E-4</v>
      </c>
      <c r="R20" s="342">
        <f>IF(EFID&gt;Inhalation_Exp[[#This Row],[ED_High-End]],Inhalation_Exp[[#This Row],[24hr_High-End]]*Inhalation_Exp[[#This Row],[ED_High-End]]/ID,Inhalation_Exp[[#This Row],[24hr_High-End]]*EFID/ID)</f>
        <v>1.6781141666666667E-3</v>
      </c>
      <c r="S20" s="342">
        <f>IF(EFID&gt;Inhalation_Exp[[#This Row],[ED_Central Tendency]],Inhalation_Exp[[#This Row],[24hr_Central Tendency]]*Inhalation_Exp[[#This Row],[ED_Central Tendency]]/ID,Inhalation_Exp[[#This Row],[24hr_Central Tendency]]*EFID/ID)</f>
        <v>3.667253333333333E-4</v>
      </c>
      <c r="T20" s="327">
        <f t="shared" si="2"/>
        <v>1.5673544520547946E-3</v>
      </c>
      <c r="U20" s="327">
        <f t="shared" si="3"/>
        <v>3.4252054794520545E-4</v>
      </c>
      <c r="V20" s="329" t="s">
        <v>165</v>
      </c>
      <c r="W20" s="329" t="s">
        <v>165</v>
      </c>
      <c r="X20" s="10" t="s">
        <v>166</v>
      </c>
      <c r="Y20" s="330" t="s">
        <v>167</v>
      </c>
    </row>
    <row r="21" spans="1:25" ht="52" x14ac:dyDescent="0.3">
      <c r="A21" s="331"/>
      <c r="B21" s="339">
        <v>2</v>
      </c>
      <c r="C21" s="340" t="s">
        <v>174</v>
      </c>
      <c r="D21" s="322" t="s">
        <v>168</v>
      </c>
      <c r="E21" s="323" t="s">
        <v>164</v>
      </c>
      <c r="F21" s="323">
        <v>250</v>
      </c>
      <c r="G21" s="323">
        <v>250</v>
      </c>
      <c r="H21" s="332">
        <v>1.83E-2</v>
      </c>
      <c r="I21" s="332">
        <v>4.0000000000000001E-3</v>
      </c>
      <c r="J21" s="332"/>
      <c r="K21" s="332"/>
      <c r="L21" s="334">
        <v>6.7000000000000002E-6</v>
      </c>
      <c r="M21" s="334">
        <v>6.4000000000000001E-7</v>
      </c>
      <c r="N21" s="334">
        <f>SUM(Inhalation_Exp[[#This Row],[Vapor_HE]],Inhalation_Exp[[#This Row],[Mist_HE]],Inhalation_Exp[[#This Row],[Dust_HE]])</f>
        <v>1.8306699999999999E-2</v>
      </c>
      <c r="O21" s="334">
        <f>SUM(Inhalation_Exp[[#This Row],[Vapor_CT]],Inhalation_Exp[[#This Row],[Mist_CT]],Inhalation_Exp[[#This Row],[Dust_CT]])</f>
        <v>4.0006399999999998E-3</v>
      </c>
      <c r="P21" s="327">
        <f>((N21*ED_8)*WorkBreathRate)/IF(Inhalation_Exp[[#This Row],[Worker Type]]="Female of Reproductive Age",BW_F,BW_default)</f>
        <v>2.5276769071453219E-3</v>
      </c>
      <c r="Q21" s="327">
        <f>((O21*ED_8)*WorkBreathRate)/IF(Inhalation_Exp[[#This Row],[Worker Type]]="Female of Reproductive Age",BW_F,BW_default)</f>
        <v>5.52383845357266E-4</v>
      </c>
      <c r="R21" s="342">
        <f>IF(EFID&gt;Inhalation_Exp[[#This Row],[ED_High-End]],Inhalation_Exp[[#This Row],[24hr_High-End]]*Inhalation_Exp[[#This Row],[ED_High-End]]/ID,Inhalation_Exp[[#This Row],[24hr_High-End]]*EFID/ID)</f>
        <v>1.8536297319065693E-3</v>
      </c>
      <c r="S21" s="342">
        <f>IF(EFID&gt;Inhalation_Exp[[#This Row],[ED_Central Tendency]],Inhalation_Exp[[#This Row],[24hr_Central Tendency]]*Inhalation_Exp[[#This Row],[ED_Central Tendency]]/ID,Inhalation_Exp[[#This Row],[24hr_Central Tendency]]*EFID/ID)</f>
        <v>4.0508148659532838E-4</v>
      </c>
      <c r="T21" s="327">
        <f t="shared" si="2"/>
        <v>1.7312855528392617E-3</v>
      </c>
      <c r="U21" s="327">
        <f t="shared" si="3"/>
        <v>3.7834509955977127E-4</v>
      </c>
      <c r="V21" s="329" t="s">
        <v>165</v>
      </c>
      <c r="W21" s="329" t="s">
        <v>165</v>
      </c>
      <c r="X21" s="10" t="s">
        <v>166</v>
      </c>
      <c r="Y21" s="330" t="s">
        <v>167</v>
      </c>
    </row>
    <row r="22" spans="1:25" ht="52" x14ac:dyDescent="0.3">
      <c r="A22" s="331"/>
      <c r="B22" s="339">
        <v>2</v>
      </c>
      <c r="C22" s="340" t="s">
        <v>174</v>
      </c>
      <c r="D22" s="322" t="s">
        <v>74</v>
      </c>
      <c r="E22" s="323" t="s">
        <v>164</v>
      </c>
      <c r="F22" s="323">
        <v>250</v>
      </c>
      <c r="G22" s="323">
        <v>250</v>
      </c>
      <c r="H22" s="332">
        <v>4.0000000000000001E-3</v>
      </c>
      <c r="I22" s="332">
        <v>4.0000000000000001E-3</v>
      </c>
      <c r="J22" s="332"/>
      <c r="K22" s="332"/>
      <c r="L22" s="334">
        <v>6.4000000000000001E-7</v>
      </c>
      <c r="M22" s="334">
        <v>6.4000000000000001E-7</v>
      </c>
      <c r="N22" s="334">
        <f>SUM(Inhalation_Exp[[#This Row],[Vapor_HE]],Inhalation_Exp[[#This Row],[Mist_HE]],Inhalation_Exp[[#This Row],[Dust_HE]])</f>
        <v>4.0006399999999998E-3</v>
      </c>
      <c r="O22" s="334">
        <f>SUM(Inhalation_Exp[[#This Row],[Vapor_CT]],Inhalation_Exp[[#This Row],[Mist_CT]],Inhalation_Exp[[#This Row],[Dust_CT]])</f>
        <v>4.0006399999999998E-3</v>
      </c>
      <c r="P22" s="327">
        <f>((N22*ED_8)*WorkBreathRate)/IF(Inhalation_Exp[[#This Row],[Worker Type]]="Female of Reproductive Age",BW_F,BW_default)</f>
        <v>5.0007999999999997E-4</v>
      </c>
      <c r="Q22" s="327">
        <f>((O22*ED_8)*WorkBreathRate)/IF(Inhalation_Exp[[#This Row],[Worker Type]]="Female of Reproductive Age",BW_F,BW_default)</f>
        <v>5.0007999999999997E-4</v>
      </c>
      <c r="R22" s="342">
        <f>IF(EFID&gt;Inhalation_Exp[[#This Row],[ED_High-End]],Inhalation_Exp[[#This Row],[24hr_High-End]]*Inhalation_Exp[[#This Row],[ED_High-End]]/ID,Inhalation_Exp[[#This Row],[24hr_High-End]]*EFID/ID)</f>
        <v>3.667253333333333E-4</v>
      </c>
      <c r="S22" s="342">
        <f>IF(EFID&gt;Inhalation_Exp[[#This Row],[ED_Central Tendency]],Inhalation_Exp[[#This Row],[24hr_Central Tendency]]*Inhalation_Exp[[#This Row],[ED_Central Tendency]]/ID,Inhalation_Exp[[#This Row],[24hr_Central Tendency]]*EFID/ID)</f>
        <v>3.667253333333333E-4</v>
      </c>
      <c r="T22" s="327">
        <f t="shared" si="2"/>
        <v>3.4252054794520545E-4</v>
      </c>
      <c r="U22" s="327">
        <f t="shared" si="3"/>
        <v>3.4252054794520545E-4</v>
      </c>
      <c r="V22" s="329" t="s">
        <v>165</v>
      </c>
      <c r="W22" s="329" t="s">
        <v>165</v>
      </c>
      <c r="X22" s="10" t="s">
        <v>166</v>
      </c>
      <c r="Y22" s="330" t="s">
        <v>167</v>
      </c>
    </row>
    <row r="23" spans="1:25" ht="78" x14ac:dyDescent="0.3">
      <c r="B23" s="337">
        <v>3</v>
      </c>
      <c r="C23" s="338" t="s">
        <v>175</v>
      </c>
      <c r="D23" s="322" t="s">
        <v>57</v>
      </c>
      <c r="E23" s="323" t="s">
        <v>164</v>
      </c>
      <c r="F23" s="323">
        <v>250</v>
      </c>
      <c r="G23" s="323">
        <v>223</v>
      </c>
      <c r="H23" s="332">
        <v>1.83E-2</v>
      </c>
      <c r="I23" s="332">
        <v>4.0000000000000001E-3</v>
      </c>
      <c r="J23" s="332"/>
      <c r="K23" s="332"/>
      <c r="L23" s="341">
        <v>2.7000000000000001E-3</v>
      </c>
      <c r="M23" s="341">
        <v>1.94E-4</v>
      </c>
      <c r="N23" s="341">
        <f>SUM(Inhalation_Exp[[#This Row],[Vapor_HE]],Inhalation_Exp[[#This Row],[Mist_HE]],Inhalation_Exp[[#This Row],[Dust_HE]])</f>
        <v>2.1000000000000001E-2</v>
      </c>
      <c r="O23" s="341">
        <f>SUM(Inhalation_Exp[[#This Row],[Vapor_CT]],Inhalation_Exp[[#This Row],[Mist_CT]],Inhalation_Exp[[#This Row],[Dust_CT]])</f>
        <v>4.1939999999999998E-3</v>
      </c>
      <c r="P23" s="327">
        <f>((N23*ED_8)*WorkBreathRate)/IF(Inhalation_Exp[[#This Row],[Worker Type]]="Female of Reproductive Age",BW_F,BW_default)</f>
        <v>2.6250000000000002E-3</v>
      </c>
      <c r="Q23" s="328">
        <f>((O23*ED_8)*WorkBreathRate)/IF(Inhalation_Exp[[#This Row],[Worker Type]]="Female of Reproductive Age",BW_F,BW_default)</f>
        <v>5.2424999999999998E-4</v>
      </c>
      <c r="R23" s="327">
        <f>IF(EFID&gt;Inhalation_Exp[[#This Row],[ED_High-End]],Inhalation_Exp[[#This Row],[24hr_High-End]]*Inhalation_Exp[[#This Row],[ED_High-End]]/ID,Inhalation_Exp[[#This Row],[24hr_High-End]]*EFID/ID)</f>
        <v>1.9250000000000001E-3</v>
      </c>
      <c r="S23" s="328">
        <f>IF(EFID&gt;Inhalation_Exp[[#This Row],[ED_Central Tendency]],Inhalation_Exp[[#This Row],[24hr_Central Tendency]]*Inhalation_Exp[[#This Row],[ED_Central Tendency]]/ID,Inhalation_Exp[[#This Row],[24hr_Central Tendency]]*EFID/ID)</f>
        <v>3.8444999999999994E-4</v>
      </c>
      <c r="T23" s="327">
        <f t="shared" si="0"/>
        <v>1.797945205479452E-3</v>
      </c>
      <c r="U23" s="328">
        <f t="shared" si="1"/>
        <v>3.2029520547945198E-4</v>
      </c>
      <c r="V23" s="329" t="s">
        <v>165</v>
      </c>
      <c r="W23" s="329" t="s">
        <v>165</v>
      </c>
      <c r="X23" s="10" t="s">
        <v>173</v>
      </c>
      <c r="Y23" s="330" t="s">
        <v>167</v>
      </c>
    </row>
    <row r="24" spans="1:25" ht="78" x14ac:dyDescent="0.3">
      <c r="A24" s="331"/>
      <c r="B24" s="337">
        <v>3</v>
      </c>
      <c r="C24" s="338" t="s">
        <v>175</v>
      </c>
      <c r="D24" s="322" t="s">
        <v>168</v>
      </c>
      <c r="E24" s="323" t="s">
        <v>164</v>
      </c>
      <c r="F24" s="323">
        <v>250</v>
      </c>
      <c r="G24" s="323">
        <v>223</v>
      </c>
      <c r="H24" s="332">
        <v>1.83E-2</v>
      </c>
      <c r="I24" s="332">
        <v>4.0000000000000001E-3</v>
      </c>
      <c r="J24" s="332"/>
      <c r="K24" s="332"/>
      <c r="L24" s="341">
        <v>2.7000000000000001E-3</v>
      </c>
      <c r="M24" s="341">
        <v>1.94E-4</v>
      </c>
      <c r="N24" s="341">
        <f>SUM(Inhalation_Exp[[#This Row],[Vapor_HE]],Inhalation_Exp[[#This Row],[Mist_HE]],Inhalation_Exp[[#This Row],[Dust_HE]])</f>
        <v>2.1000000000000001E-2</v>
      </c>
      <c r="O24" s="341">
        <f>SUM(Inhalation_Exp[[#This Row],[Vapor_CT]],Inhalation_Exp[[#This Row],[Mist_CT]],Inhalation_Exp[[#This Row],[Dust_CT]])</f>
        <v>4.1939999999999998E-3</v>
      </c>
      <c r="P24" s="327">
        <f>((N24*ED_8)*WorkBreathRate)/IF(Inhalation_Exp[[#This Row],[Worker Type]]="Female of Reproductive Age",BW_F,BW_default)</f>
        <v>2.8995512599240591E-3</v>
      </c>
      <c r="Q24" s="327">
        <f>((O24*ED_8)*WorkBreathRate)/IF(Inhalation_Exp[[#This Row],[Worker Type]]="Female of Reproductive Age",BW_F,BW_default)</f>
        <v>5.7908180876769058E-4</v>
      </c>
      <c r="R24" s="327">
        <f>IF(EFID&gt;Inhalation_Exp[[#This Row],[ED_High-End]],Inhalation_Exp[[#This Row],[24hr_High-End]]*Inhalation_Exp[[#This Row],[ED_High-End]]/ID,Inhalation_Exp[[#This Row],[24hr_High-End]]*EFID/ID)</f>
        <v>2.1263375906109766E-3</v>
      </c>
      <c r="S24" s="328">
        <f>IF(EFID&gt;Inhalation_Exp[[#This Row],[ED_Central Tendency]],Inhalation_Exp[[#This Row],[24hr_Central Tendency]]*Inhalation_Exp[[#This Row],[ED_Central Tendency]]/ID,Inhalation_Exp[[#This Row],[24hr_Central Tendency]]*EFID/ID)</f>
        <v>4.2465999309630644E-4</v>
      </c>
      <c r="T24" s="327">
        <f t="shared" si="0"/>
        <v>1.985994013646616E-3</v>
      </c>
      <c r="U24" s="328">
        <f t="shared" si="1"/>
        <v>3.5379518727450678E-4</v>
      </c>
      <c r="V24" s="329" t="s">
        <v>165</v>
      </c>
      <c r="W24" s="329" t="s">
        <v>165</v>
      </c>
      <c r="X24" s="10" t="s">
        <v>173</v>
      </c>
      <c r="Y24" s="330" t="s">
        <v>167</v>
      </c>
    </row>
    <row r="25" spans="1:25" ht="26" x14ac:dyDescent="0.3">
      <c r="A25" s="331"/>
      <c r="B25" s="337">
        <v>3</v>
      </c>
      <c r="C25" s="338" t="s">
        <v>175</v>
      </c>
      <c r="D25" s="322" t="s">
        <v>74</v>
      </c>
      <c r="E25" s="323" t="s">
        <v>164</v>
      </c>
      <c r="F25" s="323">
        <v>250</v>
      </c>
      <c r="G25" s="323">
        <v>223</v>
      </c>
      <c r="H25" s="332">
        <v>4.0000000000000001E-3</v>
      </c>
      <c r="I25" s="332">
        <v>4.0000000000000001E-3</v>
      </c>
      <c r="J25" s="332"/>
      <c r="K25" s="332"/>
      <c r="L25" s="341">
        <v>1.94E-4</v>
      </c>
      <c r="M25" s="341">
        <v>1.94E-4</v>
      </c>
      <c r="N25" s="341">
        <f>SUM(Inhalation_Exp[[#This Row],[Vapor_HE]],Inhalation_Exp[[#This Row],[Mist_HE]],Inhalation_Exp[[#This Row],[Dust_HE]])</f>
        <v>4.1939999999999998E-3</v>
      </c>
      <c r="O25" s="341">
        <f>SUM(Inhalation_Exp[[#This Row],[Vapor_CT]],Inhalation_Exp[[#This Row],[Mist_CT]],Inhalation_Exp[[#This Row],[Dust_CT]])</f>
        <v>4.1939999999999998E-3</v>
      </c>
      <c r="P25" s="327">
        <f>((N25*ED_8)*WorkBreathRate)/IF(Inhalation_Exp[[#This Row],[Worker Type]]="Female of Reproductive Age",BW_F,BW_default)</f>
        <v>5.2424999999999998E-4</v>
      </c>
      <c r="Q25" s="327">
        <f>((O25*ED_8)*WorkBreathRate)/IF(Inhalation_Exp[[#This Row],[Worker Type]]="Female of Reproductive Age",BW_F,BW_default)</f>
        <v>5.2424999999999998E-4</v>
      </c>
      <c r="R25" s="327">
        <f>IF(EFID&gt;Inhalation_Exp[[#This Row],[ED_High-End]],Inhalation_Exp[[#This Row],[24hr_High-End]]*Inhalation_Exp[[#This Row],[ED_High-End]]/ID,Inhalation_Exp[[#This Row],[24hr_High-End]]*EFID/ID)</f>
        <v>3.8444999999999994E-4</v>
      </c>
      <c r="S25" s="328">
        <f>IF(EFID&gt;Inhalation_Exp[[#This Row],[ED_Central Tendency]],Inhalation_Exp[[#This Row],[24hr_Central Tendency]]*Inhalation_Exp[[#This Row],[ED_Central Tendency]]/ID,Inhalation_Exp[[#This Row],[24hr_Central Tendency]]*EFID/ID)</f>
        <v>3.8444999999999994E-4</v>
      </c>
      <c r="T25" s="327">
        <f t="shared" si="0"/>
        <v>3.5907534246575339E-4</v>
      </c>
      <c r="U25" s="328">
        <f t="shared" si="1"/>
        <v>3.2029520547945198E-4</v>
      </c>
      <c r="V25" s="329" t="s">
        <v>165</v>
      </c>
      <c r="W25" s="329" t="s">
        <v>165</v>
      </c>
      <c r="X25" s="10" t="s">
        <v>169</v>
      </c>
      <c r="Y25" s="330" t="s">
        <v>167</v>
      </c>
    </row>
    <row r="26" spans="1:25" ht="78" x14ac:dyDescent="0.3">
      <c r="A26" s="331"/>
      <c r="B26" s="337">
        <v>3</v>
      </c>
      <c r="C26" s="338" t="s">
        <v>56</v>
      </c>
      <c r="D26" s="322" t="s">
        <v>57</v>
      </c>
      <c r="E26" s="323" t="s">
        <v>164</v>
      </c>
      <c r="F26" s="323">
        <v>250</v>
      </c>
      <c r="G26" s="323">
        <v>219</v>
      </c>
      <c r="H26" s="332">
        <v>1.83E-2</v>
      </c>
      <c r="I26" s="332">
        <v>4.0000000000000001E-3</v>
      </c>
      <c r="J26" s="332"/>
      <c r="K26" s="332"/>
      <c r="L26" s="341">
        <v>0.35</v>
      </c>
      <c r="M26" s="341">
        <v>1.7000000000000001E-2</v>
      </c>
      <c r="N26" s="341">
        <f>SUM(Inhalation_Exp[[#This Row],[Vapor_HE]],Inhalation_Exp[[#This Row],[Mist_HE]],Inhalation_Exp[[#This Row],[Dust_HE]])</f>
        <v>0.36829999999999996</v>
      </c>
      <c r="O26" s="341">
        <f>SUM(Inhalation_Exp[[#This Row],[Vapor_CT]],Inhalation_Exp[[#This Row],[Mist_CT]],Inhalation_Exp[[#This Row],[Dust_CT]])</f>
        <v>2.1000000000000001E-2</v>
      </c>
      <c r="P26" s="327">
        <f>((N26*ED_8)*WorkBreathRate)/IF(Inhalation_Exp[[#This Row],[Worker Type]]="Female of Reproductive Age",BW_F,BW_default)</f>
        <v>4.6037499999999995E-2</v>
      </c>
      <c r="Q26" s="328">
        <f>((O26*ED_8)*WorkBreathRate)/IF(Inhalation_Exp[[#This Row],[Worker Type]]="Female of Reproductive Age",BW_F,BW_default)</f>
        <v>2.6250000000000002E-3</v>
      </c>
      <c r="R26" s="327">
        <f>IF(EFID&gt;Inhalation_Exp[[#This Row],[ED_High-End]],Inhalation_Exp[[#This Row],[24hr_High-End]]*Inhalation_Exp[[#This Row],[ED_High-End]]/ID,Inhalation_Exp[[#This Row],[24hr_High-End]]*EFID/ID)</f>
        <v>3.376083333333333E-2</v>
      </c>
      <c r="S26" s="328">
        <f>IF(EFID&gt;Inhalation_Exp[[#This Row],[ED_Central Tendency]],Inhalation_Exp[[#This Row],[24hr_Central Tendency]]*Inhalation_Exp[[#This Row],[ED_Central Tendency]]/ID,Inhalation_Exp[[#This Row],[24hr_Central Tendency]]*EFID/ID)</f>
        <v>1.9250000000000001E-3</v>
      </c>
      <c r="T26" s="327">
        <f t="shared" si="0"/>
        <v>3.1532534246575337E-2</v>
      </c>
      <c r="U26" s="328">
        <f t="shared" si="1"/>
        <v>1.5750000000000002E-3</v>
      </c>
      <c r="V26" s="329" t="s">
        <v>165</v>
      </c>
      <c r="W26" s="329" t="s">
        <v>165</v>
      </c>
      <c r="X26" s="10" t="s">
        <v>173</v>
      </c>
      <c r="Y26" s="330" t="s">
        <v>167</v>
      </c>
    </row>
    <row r="27" spans="1:25" ht="78" x14ac:dyDescent="0.3">
      <c r="A27" s="331"/>
      <c r="B27" s="337">
        <v>3</v>
      </c>
      <c r="C27" s="338" t="s">
        <v>56</v>
      </c>
      <c r="D27" s="322" t="s">
        <v>168</v>
      </c>
      <c r="E27" s="323" t="s">
        <v>164</v>
      </c>
      <c r="F27" s="323">
        <v>250</v>
      </c>
      <c r="G27" s="323">
        <v>219</v>
      </c>
      <c r="H27" s="332">
        <v>1.83E-2</v>
      </c>
      <c r="I27" s="332">
        <v>4.0000000000000001E-3</v>
      </c>
      <c r="J27" s="332"/>
      <c r="K27" s="332"/>
      <c r="L27" s="341">
        <v>0.35</v>
      </c>
      <c r="M27" s="341">
        <v>1.7000000000000001E-2</v>
      </c>
      <c r="N27" s="341">
        <f>SUM(Inhalation_Exp[[#This Row],[Vapor_HE]],Inhalation_Exp[[#This Row],[Mist_HE]],Inhalation_Exp[[#This Row],[Dust_HE]])</f>
        <v>0.36829999999999996</v>
      </c>
      <c r="O27" s="341">
        <f>SUM(Inhalation_Exp[[#This Row],[Vapor_CT]],Inhalation_Exp[[#This Row],[Mist_CT]],Inhalation_Exp[[#This Row],[Dust_CT]])</f>
        <v>2.1000000000000001E-2</v>
      </c>
      <c r="P27" s="327">
        <f>((N27*ED_8)*WorkBreathRate)/IF(Inhalation_Exp[[#This Row],[Worker Type]]="Female of Reproductive Age",BW_F,BW_default)</f>
        <v>5.0852606144287181E-2</v>
      </c>
      <c r="Q27" s="327">
        <f>((O27*ED_8)*WorkBreathRate)/IF(Inhalation_Exp[[#This Row],[Worker Type]]="Female of Reproductive Age",BW_F,BW_default)</f>
        <v>2.8995512599240591E-3</v>
      </c>
      <c r="R27" s="327">
        <f>IF(EFID&gt;Inhalation_Exp[[#This Row],[ED_High-End]],Inhalation_Exp[[#This Row],[24hr_High-End]]*Inhalation_Exp[[#This Row],[ED_High-End]]/ID,Inhalation_Exp[[#This Row],[24hr_High-End]]*EFID/ID)</f>
        <v>3.7291911172477273E-2</v>
      </c>
      <c r="S27" s="328">
        <f>IF(EFID&gt;Inhalation_Exp[[#This Row],[ED_Central Tendency]],Inhalation_Exp[[#This Row],[24hr_Central Tendency]]*Inhalation_Exp[[#This Row],[ED_Central Tendency]]/ID,Inhalation_Exp[[#This Row],[24hr_Central Tendency]]*EFID/ID)</f>
        <v>2.1263375906109766E-3</v>
      </c>
      <c r="T27" s="327">
        <f t="shared" si="0"/>
        <v>3.4830552153621352E-2</v>
      </c>
      <c r="U27" s="328">
        <f t="shared" si="1"/>
        <v>1.7397307559544352E-3</v>
      </c>
      <c r="V27" s="329" t="s">
        <v>165</v>
      </c>
      <c r="W27" s="329" t="s">
        <v>165</v>
      </c>
      <c r="X27" s="10" t="s">
        <v>173</v>
      </c>
      <c r="Y27" s="330" t="s">
        <v>167</v>
      </c>
    </row>
    <row r="28" spans="1:25" ht="26" x14ac:dyDescent="0.3">
      <c r="A28" s="331"/>
      <c r="B28" s="337">
        <v>3</v>
      </c>
      <c r="C28" s="338" t="s">
        <v>56</v>
      </c>
      <c r="D28" s="322" t="s">
        <v>74</v>
      </c>
      <c r="E28" s="323" t="s">
        <v>164</v>
      </c>
      <c r="F28" s="323">
        <v>250</v>
      </c>
      <c r="G28" s="323">
        <v>219</v>
      </c>
      <c r="H28" s="332">
        <v>4.0000000000000001E-3</v>
      </c>
      <c r="I28" s="332">
        <v>4.0000000000000001E-3</v>
      </c>
      <c r="J28" s="332"/>
      <c r="K28" s="332"/>
      <c r="L28" s="341">
        <v>1.7000000000000001E-2</v>
      </c>
      <c r="M28" s="341">
        <v>1.7000000000000001E-2</v>
      </c>
      <c r="N28" s="341">
        <f>SUM(Inhalation_Exp[[#This Row],[Vapor_HE]],Inhalation_Exp[[#This Row],[Mist_HE]],Inhalation_Exp[[#This Row],[Dust_HE]])</f>
        <v>2.1000000000000001E-2</v>
      </c>
      <c r="O28" s="341">
        <f>SUM(Inhalation_Exp[[#This Row],[Vapor_CT]],Inhalation_Exp[[#This Row],[Mist_CT]],Inhalation_Exp[[#This Row],[Dust_CT]])</f>
        <v>2.1000000000000001E-2</v>
      </c>
      <c r="P28" s="327">
        <f>((N28*ED_8)*WorkBreathRate)/IF(Inhalation_Exp[[#This Row],[Worker Type]]="Female of Reproductive Age",BW_F,BW_default)</f>
        <v>2.6250000000000002E-3</v>
      </c>
      <c r="Q28" s="327">
        <f>((O28*ED_8)*WorkBreathRate)/IF(Inhalation_Exp[[#This Row],[Worker Type]]="Female of Reproductive Age",BW_F,BW_default)</f>
        <v>2.6250000000000002E-3</v>
      </c>
      <c r="R28" s="327">
        <f>IF(EFID&gt;Inhalation_Exp[[#This Row],[ED_High-End]],Inhalation_Exp[[#This Row],[24hr_High-End]]*Inhalation_Exp[[#This Row],[ED_High-End]]/ID,Inhalation_Exp[[#This Row],[24hr_High-End]]*EFID/ID)</f>
        <v>1.9250000000000001E-3</v>
      </c>
      <c r="S28" s="328">
        <f>IF(EFID&gt;Inhalation_Exp[[#This Row],[ED_Central Tendency]],Inhalation_Exp[[#This Row],[24hr_Central Tendency]]*Inhalation_Exp[[#This Row],[ED_Central Tendency]]/ID,Inhalation_Exp[[#This Row],[24hr_Central Tendency]]*EFID/ID)</f>
        <v>1.9250000000000001E-3</v>
      </c>
      <c r="T28" s="327">
        <f t="shared" si="0"/>
        <v>1.797945205479452E-3</v>
      </c>
      <c r="U28" s="328">
        <f t="shared" si="1"/>
        <v>1.5750000000000002E-3</v>
      </c>
      <c r="V28" s="329" t="s">
        <v>165</v>
      </c>
      <c r="W28" s="329" t="s">
        <v>165</v>
      </c>
      <c r="X28" s="10" t="s">
        <v>169</v>
      </c>
      <c r="Y28" s="330" t="s">
        <v>167</v>
      </c>
    </row>
    <row r="29" spans="1:25" ht="78" x14ac:dyDescent="0.3">
      <c r="A29" s="331"/>
      <c r="B29" s="337">
        <v>8</v>
      </c>
      <c r="C29" s="338" t="s">
        <v>176</v>
      </c>
      <c r="D29" s="322" t="s">
        <v>57</v>
      </c>
      <c r="E29" s="323" t="s">
        <v>164</v>
      </c>
      <c r="F29" s="323">
        <v>250</v>
      </c>
      <c r="G29" s="323">
        <v>234</v>
      </c>
      <c r="H29" s="332">
        <v>1.83E-2</v>
      </c>
      <c r="I29" s="332">
        <v>4.0000000000000001E-3</v>
      </c>
      <c r="J29" s="332"/>
      <c r="K29" s="332"/>
      <c r="L29" s="341">
        <v>1</v>
      </c>
      <c r="M29" s="341">
        <v>9.6000000000000002E-2</v>
      </c>
      <c r="N29" s="341">
        <f>SUM(Inhalation_Exp[[#This Row],[Vapor_HE]],Inhalation_Exp[[#This Row],[Mist_HE]],Inhalation_Exp[[#This Row],[Dust_HE]])</f>
        <v>1.0183</v>
      </c>
      <c r="O29" s="341">
        <f>SUM(Inhalation_Exp[[#This Row],[Vapor_CT]],Inhalation_Exp[[#This Row],[Mist_CT]],Inhalation_Exp[[#This Row],[Dust_CT]])</f>
        <v>0.1</v>
      </c>
      <c r="P29" s="327">
        <f>((N29*ED_8)*WorkBreathRate)/IF(Inhalation_Exp[[#This Row],[Worker Type]]="Female of Reproductive Age",BW_F,BW_default)</f>
        <v>0.1272875</v>
      </c>
      <c r="Q29" s="328">
        <f>((O29*ED_8)*WorkBreathRate)/IF(Inhalation_Exp[[#This Row],[Worker Type]]="Female of Reproductive Age",BW_F,BW_default)</f>
        <v>1.2500000000000001E-2</v>
      </c>
      <c r="R29" s="327">
        <f>IF(EFID&gt;Inhalation_Exp[[#This Row],[ED_High-End]],Inhalation_Exp[[#This Row],[24hr_High-End]]*Inhalation_Exp[[#This Row],[ED_High-End]]/ID,Inhalation_Exp[[#This Row],[24hr_High-End]]*EFID/ID)</f>
        <v>9.3344166666666659E-2</v>
      </c>
      <c r="S29" s="328">
        <f>IF(EFID&gt;Inhalation_Exp[[#This Row],[ED_Central Tendency]],Inhalation_Exp[[#This Row],[24hr_Central Tendency]]*Inhalation_Exp[[#This Row],[ED_Central Tendency]]/ID,Inhalation_Exp[[#This Row],[24hr_Central Tendency]]*EFID/ID)</f>
        <v>9.1666666666666667E-3</v>
      </c>
      <c r="T29" s="327">
        <f t="shared" si="0"/>
        <v>8.7183219178082194E-2</v>
      </c>
      <c r="U29" s="328">
        <f t="shared" si="1"/>
        <v>8.0136986301369874E-3</v>
      </c>
      <c r="V29" s="329" t="s">
        <v>165</v>
      </c>
      <c r="W29" s="329" t="s">
        <v>165</v>
      </c>
      <c r="X29" s="10" t="s">
        <v>173</v>
      </c>
      <c r="Y29" s="330" t="s">
        <v>167</v>
      </c>
    </row>
    <row r="30" spans="1:25" ht="78" x14ac:dyDescent="0.3">
      <c r="A30" s="331"/>
      <c r="B30" s="337">
        <v>8</v>
      </c>
      <c r="C30" s="338" t="s">
        <v>176</v>
      </c>
      <c r="D30" s="322" t="s">
        <v>168</v>
      </c>
      <c r="E30" s="323" t="s">
        <v>164</v>
      </c>
      <c r="F30" s="323">
        <v>250</v>
      </c>
      <c r="G30" s="323">
        <v>234</v>
      </c>
      <c r="H30" s="332">
        <v>1.83E-2</v>
      </c>
      <c r="I30" s="332">
        <v>4.0000000000000001E-3</v>
      </c>
      <c r="J30" s="332"/>
      <c r="K30" s="332"/>
      <c r="L30" s="343">
        <v>1</v>
      </c>
      <c r="M30" s="341">
        <v>9.6000000000000002E-2</v>
      </c>
      <c r="N30" s="341">
        <f>SUM(Inhalation_Exp[[#This Row],[Vapor_HE]],Inhalation_Exp[[#This Row],[Mist_HE]],Inhalation_Exp[[#This Row],[Dust_HE]])</f>
        <v>1.0183</v>
      </c>
      <c r="O30" s="341">
        <f>SUM(Inhalation_Exp[[#This Row],[Vapor_CT]],Inhalation_Exp[[#This Row],[Mist_CT]],Inhalation_Exp[[#This Row],[Dust_CT]])</f>
        <v>0.1</v>
      </c>
      <c r="P30" s="327">
        <f>((N30*ED_8)*WorkBreathRate)/IF(Inhalation_Exp[[#This Row],[Worker Type]]="Female of Reproductive Age",BW_F,BW_default)</f>
        <v>0.14060062133241283</v>
      </c>
      <c r="Q30" s="327">
        <f>((O30*ED_8)*WorkBreathRate)/IF(Inhalation_Exp[[#This Row],[Worker Type]]="Female of Reproductive Age",BW_F,BW_default)</f>
        <v>1.3807386952019328E-2</v>
      </c>
      <c r="R30" s="327">
        <f>IF(EFID&gt;Inhalation_Exp[[#This Row],[ED_High-End]],Inhalation_Exp[[#This Row],[24hr_High-End]]*Inhalation_Exp[[#This Row],[ED_High-End]]/ID,Inhalation_Exp[[#This Row],[24hr_High-End]]*EFID/ID)</f>
        <v>0.10310712231043608</v>
      </c>
      <c r="S30" s="328">
        <f>IF(EFID&gt;Inhalation_Exp[[#This Row],[ED_Central Tendency]],Inhalation_Exp[[#This Row],[24hr_Central Tendency]]*Inhalation_Exp[[#This Row],[ED_Central Tendency]]/ID,Inhalation_Exp[[#This Row],[24hr_Central Tendency]]*EFID/ID)</f>
        <v>1.0125417098147507E-2</v>
      </c>
      <c r="T30" s="327">
        <f t="shared" si="0"/>
        <v>9.6301795433159476E-2</v>
      </c>
      <c r="U30" s="328">
        <f t="shared" si="1"/>
        <v>8.8518590322534882E-3</v>
      </c>
      <c r="V30" s="329" t="s">
        <v>165</v>
      </c>
      <c r="W30" s="329" t="s">
        <v>165</v>
      </c>
      <c r="X30" s="10" t="s">
        <v>173</v>
      </c>
      <c r="Y30" s="330" t="s">
        <v>167</v>
      </c>
    </row>
    <row r="31" spans="1:25" ht="26" x14ac:dyDescent="0.3">
      <c r="A31" s="331"/>
      <c r="B31" s="337">
        <v>8</v>
      </c>
      <c r="C31" s="338" t="s">
        <v>176</v>
      </c>
      <c r="D31" s="322" t="s">
        <v>74</v>
      </c>
      <c r="E31" s="323" t="s">
        <v>164</v>
      </c>
      <c r="F31" s="323">
        <v>250</v>
      </c>
      <c r="G31" s="323">
        <v>234</v>
      </c>
      <c r="H31" s="332">
        <v>4.0000000000000001E-3</v>
      </c>
      <c r="I31" s="332">
        <v>4.0000000000000001E-3</v>
      </c>
      <c r="J31" s="332"/>
      <c r="K31" s="332"/>
      <c r="L31" s="341">
        <v>9.6000000000000002E-2</v>
      </c>
      <c r="M31" s="341">
        <v>9.6000000000000002E-2</v>
      </c>
      <c r="N31" s="341">
        <f>SUM(Inhalation_Exp[[#This Row],[Vapor_HE]],Inhalation_Exp[[#This Row],[Mist_HE]],Inhalation_Exp[[#This Row],[Dust_HE]])</f>
        <v>0.1</v>
      </c>
      <c r="O31" s="341">
        <f>SUM(Inhalation_Exp[[#This Row],[Vapor_CT]],Inhalation_Exp[[#This Row],[Mist_CT]],Inhalation_Exp[[#This Row],[Dust_CT]])</f>
        <v>0.1</v>
      </c>
      <c r="P31" s="327">
        <f>((N31*ED_8)*WorkBreathRate)/IF(Inhalation_Exp[[#This Row],[Worker Type]]="Female of Reproductive Age",BW_F,BW_default)</f>
        <v>1.2500000000000001E-2</v>
      </c>
      <c r="Q31" s="327">
        <f>((O31*ED_8)*WorkBreathRate)/IF(Inhalation_Exp[[#This Row],[Worker Type]]="Female of Reproductive Age",BW_F,BW_default)</f>
        <v>1.2500000000000001E-2</v>
      </c>
      <c r="R31" s="327">
        <f>IF(EFID&gt;Inhalation_Exp[[#This Row],[ED_High-End]],Inhalation_Exp[[#This Row],[24hr_High-End]]*Inhalation_Exp[[#This Row],[ED_High-End]]/ID,Inhalation_Exp[[#This Row],[24hr_High-End]]*EFID/ID)</f>
        <v>9.1666666666666667E-3</v>
      </c>
      <c r="S31" s="328">
        <f>IF(EFID&gt;Inhalation_Exp[[#This Row],[ED_Central Tendency]],Inhalation_Exp[[#This Row],[24hr_Central Tendency]]*Inhalation_Exp[[#This Row],[ED_Central Tendency]]/ID,Inhalation_Exp[[#This Row],[24hr_Central Tendency]]*EFID/ID)</f>
        <v>9.1666666666666667E-3</v>
      </c>
      <c r="T31" s="327">
        <f t="shared" si="0"/>
        <v>8.5616438356164379E-3</v>
      </c>
      <c r="U31" s="328">
        <f t="shared" si="1"/>
        <v>8.0136986301369874E-3</v>
      </c>
      <c r="V31" s="329" t="s">
        <v>165</v>
      </c>
      <c r="W31" s="329" t="s">
        <v>165</v>
      </c>
      <c r="X31" s="10" t="s">
        <v>169</v>
      </c>
      <c r="Y31" s="330" t="s">
        <v>167</v>
      </c>
    </row>
    <row r="32" spans="1:25" ht="78" x14ac:dyDescent="0.3">
      <c r="A32" s="331"/>
      <c r="B32" s="337">
        <v>8</v>
      </c>
      <c r="C32" s="338" t="s">
        <v>177</v>
      </c>
      <c r="D32" s="322" t="s">
        <v>57</v>
      </c>
      <c r="E32" s="323" t="s">
        <v>164</v>
      </c>
      <c r="F32" s="323">
        <v>250</v>
      </c>
      <c r="G32" s="323">
        <v>219</v>
      </c>
      <c r="H32" s="332">
        <v>1.83E-2</v>
      </c>
      <c r="I32" s="332">
        <v>4.0000000000000001E-3</v>
      </c>
      <c r="J32" s="332"/>
      <c r="K32" s="332"/>
      <c r="L32" s="341">
        <v>0.94</v>
      </c>
      <c r="M32" s="341">
        <v>4.5999999999999999E-2</v>
      </c>
      <c r="N32" s="341">
        <f>SUM(Inhalation_Exp[[#This Row],[Vapor_HE]],Inhalation_Exp[[#This Row],[Mist_HE]],Inhalation_Exp[[#This Row],[Dust_HE]])</f>
        <v>0.95829999999999993</v>
      </c>
      <c r="O32" s="341">
        <f>SUM(Inhalation_Exp[[#This Row],[Vapor_CT]],Inhalation_Exp[[#This Row],[Mist_CT]],Inhalation_Exp[[#This Row],[Dust_CT]])</f>
        <v>0.05</v>
      </c>
      <c r="P32" s="327">
        <f>((N32*ED_8)*WorkBreathRate)/IF(Inhalation_Exp[[#This Row],[Worker Type]]="Female of Reproductive Age",BW_F,BW_default)</f>
        <v>0.11978749999999998</v>
      </c>
      <c r="Q32" s="328">
        <f>((O32*ED_8)*WorkBreathRate)/IF(Inhalation_Exp[[#This Row],[Worker Type]]="Female of Reproductive Age",BW_F,BW_default)</f>
        <v>6.2500000000000003E-3</v>
      </c>
      <c r="R32" s="327">
        <f>IF(EFID&gt;Inhalation_Exp[[#This Row],[ED_High-End]],Inhalation_Exp[[#This Row],[24hr_High-End]]*Inhalation_Exp[[#This Row],[ED_High-End]]/ID,Inhalation_Exp[[#This Row],[24hr_High-End]]*EFID/ID)</f>
        <v>8.7844166666666654E-2</v>
      </c>
      <c r="S32" s="328">
        <f>IF(EFID&gt;Inhalation_Exp[[#This Row],[ED_Central Tendency]],Inhalation_Exp[[#This Row],[24hr_Central Tendency]]*Inhalation_Exp[[#This Row],[ED_Central Tendency]]/ID,Inhalation_Exp[[#This Row],[24hr_Central Tendency]]*EFID/ID)</f>
        <v>4.5833333333333334E-3</v>
      </c>
      <c r="T32" s="327">
        <f t="shared" si="0"/>
        <v>8.2046232876712311E-2</v>
      </c>
      <c r="U32" s="328">
        <f t="shared" si="1"/>
        <v>3.7500000000000003E-3</v>
      </c>
      <c r="V32" s="329" t="s">
        <v>165</v>
      </c>
      <c r="W32" s="329" t="s">
        <v>165</v>
      </c>
      <c r="X32" s="10" t="s">
        <v>173</v>
      </c>
      <c r="Y32" s="330" t="s">
        <v>167</v>
      </c>
    </row>
    <row r="33" spans="1:25" ht="78" x14ac:dyDescent="0.3">
      <c r="A33" s="331"/>
      <c r="B33" s="337">
        <v>8</v>
      </c>
      <c r="C33" s="338" t="s">
        <v>177</v>
      </c>
      <c r="D33" s="322" t="s">
        <v>168</v>
      </c>
      <c r="E33" s="323" t="s">
        <v>164</v>
      </c>
      <c r="F33" s="323">
        <v>250</v>
      </c>
      <c r="G33" s="323">
        <v>219</v>
      </c>
      <c r="H33" s="332">
        <v>1.83E-2</v>
      </c>
      <c r="I33" s="332">
        <v>4.0000000000000001E-3</v>
      </c>
      <c r="J33" s="332"/>
      <c r="K33" s="332"/>
      <c r="L33" s="341">
        <v>0.94</v>
      </c>
      <c r="M33" s="341">
        <v>4.5999999999999999E-2</v>
      </c>
      <c r="N33" s="341">
        <f>SUM(Inhalation_Exp[[#This Row],[Vapor_HE]],Inhalation_Exp[[#This Row],[Mist_HE]],Inhalation_Exp[[#This Row],[Dust_HE]])</f>
        <v>0.95829999999999993</v>
      </c>
      <c r="O33" s="341">
        <f>SUM(Inhalation_Exp[[#This Row],[Vapor_CT]],Inhalation_Exp[[#This Row],[Mist_CT]],Inhalation_Exp[[#This Row],[Dust_CT]])</f>
        <v>0.05</v>
      </c>
      <c r="P33" s="327">
        <f>((N33*ED_8)*WorkBreathRate)/IF(Inhalation_Exp[[#This Row],[Worker Type]]="Female of Reproductive Age",BW_F,BW_default)</f>
        <v>0.13231618916120119</v>
      </c>
      <c r="Q33" s="327">
        <f>((O33*ED_8)*WorkBreathRate)/IF(Inhalation_Exp[[#This Row],[Worker Type]]="Female of Reproductive Age",BW_F,BW_default)</f>
        <v>6.9036934760096638E-3</v>
      </c>
      <c r="R33" s="327">
        <f>IF(EFID&gt;Inhalation_Exp[[#This Row],[ED_High-End]],Inhalation_Exp[[#This Row],[24hr_High-End]]*Inhalation_Exp[[#This Row],[ED_High-End]]/ID,Inhalation_Exp[[#This Row],[24hr_High-End]]*EFID/ID)</f>
        <v>9.7031872051547535E-2</v>
      </c>
      <c r="S33" s="328">
        <f>IF(EFID&gt;Inhalation_Exp[[#This Row],[ED_Central Tendency]],Inhalation_Exp[[#This Row],[24hr_Central Tendency]]*Inhalation_Exp[[#This Row],[ED_Central Tendency]]/ID,Inhalation_Exp[[#This Row],[24hr_Central Tendency]]*EFID/ID)</f>
        <v>5.0627085490737534E-3</v>
      </c>
      <c r="T33" s="327">
        <f t="shared" si="0"/>
        <v>9.0627526822740542E-2</v>
      </c>
      <c r="U33" s="328">
        <f t="shared" si="1"/>
        <v>4.1422160856057983E-3</v>
      </c>
      <c r="V33" s="329" t="s">
        <v>165</v>
      </c>
      <c r="W33" s="329" t="s">
        <v>165</v>
      </c>
      <c r="X33" s="10" t="s">
        <v>173</v>
      </c>
      <c r="Y33" s="330" t="s">
        <v>167</v>
      </c>
    </row>
    <row r="34" spans="1:25" ht="26" x14ac:dyDescent="0.3">
      <c r="A34" s="331"/>
      <c r="B34" s="337">
        <v>8</v>
      </c>
      <c r="C34" s="338" t="s">
        <v>177</v>
      </c>
      <c r="D34" s="322" t="s">
        <v>74</v>
      </c>
      <c r="E34" s="323" t="s">
        <v>164</v>
      </c>
      <c r="F34" s="323">
        <v>250</v>
      </c>
      <c r="G34" s="323">
        <v>219</v>
      </c>
      <c r="H34" s="332">
        <v>4.0000000000000001E-3</v>
      </c>
      <c r="I34" s="332">
        <v>4.0000000000000001E-3</v>
      </c>
      <c r="J34" s="332"/>
      <c r="K34" s="332"/>
      <c r="L34" s="341">
        <v>4.5999999999999999E-2</v>
      </c>
      <c r="M34" s="341">
        <v>4.5999999999999999E-2</v>
      </c>
      <c r="N34" s="341">
        <f>SUM(Inhalation_Exp[[#This Row],[Vapor_HE]],Inhalation_Exp[[#This Row],[Mist_HE]],Inhalation_Exp[[#This Row],[Dust_HE]])</f>
        <v>0.05</v>
      </c>
      <c r="O34" s="341">
        <f>SUM(Inhalation_Exp[[#This Row],[Vapor_CT]],Inhalation_Exp[[#This Row],[Mist_CT]],Inhalation_Exp[[#This Row],[Dust_CT]])</f>
        <v>0.05</v>
      </c>
      <c r="P34" s="327">
        <f>((N34*ED_8)*WorkBreathRate)/IF(Inhalation_Exp[[#This Row],[Worker Type]]="Female of Reproductive Age",BW_F,BW_default)</f>
        <v>6.2500000000000003E-3</v>
      </c>
      <c r="Q34" s="327">
        <f>((O34*ED_8)*WorkBreathRate)/IF(Inhalation_Exp[[#This Row],[Worker Type]]="Female of Reproductive Age",BW_F,BW_default)</f>
        <v>6.2500000000000003E-3</v>
      </c>
      <c r="R34" s="327">
        <f>IF(EFID&gt;Inhalation_Exp[[#This Row],[ED_High-End]],Inhalation_Exp[[#This Row],[24hr_High-End]]*Inhalation_Exp[[#This Row],[ED_High-End]]/ID,Inhalation_Exp[[#This Row],[24hr_High-End]]*EFID/ID)</f>
        <v>4.5833333333333334E-3</v>
      </c>
      <c r="S34" s="328">
        <f>IF(EFID&gt;Inhalation_Exp[[#This Row],[ED_Central Tendency]],Inhalation_Exp[[#This Row],[24hr_Central Tendency]]*Inhalation_Exp[[#This Row],[ED_Central Tendency]]/ID,Inhalation_Exp[[#This Row],[24hr_Central Tendency]]*EFID/ID)</f>
        <v>4.5833333333333334E-3</v>
      </c>
      <c r="T34" s="327">
        <f t="shared" si="0"/>
        <v>4.2808219178082189E-3</v>
      </c>
      <c r="U34" s="328">
        <f t="shared" si="1"/>
        <v>3.7500000000000003E-3</v>
      </c>
      <c r="V34" s="329" t="s">
        <v>165</v>
      </c>
      <c r="W34" s="329" t="s">
        <v>165</v>
      </c>
      <c r="X34" s="10" t="s">
        <v>169</v>
      </c>
      <c r="Y34" s="330" t="s">
        <v>167</v>
      </c>
    </row>
    <row r="35" spans="1:25" ht="78" x14ac:dyDescent="0.3">
      <c r="A35" s="331"/>
      <c r="B35" s="337">
        <v>4</v>
      </c>
      <c r="C35" s="338" t="s">
        <v>398</v>
      </c>
      <c r="D35" s="322" t="s">
        <v>57</v>
      </c>
      <c r="E35" s="323" t="s">
        <v>164</v>
      </c>
      <c r="F35" s="323">
        <v>250</v>
      </c>
      <c r="G35" s="323">
        <v>250</v>
      </c>
      <c r="H35" s="332"/>
      <c r="I35" s="332"/>
      <c r="J35" s="332">
        <v>22.1</v>
      </c>
      <c r="K35" s="344">
        <v>0.33800000000000002</v>
      </c>
      <c r="L35" s="343"/>
      <c r="M35" s="333"/>
      <c r="N35" s="334">
        <f>SUM(Inhalation_Exp[[#This Row],[Vapor_HE]],Inhalation_Exp[[#This Row],[Mist_HE]],Inhalation_Exp[[#This Row],[Dust_HE]])</f>
        <v>22.1</v>
      </c>
      <c r="O35" s="334">
        <f>SUM(Inhalation_Exp[[#This Row],[Vapor_CT]],Inhalation_Exp[[#This Row],[Mist_CT]],Inhalation_Exp[[#This Row],[Dust_CT]])</f>
        <v>0.33800000000000002</v>
      </c>
      <c r="P35" s="327">
        <f>((N35*ED_8)*WorkBreathRate)/IF(Inhalation_Exp[[#This Row],[Worker Type]]="Female of Reproductive Age",BW_F,BW_default)</f>
        <v>2.7625000000000002</v>
      </c>
      <c r="Q35" s="328">
        <f>((O35*ED_8)*WorkBreathRate)/IF(Inhalation_Exp[[#This Row],[Worker Type]]="Female of Reproductive Age",BW_F,BW_default)</f>
        <v>4.2250000000000003E-2</v>
      </c>
      <c r="R35" s="327">
        <f>IF(EFID&gt;Inhalation_Exp[[#This Row],[ED_High-End]],Inhalation_Exp[[#This Row],[24hr_High-End]]*Inhalation_Exp[[#This Row],[ED_High-End]]/ID,Inhalation_Exp[[#This Row],[24hr_High-End]]*EFID/ID)</f>
        <v>2.0258333333333334</v>
      </c>
      <c r="S35" s="328">
        <f>IF(EFID&gt;Inhalation_Exp[[#This Row],[ED_Central Tendency]],Inhalation_Exp[[#This Row],[24hr_Central Tendency]]*Inhalation_Exp[[#This Row],[ED_Central Tendency]]/ID,Inhalation_Exp[[#This Row],[24hr_Central Tendency]]*EFID/ID)</f>
        <v>3.0983333333333338E-2</v>
      </c>
      <c r="T35" s="327">
        <f t="shared" si="0"/>
        <v>1.8921232876712328</v>
      </c>
      <c r="U35" s="328">
        <f t="shared" si="1"/>
        <v>2.8938356164383561E-2</v>
      </c>
      <c r="V35" s="329" t="s">
        <v>165</v>
      </c>
      <c r="W35" s="329" t="s">
        <v>165</v>
      </c>
      <c r="X35" s="10" t="s">
        <v>178</v>
      </c>
      <c r="Y35" s="330" t="s">
        <v>167</v>
      </c>
    </row>
    <row r="36" spans="1:25" ht="78" x14ac:dyDescent="0.3">
      <c r="A36" s="331"/>
      <c r="B36" s="337">
        <v>4</v>
      </c>
      <c r="C36" s="338" t="s">
        <v>398</v>
      </c>
      <c r="D36" s="322" t="s">
        <v>168</v>
      </c>
      <c r="E36" s="323" t="s">
        <v>164</v>
      </c>
      <c r="F36" s="323">
        <v>250</v>
      </c>
      <c r="G36" s="323">
        <v>250</v>
      </c>
      <c r="H36" s="332"/>
      <c r="I36" s="332"/>
      <c r="J36" s="332">
        <v>22.1</v>
      </c>
      <c r="K36" s="344">
        <v>0.33800000000000002</v>
      </c>
      <c r="L36" s="343"/>
      <c r="M36" s="343"/>
      <c r="N36" s="343">
        <f>SUM(Inhalation_Exp[[#This Row],[Vapor_HE]],Inhalation_Exp[[#This Row],[Mist_HE]],Inhalation_Exp[[#This Row],[Dust_HE]])</f>
        <v>22.1</v>
      </c>
      <c r="O36" s="343">
        <f>SUM(Inhalation_Exp[[#This Row],[Vapor_CT]],Inhalation_Exp[[#This Row],[Mist_CT]],Inhalation_Exp[[#This Row],[Dust_CT]])</f>
        <v>0.33800000000000002</v>
      </c>
      <c r="P36" s="327">
        <f>((N36*ED_8)*WorkBreathRate)/IF(Inhalation_Exp[[#This Row],[Worker Type]]="Female of Reproductive Age",BW_F,BW_default)</f>
        <v>3.0514325163962717</v>
      </c>
      <c r="Q36" s="327">
        <f>((O36*ED_8)*WorkBreathRate)/IF(Inhalation_Exp[[#This Row],[Worker Type]]="Female of Reproductive Age",BW_F,BW_default)</f>
        <v>4.6668967897825334E-2</v>
      </c>
      <c r="R36" s="327">
        <f>IF(EFID&gt;Inhalation_Exp[[#This Row],[ED_High-End]],Inhalation_Exp[[#This Row],[24hr_High-End]]*Inhalation_Exp[[#This Row],[ED_High-End]]/ID,Inhalation_Exp[[#This Row],[24hr_High-End]]*EFID/ID)</f>
        <v>2.2377171786905992</v>
      </c>
      <c r="S36" s="328">
        <f>IF(EFID&gt;Inhalation_Exp[[#This Row],[ED_Central Tendency]],Inhalation_Exp[[#This Row],[24hr_Central Tendency]]*Inhalation_Exp[[#This Row],[ED_Central Tendency]]/ID,Inhalation_Exp[[#This Row],[24hr_Central Tendency]]*EFID/ID)</f>
        <v>3.4223909791738581E-2</v>
      </c>
      <c r="T36" s="327">
        <f t="shared" si="0"/>
        <v>2.0900222715042958</v>
      </c>
      <c r="U36" s="328">
        <f t="shared" si="1"/>
        <v>3.196504650535982E-2</v>
      </c>
      <c r="V36" s="329" t="s">
        <v>165</v>
      </c>
      <c r="W36" s="329" t="s">
        <v>165</v>
      </c>
      <c r="X36" s="10" t="s">
        <v>178</v>
      </c>
      <c r="Y36" s="330" t="s">
        <v>167</v>
      </c>
    </row>
    <row r="37" spans="1:25" ht="29" x14ac:dyDescent="0.3">
      <c r="A37" s="331"/>
      <c r="B37" s="337">
        <v>4</v>
      </c>
      <c r="C37" s="338" t="s">
        <v>398</v>
      </c>
      <c r="D37" s="322" t="s">
        <v>74</v>
      </c>
      <c r="E37" s="323" t="s">
        <v>164</v>
      </c>
      <c r="F37" s="323">
        <v>250</v>
      </c>
      <c r="G37" s="323">
        <v>250</v>
      </c>
      <c r="H37" s="332"/>
      <c r="I37" s="332"/>
      <c r="J37" s="344">
        <v>0.33800000000000002</v>
      </c>
      <c r="K37" s="344">
        <v>0.33800000000000002</v>
      </c>
      <c r="L37" s="343"/>
      <c r="M37" s="343"/>
      <c r="N37" s="343">
        <f>SUM(Inhalation_Exp[[#This Row],[Vapor_HE]],Inhalation_Exp[[#This Row],[Mist_HE]],Inhalation_Exp[[#This Row],[Dust_HE]])</f>
        <v>0.33800000000000002</v>
      </c>
      <c r="O37" s="343">
        <f>SUM(Inhalation_Exp[[#This Row],[Vapor_CT]],Inhalation_Exp[[#This Row],[Mist_CT]],Inhalation_Exp[[#This Row],[Dust_CT]])</f>
        <v>0.33800000000000002</v>
      </c>
      <c r="P37" s="327">
        <f>((N37*ED_8)*WorkBreathRate)/IF(Inhalation_Exp[[#This Row],[Worker Type]]="Female of Reproductive Age",BW_F,BW_default)</f>
        <v>4.2250000000000003E-2</v>
      </c>
      <c r="Q37" s="327">
        <f>((O37*ED_8)*WorkBreathRate)/IF(Inhalation_Exp[[#This Row],[Worker Type]]="Female of Reproductive Age",BW_F,BW_default)</f>
        <v>4.2250000000000003E-2</v>
      </c>
      <c r="R37" s="327">
        <f>IF(EFID&gt;Inhalation_Exp[[#This Row],[ED_High-End]],Inhalation_Exp[[#This Row],[24hr_High-End]]*Inhalation_Exp[[#This Row],[ED_High-End]]/ID,Inhalation_Exp[[#This Row],[24hr_High-End]]*EFID/ID)</f>
        <v>3.0983333333333338E-2</v>
      </c>
      <c r="S37" s="328">
        <f>IF(EFID&gt;Inhalation_Exp[[#This Row],[ED_Central Tendency]],Inhalation_Exp[[#This Row],[24hr_Central Tendency]]*Inhalation_Exp[[#This Row],[ED_Central Tendency]]/ID,Inhalation_Exp[[#This Row],[24hr_Central Tendency]]*EFID/ID)</f>
        <v>3.0983333333333338E-2</v>
      </c>
      <c r="T37" s="327">
        <f t="shared" si="0"/>
        <v>2.8938356164383561E-2</v>
      </c>
      <c r="U37" s="328">
        <f t="shared" si="1"/>
        <v>2.8938356164383561E-2</v>
      </c>
      <c r="V37" s="329" t="s">
        <v>165</v>
      </c>
      <c r="W37" s="329" t="s">
        <v>165</v>
      </c>
      <c r="X37" s="10" t="s">
        <v>169</v>
      </c>
      <c r="Y37" s="330" t="s">
        <v>167</v>
      </c>
    </row>
    <row r="38" spans="1:25" ht="52" x14ac:dyDescent="0.3">
      <c r="A38" s="331"/>
      <c r="B38" s="337">
        <v>4</v>
      </c>
      <c r="C38" s="340" t="s">
        <v>399</v>
      </c>
      <c r="D38" s="322" t="s">
        <v>57</v>
      </c>
      <c r="E38" s="323" t="s">
        <v>164</v>
      </c>
      <c r="F38" s="323">
        <v>250</v>
      </c>
      <c r="G38" s="323">
        <v>250</v>
      </c>
      <c r="H38" s="332">
        <v>1.83E-2</v>
      </c>
      <c r="I38" s="332">
        <v>4.0000000000000001E-3</v>
      </c>
      <c r="J38" s="332"/>
      <c r="K38" s="332"/>
      <c r="L38" s="343"/>
      <c r="M38" s="333"/>
      <c r="N38" s="332">
        <f>SUM(Inhalation_Exp[[#This Row],[Vapor_HE]],Inhalation_Exp[[#This Row],[Mist_HE]],Inhalation_Exp[[#This Row],[Dust_HE]])</f>
        <v>1.83E-2</v>
      </c>
      <c r="O38" s="332">
        <f>SUM(Inhalation_Exp[[#This Row],[Vapor_CT]],Inhalation_Exp[[#This Row],[Mist_CT]],Inhalation_Exp[[#This Row],[Dust_CT]])</f>
        <v>4.0000000000000001E-3</v>
      </c>
      <c r="P38" s="327">
        <f>((N38*ED_8)*WorkBreathRate)/IF(Inhalation_Exp[[#This Row],[Worker Type]]="Female of Reproductive Age",BW_F,BW_default)</f>
        <v>2.2875E-3</v>
      </c>
      <c r="Q38" s="327">
        <f>((O38*ED_8)*WorkBreathRate)/IF(Inhalation_Exp[[#This Row],[Worker Type]]="Female of Reproductive Age",BW_F,BW_default)</f>
        <v>5.0000000000000001E-4</v>
      </c>
      <c r="R38" s="342">
        <f>IF(EFID&gt;Inhalation_Exp[[#This Row],[ED_High-End]],Inhalation_Exp[[#This Row],[24hr_High-End]]*Inhalation_Exp[[#This Row],[ED_High-End]]/ID,Inhalation_Exp[[#This Row],[24hr_High-End]]*EFID/ID)</f>
        <v>1.6775E-3</v>
      </c>
      <c r="S38" s="342">
        <f>IF(EFID&gt;Inhalation_Exp[[#This Row],[ED_Central Tendency]],Inhalation_Exp[[#This Row],[24hr_Central Tendency]]*Inhalation_Exp[[#This Row],[ED_Central Tendency]]/ID,Inhalation_Exp[[#This Row],[24hr_Central Tendency]]*EFID/ID)</f>
        <v>3.6666666666666667E-4</v>
      </c>
      <c r="T38" s="327">
        <f>P38*F38*WY_high/(WY_high*365)</f>
        <v>1.5667808219178082E-3</v>
      </c>
      <c r="U38" s="327">
        <f>Q38*G38*WY_mid/(WY_mid*365)</f>
        <v>3.4246575342465754E-4</v>
      </c>
      <c r="V38" s="329" t="s">
        <v>165</v>
      </c>
      <c r="W38" s="329" t="s">
        <v>165</v>
      </c>
      <c r="X38" s="10" t="s">
        <v>166</v>
      </c>
      <c r="Y38" s="330" t="s">
        <v>167</v>
      </c>
    </row>
    <row r="39" spans="1:25" ht="52" x14ac:dyDescent="0.3">
      <c r="A39" s="331"/>
      <c r="B39" s="337">
        <v>4</v>
      </c>
      <c r="C39" s="340" t="s">
        <v>399</v>
      </c>
      <c r="D39" s="322" t="s">
        <v>168</v>
      </c>
      <c r="E39" s="323" t="s">
        <v>164</v>
      </c>
      <c r="F39" s="323">
        <v>250</v>
      </c>
      <c r="G39" s="323">
        <v>250</v>
      </c>
      <c r="H39" s="332">
        <v>1.83E-2</v>
      </c>
      <c r="I39" s="332">
        <v>4.0000000000000001E-3</v>
      </c>
      <c r="J39" s="332"/>
      <c r="K39" s="332"/>
      <c r="L39" s="343"/>
      <c r="M39" s="333"/>
      <c r="N39" s="332">
        <f>SUM(Inhalation_Exp[[#This Row],[Vapor_HE]],Inhalation_Exp[[#This Row],[Mist_HE]],Inhalation_Exp[[#This Row],[Dust_HE]])</f>
        <v>1.83E-2</v>
      </c>
      <c r="O39" s="332">
        <f>SUM(Inhalation_Exp[[#This Row],[Vapor_CT]],Inhalation_Exp[[#This Row],[Mist_CT]],Inhalation_Exp[[#This Row],[Dust_CT]])</f>
        <v>4.0000000000000001E-3</v>
      </c>
      <c r="P39" s="327">
        <f>((N39*ED_8)*WorkBreathRate)/IF(Inhalation_Exp[[#This Row],[Worker Type]]="Female of Reproductive Age",BW_F,BW_default)</f>
        <v>2.5267518122195371E-3</v>
      </c>
      <c r="Q39" s="327">
        <f>((O39*ED_8)*WorkBreathRate)/IF(Inhalation_Exp[[#This Row],[Worker Type]]="Female of Reproductive Age",BW_F,BW_default)</f>
        <v>5.5229547808077317E-4</v>
      </c>
      <c r="R39" s="342">
        <f>IF(EFID&gt;Inhalation_Exp[[#This Row],[ED_High-End]],Inhalation_Exp[[#This Row],[24hr_High-End]]*Inhalation_Exp[[#This Row],[ED_High-End]]/ID,Inhalation_Exp[[#This Row],[24hr_High-End]]*EFID/ID)</f>
        <v>1.8529513289609939E-3</v>
      </c>
      <c r="S39" s="342">
        <f>IF(EFID&gt;Inhalation_Exp[[#This Row],[ED_Central Tendency]],Inhalation_Exp[[#This Row],[24hr_Central Tendency]]*Inhalation_Exp[[#This Row],[ED_Central Tendency]]/ID,Inhalation_Exp[[#This Row],[24hr_Central Tendency]]*EFID/ID)</f>
        <v>4.0501668392590036E-4</v>
      </c>
      <c r="T39" s="327">
        <f>P39*F39*WY_high/(WY_high*365)</f>
        <v>1.7306519261777651E-3</v>
      </c>
      <c r="U39" s="327">
        <f>Q39*G39*WY_mid/(WY_mid*365)</f>
        <v>3.7828457402792686E-4</v>
      </c>
      <c r="V39" s="329" t="s">
        <v>165</v>
      </c>
      <c r="W39" s="329" t="s">
        <v>165</v>
      </c>
      <c r="X39" s="10" t="s">
        <v>166</v>
      </c>
      <c r="Y39" s="330" t="s">
        <v>167</v>
      </c>
    </row>
    <row r="40" spans="1:25" ht="26" x14ac:dyDescent="0.3">
      <c r="A40" s="331"/>
      <c r="B40" s="337">
        <v>4</v>
      </c>
      <c r="C40" s="340" t="s">
        <v>399</v>
      </c>
      <c r="D40" s="322" t="s">
        <v>74</v>
      </c>
      <c r="E40" s="323" t="s">
        <v>164</v>
      </c>
      <c r="F40" s="323">
        <v>250</v>
      </c>
      <c r="G40" s="323">
        <v>250</v>
      </c>
      <c r="H40" s="332">
        <v>4.0000000000000001E-3</v>
      </c>
      <c r="I40" s="332">
        <v>4.0000000000000001E-3</v>
      </c>
      <c r="J40" s="332"/>
      <c r="K40" s="332"/>
      <c r="L40" s="343"/>
      <c r="M40" s="333"/>
      <c r="N40" s="332">
        <f>SUM(Inhalation_Exp[[#This Row],[Vapor_HE]],Inhalation_Exp[[#This Row],[Mist_HE]],Inhalation_Exp[[#This Row],[Dust_HE]])</f>
        <v>4.0000000000000001E-3</v>
      </c>
      <c r="O40" s="332">
        <f>SUM(Inhalation_Exp[[#This Row],[Vapor_CT]],Inhalation_Exp[[#This Row],[Mist_CT]],Inhalation_Exp[[#This Row],[Dust_CT]])</f>
        <v>4.0000000000000001E-3</v>
      </c>
      <c r="P40" s="327">
        <f>((N40*ED_8)*WorkBreathRate)/IF(Inhalation_Exp[[#This Row],[Worker Type]]="Female of Reproductive Age",BW_F,BW_default)</f>
        <v>5.0000000000000001E-4</v>
      </c>
      <c r="Q40" s="327">
        <f>((O40*ED_8)*WorkBreathRate)/IF(Inhalation_Exp[[#This Row],[Worker Type]]="Female of Reproductive Age",BW_F,BW_default)</f>
        <v>5.0000000000000001E-4</v>
      </c>
      <c r="R40" s="342">
        <f>IF(EFID&gt;Inhalation_Exp[[#This Row],[ED_High-End]],Inhalation_Exp[[#This Row],[24hr_High-End]]*Inhalation_Exp[[#This Row],[ED_High-End]]/ID,Inhalation_Exp[[#This Row],[24hr_High-End]]*EFID/ID)</f>
        <v>3.6666666666666667E-4</v>
      </c>
      <c r="S40" s="342">
        <f>IF(EFID&gt;Inhalation_Exp[[#This Row],[ED_Central Tendency]],Inhalation_Exp[[#This Row],[24hr_Central Tendency]]*Inhalation_Exp[[#This Row],[ED_Central Tendency]]/ID,Inhalation_Exp[[#This Row],[24hr_Central Tendency]]*EFID/ID)</f>
        <v>3.6666666666666667E-4</v>
      </c>
      <c r="T40" s="327">
        <f>P40*F40*WY_high/(WY_high*365)</f>
        <v>3.4246575342465754E-4</v>
      </c>
      <c r="U40" s="327">
        <f>Q40*G40*WY_mid/(WY_mid*365)</f>
        <v>3.4246575342465754E-4</v>
      </c>
      <c r="V40" s="329" t="s">
        <v>165</v>
      </c>
      <c r="W40" s="329" t="s">
        <v>165</v>
      </c>
      <c r="X40" s="10" t="s">
        <v>169</v>
      </c>
      <c r="Y40" s="330" t="s">
        <v>167</v>
      </c>
    </row>
    <row r="41" spans="1:25" ht="78" x14ac:dyDescent="0.3">
      <c r="A41" s="331"/>
      <c r="B41" s="337">
        <v>4</v>
      </c>
      <c r="C41" s="338" t="s">
        <v>400</v>
      </c>
      <c r="D41" s="322" t="s">
        <v>57</v>
      </c>
      <c r="E41" s="323" t="s">
        <v>164</v>
      </c>
      <c r="F41" s="323">
        <v>250</v>
      </c>
      <c r="G41" s="323">
        <v>232</v>
      </c>
      <c r="H41" s="332"/>
      <c r="I41" s="332"/>
      <c r="J41" s="332">
        <v>22.1</v>
      </c>
      <c r="K41" s="332">
        <v>2.0299999999999998</v>
      </c>
      <c r="L41" s="343"/>
      <c r="M41" s="333"/>
      <c r="N41" s="334">
        <f>SUM(Inhalation_Exp[[#This Row],[Vapor_HE]],Inhalation_Exp[[#This Row],[Mist_HE]],Inhalation_Exp[[#This Row],[Dust_HE]])</f>
        <v>22.1</v>
      </c>
      <c r="O41" s="334">
        <f>SUM(Inhalation_Exp[[#This Row],[Vapor_CT]],Inhalation_Exp[[#This Row],[Mist_CT]],Inhalation_Exp[[#This Row],[Dust_CT]])</f>
        <v>2.0299999999999998</v>
      </c>
      <c r="P41" s="327">
        <f>((N41*ED_8)*WorkBreathRate)/IF(Inhalation_Exp[[#This Row],[Worker Type]]="Female of Reproductive Age",BW_F,BW_default)</f>
        <v>2.7625000000000002</v>
      </c>
      <c r="Q41" s="328">
        <f>((O41*ED_8)*WorkBreathRate)/IF(Inhalation_Exp[[#This Row],[Worker Type]]="Female of Reproductive Age",BW_F,BW_default)</f>
        <v>0.25374999999999998</v>
      </c>
      <c r="R41" s="327">
        <f>IF(EFID&gt;Inhalation_Exp[[#This Row],[ED_High-End]],Inhalation_Exp[[#This Row],[24hr_High-End]]*Inhalation_Exp[[#This Row],[ED_High-End]]/ID,Inhalation_Exp[[#This Row],[24hr_High-End]]*EFID/ID)</f>
        <v>2.0258333333333334</v>
      </c>
      <c r="S41" s="328">
        <f>IF(EFID&gt;Inhalation_Exp[[#This Row],[ED_Central Tendency]],Inhalation_Exp[[#This Row],[24hr_Central Tendency]]*Inhalation_Exp[[#This Row],[ED_Central Tendency]]/ID,Inhalation_Exp[[#This Row],[24hr_Central Tendency]]*EFID/ID)</f>
        <v>0.18608333333333332</v>
      </c>
      <c r="T41" s="327">
        <f t="shared" ref="T41:T55" si="4">P41*F41*WY_high/(WY_high*365)</f>
        <v>1.8921232876712328</v>
      </c>
      <c r="U41" s="328">
        <f t="shared" ref="U41:U55" si="5">Q41*G41*WY_mid/(WY_mid*365)</f>
        <v>0.16128767123287671</v>
      </c>
      <c r="V41" s="329" t="s">
        <v>165</v>
      </c>
      <c r="W41" s="329" t="s">
        <v>165</v>
      </c>
      <c r="X41" s="10" t="s">
        <v>178</v>
      </c>
      <c r="Y41" s="330" t="s">
        <v>167</v>
      </c>
    </row>
    <row r="42" spans="1:25" ht="78" x14ac:dyDescent="0.3">
      <c r="A42" s="331"/>
      <c r="B42" s="337">
        <v>4</v>
      </c>
      <c r="C42" s="338" t="s">
        <v>400</v>
      </c>
      <c r="D42" s="322" t="s">
        <v>168</v>
      </c>
      <c r="E42" s="323" t="s">
        <v>164</v>
      </c>
      <c r="F42" s="323">
        <v>250</v>
      </c>
      <c r="G42" s="323">
        <v>232</v>
      </c>
      <c r="H42" s="332"/>
      <c r="I42" s="332"/>
      <c r="J42" s="332">
        <v>22.1</v>
      </c>
      <c r="K42" s="332">
        <v>2.0299999999999998</v>
      </c>
      <c r="L42" s="343"/>
      <c r="M42" s="343"/>
      <c r="N42" s="343">
        <f>SUM(Inhalation_Exp[[#This Row],[Vapor_HE]],Inhalation_Exp[[#This Row],[Mist_HE]],Inhalation_Exp[[#This Row],[Dust_HE]])</f>
        <v>22.1</v>
      </c>
      <c r="O42" s="343">
        <f>SUM(Inhalation_Exp[[#This Row],[Vapor_CT]],Inhalation_Exp[[#This Row],[Mist_CT]],Inhalation_Exp[[#This Row],[Dust_CT]])</f>
        <v>2.0299999999999998</v>
      </c>
      <c r="P42" s="327">
        <f>((N42*ED_8)*WorkBreathRate)/IF(Inhalation_Exp[[#This Row],[Worker Type]]="Female of Reproductive Age",BW_F,BW_default)</f>
        <v>3.0514325163962717</v>
      </c>
      <c r="Q42" s="327">
        <f>((O42*ED_8)*WorkBreathRate)/IF(Inhalation_Exp[[#This Row],[Worker Type]]="Female of Reproductive Age",BW_F,BW_default)</f>
        <v>0.28028995512599231</v>
      </c>
      <c r="R42" s="327">
        <f>IF(EFID&gt;Inhalation_Exp[[#This Row],[ED_High-End]],Inhalation_Exp[[#This Row],[24hr_High-End]]*Inhalation_Exp[[#This Row],[ED_High-End]]/ID,Inhalation_Exp[[#This Row],[24hr_High-End]]*EFID/ID)</f>
        <v>2.2377171786905992</v>
      </c>
      <c r="S42" s="328">
        <f>IF(EFID&gt;Inhalation_Exp[[#This Row],[ED_Central Tendency]],Inhalation_Exp[[#This Row],[24hr_Central Tendency]]*Inhalation_Exp[[#This Row],[ED_Central Tendency]]/ID,Inhalation_Exp[[#This Row],[24hr_Central Tendency]]*EFID/ID)</f>
        <v>0.20554596709239437</v>
      </c>
      <c r="T42" s="327">
        <f t="shared" si="4"/>
        <v>2.0900222715042958</v>
      </c>
      <c r="U42" s="328">
        <f t="shared" si="5"/>
        <v>0.17815690298419237</v>
      </c>
      <c r="V42" s="329" t="s">
        <v>165</v>
      </c>
      <c r="W42" s="329" t="s">
        <v>165</v>
      </c>
      <c r="X42" s="10" t="s">
        <v>178</v>
      </c>
      <c r="Y42" s="330" t="s">
        <v>167</v>
      </c>
    </row>
    <row r="43" spans="1:25" ht="29" x14ac:dyDescent="0.3">
      <c r="A43" s="331"/>
      <c r="B43" s="337">
        <v>4</v>
      </c>
      <c r="C43" s="338" t="s">
        <v>400</v>
      </c>
      <c r="D43" s="322" t="s">
        <v>74</v>
      </c>
      <c r="E43" s="323" t="s">
        <v>164</v>
      </c>
      <c r="F43" s="323">
        <v>250</v>
      </c>
      <c r="G43" s="323">
        <v>232</v>
      </c>
      <c r="H43" s="332"/>
      <c r="I43" s="332"/>
      <c r="J43" s="332">
        <v>2.0299999999999998</v>
      </c>
      <c r="K43" s="332">
        <v>2.0299999999999998</v>
      </c>
      <c r="L43" s="343"/>
      <c r="M43" s="343"/>
      <c r="N43" s="343">
        <f>SUM(Inhalation_Exp[[#This Row],[Vapor_HE]],Inhalation_Exp[[#This Row],[Mist_HE]],Inhalation_Exp[[#This Row],[Dust_HE]])</f>
        <v>2.0299999999999998</v>
      </c>
      <c r="O43" s="343">
        <f>SUM(Inhalation_Exp[[#This Row],[Vapor_CT]],Inhalation_Exp[[#This Row],[Mist_CT]],Inhalation_Exp[[#This Row],[Dust_CT]])</f>
        <v>2.0299999999999998</v>
      </c>
      <c r="P43" s="335">
        <f>((N43*ED_8)*WorkBreathRate)/IF(Inhalation_Exp[[#This Row],[Worker Type]]="Female of Reproductive Age",BW_F,BW_default)</f>
        <v>0.25374999999999998</v>
      </c>
      <c r="Q43" s="335">
        <f>((O43*ED_8)*WorkBreathRate)/IF(Inhalation_Exp[[#This Row],[Worker Type]]="Female of Reproductive Age",BW_F,BW_default)</f>
        <v>0.25374999999999998</v>
      </c>
      <c r="R43" s="335">
        <f>IF(EFID&gt;Inhalation_Exp[[#This Row],[ED_High-End]],Inhalation_Exp[[#This Row],[24hr_High-End]]*Inhalation_Exp[[#This Row],[ED_High-End]]/ID,Inhalation_Exp[[#This Row],[24hr_High-End]]*EFID/ID)</f>
        <v>0.18608333333333332</v>
      </c>
      <c r="S43" s="336">
        <f>IF(EFID&gt;Inhalation_Exp[[#This Row],[ED_Central Tendency]],Inhalation_Exp[[#This Row],[24hr_Central Tendency]]*Inhalation_Exp[[#This Row],[ED_Central Tendency]]/ID,Inhalation_Exp[[#This Row],[24hr_Central Tendency]]*EFID/ID)</f>
        <v>0.18608333333333332</v>
      </c>
      <c r="T43" s="335">
        <f t="shared" si="4"/>
        <v>0.17380136986301367</v>
      </c>
      <c r="U43" s="336">
        <f t="shared" si="5"/>
        <v>0.16128767123287671</v>
      </c>
      <c r="V43" s="329" t="s">
        <v>165</v>
      </c>
      <c r="W43" s="329" t="s">
        <v>165</v>
      </c>
      <c r="X43" s="10" t="s">
        <v>169</v>
      </c>
      <c r="Y43" s="330" t="s">
        <v>167</v>
      </c>
    </row>
    <row r="44" spans="1:25" ht="52" x14ac:dyDescent="0.3">
      <c r="A44" s="331"/>
      <c r="B44" s="337">
        <v>4</v>
      </c>
      <c r="C44" s="340" t="s">
        <v>401</v>
      </c>
      <c r="D44" s="322" t="s">
        <v>57</v>
      </c>
      <c r="E44" s="323" t="s">
        <v>164</v>
      </c>
      <c r="F44" s="323">
        <v>250</v>
      </c>
      <c r="G44" s="323">
        <v>232</v>
      </c>
      <c r="H44" s="332">
        <v>1.83E-2</v>
      </c>
      <c r="I44" s="332">
        <v>4.0000000000000001E-3</v>
      </c>
      <c r="J44" s="332"/>
      <c r="K44" s="332"/>
      <c r="L44" s="343"/>
      <c r="M44" s="343"/>
      <c r="N44" s="343">
        <f>SUM(Inhalation_Exp[[#This Row],[Vapor_HE]],Inhalation_Exp[[#This Row],[Mist_HE]],Inhalation_Exp[[#This Row],[Dust_HE]])</f>
        <v>1.83E-2</v>
      </c>
      <c r="O44" s="343">
        <f>SUM(Inhalation_Exp[[#This Row],[Vapor_CT]],Inhalation_Exp[[#This Row],[Mist_CT]],Inhalation_Exp[[#This Row],[Dust_CT]])</f>
        <v>4.0000000000000001E-3</v>
      </c>
      <c r="P44" s="327">
        <f>((N44*ED_8)*WorkBreathRate)/IF(Inhalation_Exp[[#This Row],[Worker Type]]="Female of Reproductive Age",BW_F,BW_default)</f>
        <v>2.2875E-3</v>
      </c>
      <c r="Q44" s="327">
        <f>((O44*ED_8)*WorkBreathRate)/IF(Inhalation_Exp[[#This Row],[Worker Type]]="Female of Reproductive Age",BW_F,BW_default)</f>
        <v>5.0000000000000001E-4</v>
      </c>
      <c r="R44" s="342">
        <f>IF(EFID&gt;Inhalation_Exp[[#This Row],[ED_High-End]],Inhalation_Exp[[#This Row],[24hr_High-End]]*Inhalation_Exp[[#This Row],[ED_High-End]]/ID,Inhalation_Exp[[#This Row],[24hr_High-End]]*EFID/ID)</f>
        <v>1.6775E-3</v>
      </c>
      <c r="S44" s="342">
        <f>IF(EFID&gt;Inhalation_Exp[[#This Row],[ED_Central Tendency]],Inhalation_Exp[[#This Row],[24hr_Central Tendency]]*Inhalation_Exp[[#This Row],[ED_Central Tendency]]/ID,Inhalation_Exp[[#This Row],[24hr_Central Tendency]]*EFID/ID)</f>
        <v>3.6666666666666667E-4</v>
      </c>
      <c r="T44" s="327">
        <f>P44*F44*WY_high/(WY_high*365)</f>
        <v>1.5667808219178082E-3</v>
      </c>
      <c r="U44" s="327">
        <f>Q44*G44*WY_mid/(WY_mid*365)</f>
        <v>3.178082191780822E-4</v>
      </c>
      <c r="V44" s="329" t="s">
        <v>165</v>
      </c>
      <c r="W44" s="329" t="s">
        <v>165</v>
      </c>
      <c r="X44" s="10" t="s">
        <v>166</v>
      </c>
      <c r="Y44" s="330" t="s">
        <v>167</v>
      </c>
    </row>
    <row r="45" spans="1:25" ht="52" x14ac:dyDescent="0.3">
      <c r="A45" s="331"/>
      <c r="B45" s="337">
        <v>4</v>
      </c>
      <c r="C45" s="340" t="s">
        <v>401</v>
      </c>
      <c r="D45" s="322" t="s">
        <v>168</v>
      </c>
      <c r="E45" s="323" t="s">
        <v>164</v>
      </c>
      <c r="F45" s="323">
        <v>250</v>
      </c>
      <c r="G45" s="323">
        <v>232</v>
      </c>
      <c r="H45" s="332">
        <v>1.83E-2</v>
      </c>
      <c r="I45" s="332">
        <v>4.0000000000000001E-3</v>
      </c>
      <c r="J45" s="332"/>
      <c r="K45" s="332"/>
      <c r="L45" s="343"/>
      <c r="M45" s="343"/>
      <c r="N45" s="343">
        <f>SUM(Inhalation_Exp[[#This Row],[Vapor_HE]],Inhalation_Exp[[#This Row],[Mist_HE]],Inhalation_Exp[[#This Row],[Dust_HE]])</f>
        <v>1.83E-2</v>
      </c>
      <c r="O45" s="343">
        <f>SUM(Inhalation_Exp[[#This Row],[Vapor_CT]],Inhalation_Exp[[#This Row],[Mist_CT]],Inhalation_Exp[[#This Row],[Dust_CT]])</f>
        <v>4.0000000000000001E-3</v>
      </c>
      <c r="P45" s="327">
        <f>((N45*ED_8)*WorkBreathRate)/IF(Inhalation_Exp[[#This Row],[Worker Type]]="Female of Reproductive Age",BW_F,BW_default)</f>
        <v>2.5267518122195371E-3</v>
      </c>
      <c r="Q45" s="327">
        <f>((O45*ED_8)*WorkBreathRate)/IF(Inhalation_Exp[[#This Row],[Worker Type]]="Female of Reproductive Age",BW_F,BW_default)</f>
        <v>5.5229547808077317E-4</v>
      </c>
      <c r="R45" s="342">
        <f>IF(EFID&gt;Inhalation_Exp[[#This Row],[ED_High-End]],Inhalation_Exp[[#This Row],[24hr_High-End]]*Inhalation_Exp[[#This Row],[ED_High-End]]/ID,Inhalation_Exp[[#This Row],[24hr_High-End]]*EFID/ID)</f>
        <v>1.8529513289609939E-3</v>
      </c>
      <c r="S45" s="342">
        <f>IF(EFID&gt;Inhalation_Exp[[#This Row],[ED_Central Tendency]],Inhalation_Exp[[#This Row],[24hr_Central Tendency]]*Inhalation_Exp[[#This Row],[ED_Central Tendency]]/ID,Inhalation_Exp[[#This Row],[24hr_Central Tendency]]*EFID/ID)</f>
        <v>4.0501668392590036E-4</v>
      </c>
      <c r="T45" s="327">
        <f>P45*F45*WY_high/(WY_high*365)</f>
        <v>1.7306519261777651E-3</v>
      </c>
      <c r="U45" s="327">
        <f>Q45*G45*WY_mid/(WY_mid*365)</f>
        <v>3.5104808469791607E-4</v>
      </c>
      <c r="V45" s="329" t="s">
        <v>165</v>
      </c>
      <c r="W45" s="329" t="s">
        <v>165</v>
      </c>
      <c r="X45" s="10" t="s">
        <v>166</v>
      </c>
      <c r="Y45" s="330" t="s">
        <v>167</v>
      </c>
    </row>
    <row r="46" spans="1:25" ht="26" x14ac:dyDescent="0.3">
      <c r="A46" s="331"/>
      <c r="B46" s="337">
        <v>4</v>
      </c>
      <c r="C46" s="340" t="s">
        <v>401</v>
      </c>
      <c r="D46" s="322" t="s">
        <v>74</v>
      </c>
      <c r="E46" s="323" t="s">
        <v>164</v>
      </c>
      <c r="F46" s="323">
        <v>250</v>
      </c>
      <c r="G46" s="323">
        <v>232</v>
      </c>
      <c r="H46" s="332">
        <v>4.0000000000000001E-3</v>
      </c>
      <c r="I46" s="332">
        <v>4.0000000000000001E-3</v>
      </c>
      <c r="J46" s="332"/>
      <c r="K46" s="332"/>
      <c r="L46" s="343"/>
      <c r="M46" s="343"/>
      <c r="N46" s="343">
        <f>SUM(Inhalation_Exp[[#This Row],[Vapor_HE]],Inhalation_Exp[[#This Row],[Mist_HE]],Inhalation_Exp[[#This Row],[Dust_HE]])</f>
        <v>4.0000000000000001E-3</v>
      </c>
      <c r="O46" s="343">
        <f>SUM(Inhalation_Exp[[#This Row],[Vapor_CT]],Inhalation_Exp[[#This Row],[Mist_CT]],Inhalation_Exp[[#This Row],[Dust_CT]])</f>
        <v>4.0000000000000001E-3</v>
      </c>
      <c r="P46" s="327">
        <f>((N46*ED_8)*WorkBreathRate)/IF(Inhalation_Exp[[#This Row],[Worker Type]]="Female of Reproductive Age",BW_F,BW_default)</f>
        <v>5.0000000000000001E-4</v>
      </c>
      <c r="Q46" s="327">
        <f>((O46*ED_8)*WorkBreathRate)/IF(Inhalation_Exp[[#This Row],[Worker Type]]="Female of Reproductive Age",BW_F,BW_default)</f>
        <v>5.0000000000000001E-4</v>
      </c>
      <c r="R46" s="342">
        <f>IF(EFID&gt;Inhalation_Exp[[#This Row],[ED_High-End]],Inhalation_Exp[[#This Row],[24hr_High-End]]*Inhalation_Exp[[#This Row],[ED_High-End]]/ID,Inhalation_Exp[[#This Row],[24hr_High-End]]*EFID/ID)</f>
        <v>3.6666666666666667E-4</v>
      </c>
      <c r="S46" s="342">
        <f>IF(EFID&gt;Inhalation_Exp[[#This Row],[ED_Central Tendency]],Inhalation_Exp[[#This Row],[24hr_Central Tendency]]*Inhalation_Exp[[#This Row],[ED_Central Tendency]]/ID,Inhalation_Exp[[#This Row],[24hr_Central Tendency]]*EFID/ID)</f>
        <v>3.6666666666666667E-4</v>
      </c>
      <c r="T46" s="327">
        <f>P46*F46*WY_high/(WY_high*365)</f>
        <v>3.4246575342465754E-4</v>
      </c>
      <c r="U46" s="327">
        <f>Q46*G46*WY_mid/(WY_mid*365)</f>
        <v>3.178082191780822E-4</v>
      </c>
      <c r="V46" s="329" t="s">
        <v>165</v>
      </c>
      <c r="W46" s="329" t="s">
        <v>165</v>
      </c>
      <c r="X46" s="10" t="s">
        <v>169</v>
      </c>
      <c r="Y46" s="330" t="s">
        <v>167</v>
      </c>
    </row>
    <row r="47" spans="1:25" ht="52" x14ac:dyDescent="0.3">
      <c r="A47" s="331"/>
      <c r="B47" s="337">
        <v>5</v>
      </c>
      <c r="C47" s="338" t="s">
        <v>179</v>
      </c>
      <c r="D47" s="322" t="s">
        <v>57</v>
      </c>
      <c r="E47" s="323" t="s">
        <v>164</v>
      </c>
      <c r="F47" s="323">
        <v>250</v>
      </c>
      <c r="G47" s="323">
        <v>235</v>
      </c>
      <c r="H47" s="332">
        <v>1.83E-2</v>
      </c>
      <c r="I47" s="332">
        <v>4.0000000000000001E-3</v>
      </c>
      <c r="J47" s="332"/>
      <c r="K47" s="332"/>
      <c r="L47" s="333"/>
      <c r="M47" s="333"/>
      <c r="N47" s="334">
        <f>SUM(Inhalation_Exp[[#This Row],[Vapor_HE]],Inhalation_Exp[[#This Row],[Mist_HE]],Inhalation_Exp[[#This Row],[Dust_HE]])</f>
        <v>1.83E-2</v>
      </c>
      <c r="O47" s="334">
        <f>SUM(Inhalation_Exp[[#This Row],[Vapor_CT]],Inhalation_Exp[[#This Row],[Mist_CT]],Inhalation_Exp[[#This Row],[Dust_CT]])</f>
        <v>4.0000000000000001E-3</v>
      </c>
      <c r="P47" s="335">
        <f>((N47*ED_8)*WorkBreathRate)/IF(Inhalation_Exp[[#This Row],[Worker Type]]="Female of Reproductive Age",BW_F,BW_default)</f>
        <v>2.2875E-3</v>
      </c>
      <c r="Q47" s="336">
        <f>((O47*ED_8)*WorkBreathRate)/IF(Inhalation_Exp[[#This Row],[Worker Type]]="Female of Reproductive Age",BW_F,BW_default)</f>
        <v>5.0000000000000001E-4</v>
      </c>
      <c r="R47" s="335">
        <f>IF(EFID&gt;Inhalation_Exp[[#This Row],[ED_High-End]],Inhalation_Exp[[#This Row],[24hr_High-End]]*Inhalation_Exp[[#This Row],[ED_High-End]]/ID,Inhalation_Exp[[#This Row],[24hr_High-End]]*EFID/ID)</f>
        <v>1.6775E-3</v>
      </c>
      <c r="S47" s="336">
        <f>IF(EFID&gt;Inhalation_Exp[[#This Row],[ED_Central Tendency]],Inhalation_Exp[[#This Row],[24hr_Central Tendency]]*Inhalation_Exp[[#This Row],[ED_Central Tendency]]/ID,Inhalation_Exp[[#This Row],[24hr_Central Tendency]]*EFID/ID)</f>
        <v>3.6666666666666667E-4</v>
      </c>
      <c r="T47" s="335">
        <f t="shared" si="4"/>
        <v>1.5667808219178082E-3</v>
      </c>
      <c r="U47" s="336">
        <f t="shared" si="5"/>
        <v>3.2191780821917807E-4</v>
      </c>
      <c r="V47" s="329" t="s">
        <v>165</v>
      </c>
      <c r="W47" s="329" t="s">
        <v>165</v>
      </c>
      <c r="X47" s="10" t="s">
        <v>166</v>
      </c>
      <c r="Y47" s="330" t="s">
        <v>167</v>
      </c>
    </row>
    <row r="48" spans="1:25" ht="52" x14ac:dyDescent="0.3">
      <c r="A48" s="331"/>
      <c r="B48" s="337">
        <v>5</v>
      </c>
      <c r="C48" s="338" t="s">
        <v>179</v>
      </c>
      <c r="D48" s="322" t="s">
        <v>168</v>
      </c>
      <c r="E48" s="323" t="s">
        <v>164</v>
      </c>
      <c r="F48" s="323">
        <v>250</v>
      </c>
      <c r="G48" s="323">
        <v>235</v>
      </c>
      <c r="H48" s="332">
        <v>1.83E-2</v>
      </c>
      <c r="I48" s="332">
        <v>4.0000000000000001E-3</v>
      </c>
      <c r="J48" s="332"/>
      <c r="K48" s="332"/>
      <c r="L48" s="343"/>
      <c r="M48" s="343"/>
      <c r="N48" s="343">
        <f>SUM(Inhalation_Exp[[#This Row],[Vapor_HE]],Inhalation_Exp[[#This Row],[Mist_HE]],Inhalation_Exp[[#This Row],[Dust_HE]])</f>
        <v>1.83E-2</v>
      </c>
      <c r="O48" s="343">
        <f>SUM(Inhalation_Exp[[#This Row],[Vapor_CT]],Inhalation_Exp[[#This Row],[Mist_CT]],Inhalation_Exp[[#This Row],[Dust_CT]])</f>
        <v>4.0000000000000001E-3</v>
      </c>
      <c r="P48" s="335">
        <f>((N48*ED_8)*WorkBreathRate)/IF(Inhalation_Exp[[#This Row],[Worker Type]]="Female of Reproductive Age",BW_F,BW_default)</f>
        <v>2.5267518122195371E-3</v>
      </c>
      <c r="Q48" s="335">
        <f>((O48*ED_8)*WorkBreathRate)/IF(Inhalation_Exp[[#This Row],[Worker Type]]="Female of Reproductive Age",BW_F,BW_default)</f>
        <v>5.5229547808077317E-4</v>
      </c>
      <c r="R48" s="335">
        <f>IF(EFID&gt;Inhalation_Exp[[#This Row],[ED_High-End]],Inhalation_Exp[[#This Row],[24hr_High-End]]*Inhalation_Exp[[#This Row],[ED_High-End]]/ID,Inhalation_Exp[[#This Row],[24hr_High-End]]*EFID/ID)</f>
        <v>1.8529513289609939E-3</v>
      </c>
      <c r="S48" s="336">
        <f>IF(EFID&gt;Inhalation_Exp[[#This Row],[ED_Central Tendency]],Inhalation_Exp[[#This Row],[24hr_Central Tendency]]*Inhalation_Exp[[#This Row],[ED_Central Tendency]]/ID,Inhalation_Exp[[#This Row],[24hr_Central Tendency]]*EFID/ID)</f>
        <v>4.0501668392590036E-4</v>
      </c>
      <c r="T48" s="335">
        <f t="shared" si="4"/>
        <v>1.7306519261777651E-3</v>
      </c>
      <c r="U48" s="336">
        <f t="shared" si="5"/>
        <v>3.555874995862512E-4</v>
      </c>
      <c r="V48" s="329" t="s">
        <v>165</v>
      </c>
      <c r="W48" s="329" t="s">
        <v>165</v>
      </c>
      <c r="X48" s="10" t="s">
        <v>166</v>
      </c>
      <c r="Y48" s="330" t="s">
        <v>167</v>
      </c>
    </row>
    <row r="49" spans="1:25" ht="29" x14ac:dyDescent="0.3">
      <c r="A49" s="331"/>
      <c r="B49" s="337">
        <v>5</v>
      </c>
      <c r="C49" s="338" t="s">
        <v>179</v>
      </c>
      <c r="D49" s="322" t="s">
        <v>74</v>
      </c>
      <c r="E49" s="323" t="s">
        <v>164</v>
      </c>
      <c r="F49" s="323">
        <v>250</v>
      </c>
      <c r="G49" s="323">
        <v>235</v>
      </c>
      <c r="H49" s="332">
        <v>4.0000000000000001E-3</v>
      </c>
      <c r="I49" s="332">
        <v>4.0000000000000001E-3</v>
      </c>
      <c r="J49" s="332"/>
      <c r="K49" s="332"/>
      <c r="L49" s="343"/>
      <c r="M49" s="343"/>
      <c r="N49" s="343">
        <f>SUM(Inhalation_Exp[[#This Row],[Vapor_HE]],Inhalation_Exp[[#This Row],[Mist_HE]],Inhalation_Exp[[#This Row],[Dust_HE]])</f>
        <v>4.0000000000000001E-3</v>
      </c>
      <c r="O49" s="343">
        <f>SUM(Inhalation_Exp[[#This Row],[Vapor_CT]],Inhalation_Exp[[#This Row],[Mist_CT]],Inhalation_Exp[[#This Row],[Dust_CT]])</f>
        <v>4.0000000000000001E-3</v>
      </c>
      <c r="P49" s="335">
        <f>((N49*ED_8)*WorkBreathRate)/IF(Inhalation_Exp[[#This Row],[Worker Type]]="Female of Reproductive Age",BW_F,BW_default)</f>
        <v>5.0000000000000001E-4</v>
      </c>
      <c r="Q49" s="335">
        <f>((O49*ED_8)*WorkBreathRate)/IF(Inhalation_Exp[[#This Row],[Worker Type]]="Female of Reproductive Age",BW_F,BW_default)</f>
        <v>5.0000000000000001E-4</v>
      </c>
      <c r="R49" s="335">
        <f>IF(EFID&gt;Inhalation_Exp[[#This Row],[ED_High-End]],Inhalation_Exp[[#This Row],[24hr_High-End]]*Inhalation_Exp[[#This Row],[ED_High-End]]/ID,Inhalation_Exp[[#This Row],[24hr_High-End]]*EFID/ID)</f>
        <v>3.6666666666666667E-4</v>
      </c>
      <c r="S49" s="336">
        <f>IF(EFID&gt;Inhalation_Exp[[#This Row],[ED_Central Tendency]],Inhalation_Exp[[#This Row],[24hr_Central Tendency]]*Inhalation_Exp[[#This Row],[ED_Central Tendency]]/ID,Inhalation_Exp[[#This Row],[24hr_Central Tendency]]*EFID/ID)</f>
        <v>3.6666666666666667E-4</v>
      </c>
      <c r="T49" s="335">
        <f t="shared" si="4"/>
        <v>3.4246575342465754E-4</v>
      </c>
      <c r="U49" s="336">
        <f t="shared" si="5"/>
        <v>3.2191780821917807E-4</v>
      </c>
      <c r="V49" s="329" t="s">
        <v>165</v>
      </c>
      <c r="W49" s="329" t="s">
        <v>165</v>
      </c>
      <c r="X49" s="10" t="s">
        <v>169</v>
      </c>
      <c r="Y49" s="330" t="s">
        <v>167</v>
      </c>
    </row>
    <row r="50" spans="1:25" ht="78" x14ac:dyDescent="0.3">
      <c r="A50" s="331"/>
      <c r="B50" s="337">
        <v>5</v>
      </c>
      <c r="C50" s="338" t="s">
        <v>180</v>
      </c>
      <c r="D50" s="322" t="s">
        <v>57</v>
      </c>
      <c r="E50" s="323" t="s">
        <v>164</v>
      </c>
      <c r="F50" s="323">
        <v>250</v>
      </c>
      <c r="G50" s="323">
        <v>235</v>
      </c>
      <c r="H50" s="343"/>
      <c r="I50" s="343"/>
      <c r="J50" s="332"/>
      <c r="K50" s="332"/>
      <c r="L50" s="341">
        <v>2.7000000000000001E-3</v>
      </c>
      <c r="M50" s="341">
        <v>1.9000000000000001E-4</v>
      </c>
      <c r="N50" s="341">
        <f>SUM(Inhalation_Exp[[#This Row],[Vapor_HE]],Inhalation_Exp[[#This Row],[Mist_HE]],Inhalation_Exp[[#This Row],[Dust_HE]])</f>
        <v>2.7000000000000001E-3</v>
      </c>
      <c r="O50" s="341">
        <f>SUM(Inhalation_Exp[[#This Row],[Vapor_CT]],Inhalation_Exp[[#This Row],[Mist_CT]],Inhalation_Exp[[#This Row],[Dust_CT]])</f>
        <v>1.9000000000000001E-4</v>
      </c>
      <c r="P50" s="335">
        <f>((N50*ED_8)*WorkBreathRate)/IF(Inhalation_Exp[[#This Row],[Worker Type]]="Female of Reproductive Age",BW_F,BW_default)</f>
        <v>3.3750000000000002E-4</v>
      </c>
      <c r="Q50" s="336">
        <f>((O50*ED_8)*WorkBreathRate)/IF(Inhalation_Exp[[#This Row],[Worker Type]]="Female of Reproductive Age",BW_F,BW_default)</f>
        <v>2.3750000000000001E-5</v>
      </c>
      <c r="R50" s="335">
        <f>IF(EFID&gt;Inhalation_Exp[[#This Row],[ED_High-End]],Inhalation_Exp[[#This Row],[24hr_High-End]]*Inhalation_Exp[[#This Row],[ED_High-End]]/ID,Inhalation_Exp[[#This Row],[24hr_High-End]]*EFID/ID)</f>
        <v>2.475E-4</v>
      </c>
      <c r="S50" s="336">
        <f>IF(EFID&gt;Inhalation_Exp[[#This Row],[ED_Central Tendency]],Inhalation_Exp[[#This Row],[24hr_Central Tendency]]*Inhalation_Exp[[#This Row],[ED_Central Tendency]]/ID,Inhalation_Exp[[#This Row],[24hr_Central Tendency]]*EFID/ID)</f>
        <v>1.7416666666666669E-5</v>
      </c>
      <c r="T50" s="335">
        <f t="shared" si="4"/>
        <v>2.3116438356164383E-4</v>
      </c>
      <c r="U50" s="336">
        <f t="shared" si="5"/>
        <v>1.5291095890410958E-5</v>
      </c>
      <c r="V50" s="329" t="s">
        <v>165</v>
      </c>
      <c r="W50" s="329" t="s">
        <v>165</v>
      </c>
      <c r="X50" s="10" t="s">
        <v>173</v>
      </c>
      <c r="Y50" s="330" t="s">
        <v>167</v>
      </c>
    </row>
    <row r="51" spans="1:25" ht="78" x14ac:dyDescent="0.3">
      <c r="A51" s="331"/>
      <c r="B51" s="337">
        <v>5</v>
      </c>
      <c r="C51" s="338" t="s">
        <v>180</v>
      </c>
      <c r="D51" s="322" t="s">
        <v>168</v>
      </c>
      <c r="E51" s="323" t="s">
        <v>164</v>
      </c>
      <c r="F51" s="323">
        <v>250</v>
      </c>
      <c r="G51" s="323">
        <v>235</v>
      </c>
      <c r="H51" s="343"/>
      <c r="I51" s="343"/>
      <c r="J51" s="332"/>
      <c r="K51" s="332"/>
      <c r="L51" s="341">
        <v>2.7000000000000001E-3</v>
      </c>
      <c r="M51" s="341">
        <v>1.9000000000000001E-4</v>
      </c>
      <c r="N51" s="341">
        <f>SUM(Inhalation_Exp[[#This Row],[Vapor_HE]],Inhalation_Exp[[#This Row],[Mist_HE]],Inhalation_Exp[[#This Row],[Dust_HE]])</f>
        <v>2.7000000000000001E-3</v>
      </c>
      <c r="O51" s="341">
        <f>SUM(Inhalation_Exp[[#This Row],[Vapor_CT]],Inhalation_Exp[[#This Row],[Mist_CT]],Inhalation_Exp[[#This Row],[Dust_CT]])</f>
        <v>1.9000000000000001E-4</v>
      </c>
      <c r="P51" s="335">
        <f>((N51*ED_8)*WorkBreathRate)/IF(Inhalation_Exp[[#This Row],[Worker Type]]="Female of Reproductive Age",BW_F,BW_default)</f>
        <v>3.7279944770452189E-4</v>
      </c>
      <c r="Q51" s="335">
        <f>((O51*ED_8)*WorkBreathRate)/IF(Inhalation_Exp[[#This Row],[Worker Type]]="Female of Reproductive Age",BW_F,BW_default)</f>
        <v>2.6234035208836728E-5</v>
      </c>
      <c r="R51" s="335">
        <f>IF(EFID&gt;Inhalation_Exp[[#This Row],[ED_High-End]],Inhalation_Exp[[#This Row],[24hr_High-End]]*Inhalation_Exp[[#This Row],[ED_High-End]]/ID,Inhalation_Exp[[#This Row],[24hr_High-End]]*EFID/ID)</f>
        <v>2.7338626164998269E-4</v>
      </c>
      <c r="S51" s="336">
        <f>IF(EFID&gt;Inhalation_Exp[[#This Row],[ED_Central Tendency]],Inhalation_Exp[[#This Row],[24hr_Central Tendency]]*Inhalation_Exp[[#This Row],[ED_Central Tendency]]/ID,Inhalation_Exp[[#This Row],[24hr_Central Tendency]]*EFID/ID)</f>
        <v>1.9238292486480268E-5</v>
      </c>
      <c r="T51" s="335">
        <f t="shared" si="4"/>
        <v>2.5534208746885061E-4</v>
      </c>
      <c r="U51" s="336">
        <f t="shared" si="5"/>
        <v>1.6890406230346934E-5</v>
      </c>
      <c r="V51" s="329" t="s">
        <v>165</v>
      </c>
      <c r="W51" s="329" t="s">
        <v>165</v>
      </c>
      <c r="X51" s="10" t="s">
        <v>173</v>
      </c>
      <c r="Y51" s="330" t="s">
        <v>167</v>
      </c>
    </row>
    <row r="52" spans="1:25" ht="29" x14ac:dyDescent="0.3">
      <c r="A52" s="331"/>
      <c r="B52" s="337">
        <v>5</v>
      </c>
      <c r="C52" s="338" t="s">
        <v>180</v>
      </c>
      <c r="D52" s="322" t="s">
        <v>74</v>
      </c>
      <c r="E52" s="323" t="s">
        <v>164</v>
      </c>
      <c r="F52" s="323">
        <v>250</v>
      </c>
      <c r="G52" s="323">
        <v>235</v>
      </c>
      <c r="H52" s="343"/>
      <c r="I52" s="343"/>
      <c r="J52" s="332"/>
      <c r="K52" s="332"/>
      <c r="L52" s="341">
        <v>1.9000000000000001E-4</v>
      </c>
      <c r="M52" s="341">
        <v>1.9000000000000001E-4</v>
      </c>
      <c r="N52" s="341">
        <f>SUM(Inhalation_Exp[[#This Row],[Vapor_HE]],Inhalation_Exp[[#This Row],[Mist_HE]],Inhalation_Exp[[#This Row],[Dust_HE]])</f>
        <v>1.9000000000000001E-4</v>
      </c>
      <c r="O52" s="341">
        <f>SUM(Inhalation_Exp[[#This Row],[Vapor_CT]],Inhalation_Exp[[#This Row],[Mist_CT]],Inhalation_Exp[[#This Row],[Dust_CT]])</f>
        <v>1.9000000000000001E-4</v>
      </c>
      <c r="P52" s="335">
        <f>((N52*ED_8)*WorkBreathRate)/IF(Inhalation_Exp[[#This Row],[Worker Type]]="Female of Reproductive Age",BW_F,BW_default)</f>
        <v>2.3750000000000001E-5</v>
      </c>
      <c r="Q52" s="335">
        <f>((O52*ED_8)*WorkBreathRate)/IF(Inhalation_Exp[[#This Row],[Worker Type]]="Female of Reproductive Age",BW_F,BW_default)</f>
        <v>2.3750000000000001E-5</v>
      </c>
      <c r="R52" s="335">
        <f>IF(EFID&gt;Inhalation_Exp[[#This Row],[ED_High-End]],Inhalation_Exp[[#This Row],[24hr_High-End]]*Inhalation_Exp[[#This Row],[ED_High-End]]/ID,Inhalation_Exp[[#This Row],[24hr_High-End]]*EFID/ID)</f>
        <v>1.7416666666666669E-5</v>
      </c>
      <c r="S52" s="336">
        <f>IF(EFID&gt;Inhalation_Exp[[#This Row],[ED_Central Tendency]],Inhalation_Exp[[#This Row],[24hr_Central Tendency]]*Inhalation_Exp[[#This Row],[ED_Central Tendency]]/ID,Inhalation_Exp[[#This Row],[24hr_Central Tendency]]*EFID/ID)</f>
        <v>1.7416666666666669E-5</v>
      </c>
      <c r="T52" s="335">
        <f t="shared" si="4"/>
        <v>1.6267123287671232E-5</v>
      </c>
      <c r="U52" s="336">
        <f t="shared" si="5"/>
        <v>1.5291095890410958E-5</v>
      </c>
      <c r="V52" s="329" t="s">
        <v>165</v>
      </c>
      <c r="W52" s="329" t="s">
        <v>165</v>
      </c>
      <c r="X52" s="10" t="s">
        <v>169</v>
      </c>
      <c r="Y52" s="330" t="s">
        <v>167</v>
      </c>
    </row>
    <row r="53" spans="1:25" ht="78" x14ac:dyDescent="0.3">
      <c r="A53" s="331"/>
      <c r="B53" s="337">
        <v>6</v>
      </c>
      <c r="C53" s="338" t="s">
        <v>181</v>
      </c>
      <c r="D53" s="322" t="s">
        <v>57</v>
      </c>
      <c r="E53" s="323" t="s">
        <v>164</v>
      </c>
      <c r="F53" s="323">
        <v>250</v>
      </c>
      <c r="G53" s="323">
        <v>223</v>
      </c>
      <c r="H53" s="332">
        <v>1.83E-2</v>
      </c>
      <c r="I53" s="332">
        <v>4.0000000000000001E-3</v>
      </c>
      <c r="J53" s="332"/>
      <c r="K53" s="332"/>
      <c r="L53" s="341">
        <v>0.7</v>
      </c>
      <c r="M53" s="341">
        <v>4.8000000000000001E-2</v>
      </c>
      <c r="N53" s="341">
        <f>SUM(Inhalation_Exp[[#This Row],[Vapor_HE]],Inhalation_Exp[[#This Row],[Mist_HE]],Inhalation_Exp[[#This Row],[Dust_HE]])</f>
        <v>0.71829999999999994</v>
      </c>
      <c r="O53" s="341">
        <f>SUM(Inhalation_Exp[[#This Row],[Vapor_CT]],Inhalation_Exp[[#This Row],[Mist_CT]],Inhalation_Exp[[#This Row],[Dust_CT]])</f>
        <v>5.2000000000000005E-2</v>
      </c>
      <c r="P53" s="335">
        <f>((N53*ED_8)*WorkBreathRate)/IF(Inhalation_Exp[[#This Row],[Worker Type]]="Female of Reproductive Age",BW_F,BW_default)</f>
        <v>8.9787499999999992E-2</v>
      </c>
      <c r="Q53" s="336">
        <f>((O53*ED_8)*WorkBreathRate)/IF(Inhalation_Exp[[#This Row],[Worker Type]]="Female of Reproductive Age",BW_F,BW_default)</f>
        <v>6.5000000000000006E-3</v>
      </c>
      <c r="R53" s="335">
        <f>IF(EFID&gt;Inhalation_Exp[[#This Row],[ED_High-End]],Inhalation_Exp[[#This Row],[24hr_High-End]]*Inhalation_Exp[[#This Row],[ED_High-End]]/ID,Inhalation_Exp[[#This Row],[24hr_High-End]]*EFID/ID)</f>
        <v>6.5844166666666662E-2</v>
      </c>
      <c r="S53" s="336">
        <f>IF(EFID&gt;Inhalation_Exp[[#This Row],[ED_Central Tendency]],Inhalation_Exp[[#This Row],[24hr_Central Tendency]]*Inhalation_Exp[[#This Row],[ED_Central Tendency]]/ID,Inhalation_Exp[[#This Row],[24hr_Central Tendency]]*EFID/ID)</f>
        <v>4.7666666666666673E-3</v>
      </c>
      <c r="T53" s="335">
        <f t="shared" si="4"/>
        <v>6.1498287671232874E-2</v>
      </c>
      <c r="U53" s="336">
        <f t="shared" si="5"/>
        <v>3.9712328767123294E-3</v>
      </c>
      <c r="V53" s="329" t="s">
        <v>165</v>
      </c>
      <c r="W53" s="329" t="s">
        <v>165</v>
      </c>
      <c r="X53" s="10" t="s">
        <v>173</v>
      </c>
      <c r="Y53" s="330" t="s">
        <v>167</v>
      </c>
    </row>
    <row r="54" spans="1:25" ht="78" x14ac:dyDescent="0.3">
      <c r="A54" s="331"/>
      <c r="B54" s="337">
        <v>6</v>
      </c>
      <c r="C54" s="338" t="s">
        <v>181</v>
      </c>
      <c r="D54" s="322" t="s">
        <v>168</v>
      </c>
      <c r="E54" s="323" t="s">
        <v>164</v>
      </c>
      <c r="F54" s="323">
        <v>250</v>
      </c>
      <c r="G54" s="323">
        <v>223</v>
      </c>
      <c r="H54" s="332">
        <v>1.83E-2</v>
      </c>
      <c r="I54" s="332">
        <v>4.0000000000000001E-3</v>
      </c>
      <c r="J54" s="332"/>
      <c r="K54" s="332"/>
      <c r="L54" s="341">
        <v>0.7</v>
      </c>
      <c r="M54" s="341">
        <v>4.8000000000000001E-2</v>
      </c>
      <c r="N54" s="341">
        <f>SUM(Inhalation_Exp[[#This Row],[Vapor_HE]],Inhalation_Exp[[#This Row],[Mist_HE]],Inhalation_Exp[[#This Row],[Dust_HE]])</f>
        <v>0.71829999999999994</v>
      </c>
      <c r="O54" s="341">
        <f>SUM(Inhalation_Exp[[#This Row],[Vapor_CT]],Inhalation_Exp[[#This Row],[Mist_CT]],Inhalation_Exp[[#This Row],[Dust_CT]])</f>
        <v>5.2000000000000005E-2</v>
      </c>
      <c r="P54" s="335">
        <f>((N54*ED_8)*WorkBreathRate)/IF(Inhalation_Exp[[#This Row],[Worker Type]]="Female of Reproductive Age",BW_F,BW_default)</f>
        <v>9.9178460476354827E-2</v>
      </c>
      <c r="Q54" s="335">
        <f>((O54*ED_8)*WorkBreathRate)/IF(Inhalation_Exp[[#This Row],[Worker Type]]="Female of Reproductive Age",BW_F,BW_default)</f>
        <v>7.1798412150500509E-3</v>
      </c>
      <c r="R54" s="335">
        <f>IF(EFID&gt;Inhalation_Exp[[#This Row],[ED_High-End]],Inhalation_Exp[[#This Row],[24hr_High-End]]*Inhalation_Exp[[#This Row],[ED_High-End]]/ID,Inhalation_Exp[[#This Row],[24hr_High-End]]*EFID/ID)</f>
        <v>7.2730871015993542E-2</v>
      </c>
      <c r="S54" s="336">
        <f>IF(EFID&gt;Inhalation_Exp[[#This Row],[ED_Central Tendency]],Inhalation_Exp[[#This Row],[24hr_Central Tendency]]*Inhalation_Exp[[#This Row],[ED_Central Tendency]]/ID,Inhalation_Exp[[#This Row],[24hr_Central Tendency]]*EFID/ID)</f>
        <v>5.2652168910367041E-3</v>
      </c>
      <c r="T54" s="335">
        <f t="shared" si="4"/>
        <v>6.7930452381064946E-2</v>
      </c>
      <c r="U54" s="336">
        <f t="shared" si="5"/>
        <v>4.3865879204278398E-3</v>
      </c>
      <c r="V54" s="329" t="s">
        <v>165</v>
      </c>
      <c r="W54" s="329" t="s">
        <v>165</v>
      </c>
      <c r="X54" s="10" t="s">
        <v>173</v>
      </c>
      <c r="Y54" s="330" t="s">
        <v>167</v>
      </c>
    </row>
    <row r="55" spans="1:25" ht="26" x14ac:dyDescent="0.3">
      <c r="A55" s="331"/>
      <c r="B55" s="337">
        <v>6</v>
      </c>
      <c r="C55" s="338" t="s">
        <v>181</v>
      </c>
      <c r="D55" s="322" t="s">
        <v>74</v>
      </c>
      <c r="E55" s="323" t="s">
        <v>164</v>
      </c>
      <c r="F55" s="323">
        <v>250</v>
      </c>
      <c r="G55" s="323">
        <v>223</v>
      </c>
      <c r="H55" s="332">
        <v>4.0000000000000001E-3</v>
      </c>
      <c r="I55" s="332">
        <v>4.0000000000000001E-3</v>
      </c>
      <c r="J55" s="332"/>
      <c r="K55" s="332"/>
      <c r="L55" s="341">
        <v>4.8000000000000001E-2</v>
      </c>
      <c r="M55" s="341">
        <v>4.8000000000000001E-2</v>
      </c>
      <c r="N55" s="341">
        <f>SUM(Inhalation_Exp[[#This Row],[Vapor_HE]],Inhalation_Exp[[#This Row],[Mist_HE]],Inhalation_Exp[[#This Row],[Dust_HE]])</f>
        <v>5.2000000000000005E-2</v>
      </c>
      <c r="O55" s="341">
        <f>SUM(Inhalation_Exp[[#This Row],[Vapor_CT]],Inhalation_Exp[[#This Row],[Mist_CT]],Inhalation_Exp[[#This Row],[Dust_CT]])</f>
        <v>5.2000000000000005E-2</v>
      </c>
      <c r="P55" s="335">
        <f>((N55*ED_8)*WorkBreathRate)/IF(Inhalation_Exp[[#This Row],[Worker Type]]="Female of Reproductive Age",BW_F,BW_default)</f>
        <v>6.5000000000000006E-3</v>
      </c>
      <c r="Q55" s="335">
        <f>((O55*ED_8)*WorkBreathRate)/IF(Inhalation_Exp[[#This Row],[Worker Type]]="Female of Reproductive Age",BW_F,BW_default)</f>
        <v>6.5000000000000006E-3</v>
      </c>
      <c r="R55" s="335">
        <f>IF(EFID&gt;Inhalation_Exp[[#This Row],[ED_High-End]],Inhalation_Exp[[#This Row],[24hr_High-End]]*Inhalation_Exp[[#This Row],[ED_High-End]]/ID,Inhalation_Exp[[#This Row],[24hr_High-End]]*EFID/ID)</f>
        <v>4.7666666666666673E-3</v>
      </c>
      <c r="S55" s="336">
        <f>IF(EFID&gt;Inhalation_Exp[[#This Row],[ED_Central Tendency]],Inhalation_Exp[[#This Row],[24hr_Central Tendency]]*Inhalation_Exp[[#This Row],[ED_Central Tendency]]/ID,Inhalation_Exp[[#This Row],[24hr_Central Tendency]]*EFID/ID)</f>
        <v>4.7666666666666673E-3</v>
      </c>
      <c r="T55" s="335">
        <f t="shared" si="4"/>
        <v>4.4520547945205487E-3</v>
      </c>
      <c r="U55" s="336">
        <f t="shared" si="5"/>
        <v>3.9712328767123294E-3</v>
      </c>
      <c r="V55" s="329" t="s">
        <v>165</v>
      </c>
      <c r="W55" s="329" t="s">
        <v>165</v>
      </c>
      <c r="X55" s="10" t="s">
        <v>169</v>
      </c>
      <c r="Y55" s="330" t="s">
        <v>167</v>
      </c>
    </row>
    <row r="56" spans="1:25" ht="78" x14ac:dyDescent="0.3">
      <c r="A56" s="331"/>
      <c r="B56" s="337">
        <v>6</v>
      </c>
      <c r="C56" s="338" t="s">
        <v>182</v>
      </c>
      <c r="D56" s="322" t="s">
        <v>57</v>
      </c>
      <c r="E56" s="323" t="s">
        <v>164</v>
      </c>
      <c r="F56" s="323">
        <v>250</v>
      </c>
      <c r="G56" s="323">
        <v>223</v>
      </c>
      <c r="H56" s="332">
        <v>1.83E-2</v>
      </c>
      <c r="I56" s="332">
        <v>4.0000000000000001E-3</v>
      </c>
      <c r="J56" s="332"/>
      <c r="K56" s="332"/>
      <c r="L56" s="341">
        <v>0.7</v>
      </c>
      <c r="M56" s="341">
        <v>4.8000000000000001E-2</v>
      </c>
      <c r="N56" s="341">
        <f>SUM(Inhalation_Exp[[#This Row],[Vapor_HE]],Inhalation_Exp[[#This Row],[Mist_HE]],Inhalation_Exp[[#This Row],[Dust_HE]])</f>
        <v>0.71829999999999994</v>
      </c>
      <c r="O56" s="341">
        <f>SUM(Inhalation_Exp[[#This Row],[Vapor_CT]],Inhalation_Exp[[#This Row],[Mist_CT]],Inhalation_Exp[[#This Row],[Dust_CT]])</f>
        <v>5.2000000000000005E-2</v>
      </c>
      <c r="P56" s="335">
        <f>((N56*ED_8)*WorkBreathRate)/IF(Inhalation_Exp[[#This Row],[Worker Type]]="Female of Reproductive Age",BW_F,BW_default)</f>
        <v>8.9787499999999992E-2</v>
      </c>
      <c r="Q56" s="336">
        <f>((O56*ED_8)*WorkBreathRate)/IF(Inhalation_Exp[[#This Row],[Worker Type]]="Female of Reproductive Age",BW_F,BW_default)</f>
        <v>6.5000000000000006E-3</v>
      </c>
      <c r="R56" s="335">
        <f>IF(EFID&gt;Inhalation_Exp[[#This Row],[ED_High-End]],Inhalation_Exp[[#This Row],[24hr_High-End]]*Inhalation_Exp[[#This Row],[ED_High-End]]/ID,Inhalation_Exp[[#This Row],[24hr_High-End]]*EFID/ID)</f>
        <v>6.5844166666666662E-2</v>
      </c>
      <c r="S56" s="336">
        <f>IF(EFID&gt;Inhalation_Exp[[#This Row],[ED_Central Tendency]],Inhalation_Exp[[#This Row],[24hr_Central Tendency]]*Inhalation_Exp[[#This Row],[ED_Central Tendency]]/ID,Inhalation_Exp[[#This Row],[24hr_Central Tendency]]*EFID/ID)</f>
        <v>4.7666666666666673E-3</v>
      </c>
      <c r="T56" s="335">
        <f t="shared" ref="T56:T61" si="6">P56*F56*WY_high/(WY_high*365)</f>
        <v>6.1498287671232874E-2</v>
      </c>
      <c r="U56" s="336">
        <f t="shared" ref="U56:U61" si="7">Q56*G56*WY_mid/(WY_mid*365)</f>
        <v>3.9712328767123294E-3</v>
      </c>
      <c r="V56" s="329" t="s">
        <v>165</v>
      </c>
      <c r="W56" s="329" t="s">
        <v>165</v>
      </c>
      <c r="X56" s="10" t="s">
        <v>173</v>
      </c>
      <c r="Y56" s="330" t="s">
        <v>167</v>
      </c>
    </row>
    <row r="57" spans="1:25" ht="78" x14ac:dyDescent="0.3">
      <c r="A57" s="331"/>
      <c r="B57" s="337">
        <v>6</v>
      </c>
      <c r="C57" s="338" t="s">
        <v>182</v>
      </c>
      <c r="D57" s="322" t="s">
        <v>168</v>
      </c>
      <c r="E57" s="323" t="s">
        <v>164</v>
      </c>
      <c r="F57" s="323">
        <v>250</v>
      </c>
      <c r="G57" s="323">
        <v>223</v>
      </c>
      <c r="H57" s="332">
        <v>1.83E-2</v>
      </c>
      <c r="I57" s="332">
        <v>4.0000000000000001E-3</v>
      </c>
      <c r="J57" s="332"/>
      <c r="K57" s="332"/>
      <c r="L57" s="341">
        <v>0.7</v>
      </c>
      <c r="M57" s="341">
        <v>4.8000000000000001E-2</v>
      </c>
      <c r="N57" s="341">
        <f>SUM(Inhalation_Exp[[#This Row],[Vapor_HE]],Inhalation_Exp[[#This Row],[Mist_HE]],Inhalation_Exp[[#This Row],[Dust_HE]])</f>
        <v>0.71829999999999994</v>
      </c>
      <c r="O57" s="341">
        <f>SUM(Inhalation_Exp[[#This Row],[Vapor_CT]],Inhalation_Exp[[#This Row],[Mist_CT]],Inhalation_Exp[[#This Row],[Dust_CT]])</f>
        <v>5.2000000000000005E-2</v>
      </c>
      <c r="P57" s="335">
        <f>((N57*ED_8)*WorkBreathRate)/IF(Inhalation_Exp[[#This Row],[Worker Type]]="Female of Reproductive Age",BW_F,BW_default)</f>
        <v>9.9178460476354827E-2</v>
      </c>
      <c r="Q57" s="335">
        <f>((O57*ED_8)*WorkBreathRate)/IF(Inhalation_Exp[[#This Row],[Worker Type]]="Female of Reproductive Age",BW_F,BW_default)</f>
        <v>7.1798412150500509E-3</v>
      </c>
      <c r="R57" s="335">
        <f>IF(EFID&gt;Inhalation_Exp[[#This Row],[ED_High-End]],Inhalation_Exp[[#This Row],[24hr_High-End]]*Inhalation_Exp[[#This Row],[ED_High-End]]/ID,Inhalation_Exp[[#This Row],[24hr_High-End]]*EFID/ID)</f>
        <v>7.2730871015993542E-2</v>
      </c>
      <c r="S57" s="336">
        <f>IF(EFID&gt;Inhalation_Exp[[#This Row],[ED_Central Tendency]],Inhalation_Exp[[#This Row],[24hr_Central Tendency]]*Inhalation_Exp[[#This Row],[ED_Central Tendency]]/ID,Inhalation_Exp[[#This Row],[24hr_Central Tendency]]*EFID/ID)</f>
        <v>5.2652168910367041E-3</v>
      </c>
      <c r="T57" s="335">
        <f t="shared" si="6"/>
        <v>6.7930452381064946E-2</v>
      </c>
      <c r="U57" s="336">
        <f t="shared" si="7"/>
        <v>4.3865879204278398E-3</v>
      </c>
      <c r="V57" s="329" t="s">
        <v>165</v>
      </c>
      <c r="W57" s="329" t="s">
        <v>165</v>
      </c>
      <c r="X57" s="10" t="s">
        <v>173</v>
      </c>
      <c r="Y57" s="330" t="s">
        <v>167</v>
      </c>
    </row>
    <row r="58" spans="1:25" ht="29.5" thickBot="1" x14ac:dyDescent="0.35">
      <c r="A58" s="331"/>
      <c r="B58" s="345">
        <v>6</v>
      </c>
      <c r="C58" s="346" t="s">
        <v>182</v>
      </c>
      <c r="D58" s="347" t="s">
        <v>74</v>
      </c>
      <c r="E58" s="348" t="s">
        <v>164</v>
      </c>
      <c r="F58" s="348">
        <v>250</v>
      </c>
      <c r="G58" s="348">
        <v>223</v>
      </c>
      <c r="H58" s="349">
        <v>4.0000000000000001E-3</v>
      </c>
      <c r="I58" s="349">
        <v>4.0000000000000001E-3</v>
      </c>
      <c r="J58" s="349"/>
      <c r="K58" s="349"/>
      <c r="L58" s="350">
        <v>4.8000000000000001E-2</v>
      </c>
      <c r="M58" s="350">
        <v>4.8000000000000001E-2</v>
      </c>
      <c r="N58" s="350">
        <f>SUM(Inhalation_Exp[[#This Row],[Vapor_HE]],Inhalation_Exp[[#This Row],[Mist_HE]],Inhalation_Exp[[#This Row],[Dust_HE]])</f>
        <v>5.2000000000000005E-2</v>
      </c>
      <c r="O58" s="350">
        <f>SUM(Inhalation_Exp[[#This Row],[Vapor_CT]],Inhalation_Exp[[#This Row],[Mist_CT]],Inhalation_Exp[[#This Row],[Dust_CT]])</f>
        <v>5.2000000000000005E-2</v>
      </c>
      <c r="P58" s="351">
        <f>((N58*ED_8)*WorkBreathRate)/IF(Inhalation_Exp[[#This Row],[Worker Type]]="Female of Reproductive Age",BW_F,BW_default)</f>
        <v>6.5000000000000006E-3</v>
      </c>
      <c r="Q58" s="351">
        <f>((O58*ED_8)*WorkBreathRate)/IF(Inhalation_Exp[[#This Row],[Worker Type]]="Female of Reproductive Age",BW_F,BW_default)</f>
        <v>6.5000000000000006E-3</v>
      </c>
      <c r="R58" s="351">
        <f>IF(EFID&gt;Inhalation_Exp[[#This Row],[ED_High-End]],Inhalation_Exp[[#This Row],[24hr_High-End]]*Inhalation_Exp[[#This Row],[ED_High-End]]/ID,Inhalation_Exp[[#This Row],[24hr_High-End]]*EFID/ID)</f>
        <v>4.7666666666666673E-3</v>
      </c>
      <c r="S58" s="352">
        <f>IF(EFID&gt;Inhalation_Exp[[#This Row],[ED_Central Tendency]],Inhalation_Exp[[#This Row],[24hr_Central Tendency]]*Inhalation_Exp[[#This Row],[ED_Central Tendency]]/ID,Inhalation_Exp[[#This Row],[24hr_Central Tendency]]*EFID/ID)</f>
        <v>4.7666666666666673E-3</v>
      </c>
      <c r="T58" s="351">
        <f t="shared" si="6"/>
        <v>4.4520547945205487E-3</v>
      </c>
      <c r="U58" s="352">
        <f t="shared" si="7"/>
        <v>3.9712328767123294E-3</v>
      </c>
      <c r="V58" s="353" t="s">
        <v>165</v>
      </c>
      <c r="W58" s="353" t="s">
        <v>165</v>
      </c>
      <c r="X58" s="354" t="s">
        <v>169</v>
      </c>
      <c r="Y58" s="355" t="s">
        <v>167</v>
      </c>
    </row>
    <row r="59" spans="1:25" ht="78" x14ac:dyDescent="0.3">
      <c r="A59" s="331"/>
      <c r="B59" s="356"/>
      <c r="C59" s="338" t="s">
        <v>183</v>
      </c>
      <c r="D59" s="322" t="s">
        <v>57</v>
      </c>
      <c r="E59" s="323" t="s">
        <v>164</v>
      </c>
      <c r="F59" s="323">
        <v>250</v>
      </c>
      <c r="G59" s="323">
        <v>250</v>
      </c>
      <c r="H59" s="357"/>
      <c r="I59" s="357"/>
      <c r="J59" s="357"/>
      <c r="K59" s="357"/>
      <c r="L59" s="341">
        <v>0.36</v>
      </c>
      <c r="M59" s="341">
        <v>0.04</v>
      </c>
      <c r="N59" s="341">
        <f>SUM(Inhalation_Exp[[#This Row],[Vapor_HE]],Inhalation_Exp[[#This Row],[Mist_HE]],Inhalation_Exp[[#This Row],[Dust_HE]])</f>
        <v>0.36</v>
      </c>
      <c r="O59" s="341">
        <f>SUM(Inhalation_Exp[[#This Row],[Vapor_CT]],Inhalation_Exp[[#This Row],[Mist_CT]],Inhalation_Exp[[#This Row],[Dust_CT]])</f>
        <v>0.04</v>
      </c>
      <c r="P59" s="327">
        <f>((N59*ED_8)*WorkBreathRate)/IF(Inhalation_Exp[[#This Row],[Worker Type]]="Female of Reproductive Age",BW_F,BW_default)</f>
        <v>4.4999999999999998E-2</v>
      </c>
      <c r="Q59" s="327">
        <f>((O59*ED_8)*WorkBreathRate)/IF(Inhalation_Exp[[#This Row],[Worker Type]]="Female of Reproductive Age",BW_F,BW_default)</f>
        <v>5.0000000000000001E-3</v>
      </c>
      <c r="R59" s="342">
        <f>IF(EFID&gt;Inhalation_Exp[[#This Row],[ED_High-End]],Inhalation_Exp[[#This Row],[24hr_High-End]]*Inhalation_Exp[[#This Row],[ED_High-End]]/ID,Inhalation_Exp[[#This Row],[24hr_High-End]]*EFID/ID)</f>
        <v>3.3000000000000002E-2</v>
      </c>
      <c r="S59" s="342">
        <f>IF(EFID&gt;Inhalation_Exp[[#This Row],[ED_Central Tendency]],Inhalation_Exp[[#This Row],[24hr_Central Tendency]]*Inhalation_Exp[[#This Row],[ED_Central Tendency]]/ID,Inhalation_Exp[[#This Row],[24hr_Central Tendency]]*EFID/ID)</f>
        <v>3.6666666666666666E-3</v>
      </c>
      <c r="T59" s="327">
        <f t="shared" si="6"/>
        <v>3.0821917808219176E-2</v>
      </c>
      <c r="U59" s="327">
        <f t="shared" si="7"/>
        <v>3.4246575342465752E-3</v>
      </c>
      <c r="V59" s="329" t="s">
        <v>165</v>
      </c>
      <c r="W59" s="329" t="s">
        <v>165</v>
      </c>
      <c r="X59" s="10" t="s">
        <v>173</v>
      </c>
      <c r="Y59" s="10" t="s">
        <v>167</v>
      </c>
    </row>
    <row r="60" spans="1:25" ht="78" x14ac:dyDescent="0.3">
      <c r="A60" s="331"/>
      <c r="B60" s="356"/>
      <c r="C60" s="338" t="s">
        <v>183</v>
      </c>
      <c r="D60" s="322" t="s">
        <v>168</v>
      </c>
      <c r="E60" s="323" t="s">
        <v>164</v>
      </c>
      <c r="F60" s="323">
        <v>250</v>
      </c>
      <c r="G60" s="323">
        <v>250</v>
      </c>
      <c r="H60" s="357"/>
      <c r="I60" s="357"/>
      <c r="J60" s="357"/>
      <c r="K60" s="357"/>
      <c r="L60" s="341">
        <v>0.36</v>
      </c>
      <c r="M60" s="341">
        <v>0.04</v>
      </c>
      <c r="N60" s="341">
        <f>SUM(Inhalation_Exp[[#This Row],[Vapor_HE]],Inhalation_Exp[[#This Row],[Mist_HE]],Inhalation_Exp[[#This Row],[Dust_HE]])</f>
        <v>0.36</v>
      </c>
      <c r="O60" s="341">
        <f>SUM(Inhalation_Exp[[#This Row],[Vapor_CT]],Inhalation_Exp[[#This Row],[Mist_CT]],Inhalation_Exp[[#This Row],[Dust_CT]])</f>
        <v>0.04</v>
      </c>
      <c r="P60" s="327">
        <f>((N60*ED_8)*WorkBreathRate)/IF(Inhalation_Exp[[#This Row],[Worker Type]]="Female of Reproductive Age",BW_F,BW_default)</f>
        <v>4.9706593027269576E-2</v>
      </c>
      <c r="Q60" s="327">
        <f>((O60*ED_8)*WorkBreathRate)/IF(Inhalation_Exp[[#This Row],[Worker Type]]="Female of Reproductive Age",BW_F,BW_default)</f>
        <v>5.5229547808077319E-3</v>
      </c>
      <c r="R60" s="342">
        <f>IF(EFID&gt;Inhalation_Exp[[#This Row],[ED_High-End]],Inhalation_Exp[[#This Row],[24hr_High-End]]*Inhalation_Exp[[#This Row],[ED_High-End]]/ID,Inhalation_Exp[[#This Row],[24hr_High-End]]*EFID/ID)</f>
        <v>3.6451501553331017E-2</v>
      </c>
      <c r="S60" s="342">
        <f>IF(EFID&gt;Inhalation_Exp[[#This Row],[ED_Central Tendency]],Inhalation_Exp[[#This Row],[24hr_Central Tendency]]*Inhalation_Exp[[#This Row],[ED_Central Tendency]]/ID,Inhalation_Exp[[#This Row],[24hr_Central Tendency]]*EFID/ID)</f>
        <v>4.0501668392590034E-3</v>
      </c>
      <c r="T60" s="327">
        <f t="shared" si="6"/>
        <v>3.4045611662513409E-2</v>
      </c>
      <c r="U60" s="327">
        <f t="shared" si="7"/>
        <v>3.7828457402792684E-3</v>
      </c>
      <c r="V60" s="329" t="s">
        <v>165</v>
      </c>
      <c r="W60" s="329" t="s">
        <v>165</v>
      </c>
      <c r="X60" s="10" t="s">
        <v>173</v>
      </c>
      <c r="Y60" s="10" t="s">
        <v>167</v>
      </c>
    </row>
    <row r="61" spans="1:25" ht="29" x14ac:dyDescent="0.3">
      <c r="A61" s="331"/>
      <c r="B61" s="356"/>
      <c r="C61" s="338" t="s">
        <v>183</v>
      </c>
      <c r="D61" s="322" t="s">
        <v>74</v>
      </c>
      <c r="E61" s="323" t="s">
        <v>164</v>
      </c>
      <c r="F61" s="323">
        <v>250</v>
      </c>
      <c r="G61" s="323">
        <v>250</v>
      </c>
      <c r="H61" s="357"/>
      <c r="I61" s="357"/>
      <c r="J61" s="357"/>
      <c r="K61" s="357"/>
      <c r="L61" s="341">
        <v>0.04</v>
      </c>
      <c r="M61" s="341">
        <v>0.04</v>
      </c>
      <c r="N61" s="341">
        <f>SUM(Inhalation_Exp[[#This Row],[Vapor_HE]],Inhalation_Exp[[#This Row],[Mist_HE]],Inhalation_Exp[[#This Row],[Dust_HE]])</f>
        <v>0.04</v>
      </c>
      <c r="O61" s="341">
        <f>SUM(Inhalation_Exp[[#This Row],[Vapor_CT]],Inhalation_Exp[[#This Row],[Mist_CT]],Inhalation_Exp[[#This Row],[Dust_CT]])</f>
        <v>0.04</v>
      </c>
      <c r="P61" s="327">
        <f>((N61*ED_8)*WorkBreathRate)/IF(Inhalation_Exp[[#This Row],[Worker Type]]="Female of Reproductive Age",BW_F,BW_default)</f>
        <v>5.0000000000000001E-3</v>
      </c>
      <c r="Q61" s="327">
        <f>((O61*ED_8)*WorkBreathRate)/IF(Inhalation_Exp[[#This Row],[Worker Type]]="Female of Reproductive Age",BW_F,BW_default)</f>
        <v>5.0000000000000001E-3</v>
      </c>
      <c r="R61" s="342">
        <f>IF(EFID&gt;Inhalation_Exp[[#This Row],[ED_High-End]],Inhalation_Exp[[#This Row],[24hr_High-End]]*Inhalation_Exp[[#This Row],[ED_High-End]]/ID,Inhalation_Exp[[#This Row],[24hr_High-End]]*EFID/ID)</f>
        <v>3.6666666666666666E-3</v>
      </c>
      <c r="S61" s="342">
        <f>IF(EFID&gt;Inhalation_Exp[[#This Row],[ED_Central Tendency]],Inhalation_Exp[[#This Row],[24hr_Central Tendency]]*Inhalation_Exp[[#This Row],[ED_Central Tendency]]/ID,Inhalation_Exp[[#This Row],[24hr_Central Tendency]]*EFID/ID)</f>
        <v>3.6666666666666666E-3</v>
      </c>
      <c r="T61" s="327">
        <f t="shared" si="6"/>
        <v>3.4246575342465752E-3</v>
      </c>
      <c r="U61" s="327">
        <f t="shared" si="7"/>
        <v>3.4246575342465752E-3</v>
      </c>
      <c r="V61" s="329" t="s">
        <v>165</v>
      </c>
      <c r="W61" s="329" t="s">
        <v>165</v>
      </c>
      <c r="X61" s="10" t="s">
        <v>169</v>
      </c>
      <c r="Y61" s="10" t="s">
        <v>167</v>
      </c>
    </row>
    <row r="62" spans="1:25" x14ac:dyDescent="0.3">
      <c r="L62" s="358"/>
      <c r="R62" s="358"/>
      <c r="S62" s="358"/>
      <c r="U62" s="8"/>
    </row>
    <row r="63" spans="1:25" x14ac:dyDescent="0.3">
      <c r="L63" s="358"/>
      <c r="R63" s="358"/>
      <c r="S63" s="358"/>
      <c r="U63" s="8"/>
    </row>
    <row r="64" spans="1:25" x14ac:dyDescent="0.3">
      <c r="R64" s="358"/>
      <c r="S64" s="358"/>
      <c r="U64" s="8"/>
    </row>
    <row r="65" spans="9:21" x14ac:dyDescent="0.3">
      <c r="R65" s="358"/>
      <c r="S65" s="358"/>
      <c r="U65" s="8"/>
    </row>
    <row r="66" spans="9:21" x14ac:dyDescent="0.3">
      <c r="R66" s="358"/>
      <c r="S66" s="358"/>
      <c r="U66" s="8"/>
    </row>
    <row r="67" spans="9:21" x14ac:dyDescent="0.3">
      <c r="L67" s="359"/>
      <c r="M67" s="359" t="s">
        <v>184</v>
      </c>
      <c r="N67" s="359"/>
      <c r="O67" s="359"/>
      <c r="R67" s="358"/>
      <c r="S67" s="358"/>
      <c r="U67" s="8"/>
    </row>
    <row r="68" spans="9:21" x14ac:dyDescent="0.3">
      <c r="L68" s="358"/>
      <c r="R68" s="358"/>
      <c r="S68" s="358"/>
      <c r="U68" s="8"/>
    </row>
    <row r="69" spans="9:21" x14ac:dyDescent="0.3">
      <c r="I69" s="360"/>
      <c r="J69" s="360"/>
      <c r="K69" s="360"/>
    </row>
    <row r="70" spans="9:21" x14ac:dyDescent="0.3">
      <c r="I70" s="360"/>
      <c r="J70" s="360"/>
      <c r="K70" s="360"/>
    </row>
    <row r="71" spans="9:21" x14ac:dyDescent="0.3">
      <c r="I71" s="360"/>
      <c r="J71" s="360"/>
      <c r="K71" s="360"/>
    </row>
    <row r="72" spans="9:21" x14ac:dyDescent="0.3">
      <c r="I72" s="360"/>
      <c r="J72" s="360"/>
      <c r="K72" s="360"/>
    </row>
    <row r="73" spans="9:21" x14ac:dyDescent="0.3">
      <c r="I73" s="360"/>
      <c r="J73" s="360"/>
      <c r="K73" s="360"/>
    </row>
    <row r="74" spans="9:21" x14ac:dyDescent="0.3">
      <c r="I74" s="360"/>
      <c r="J74" s="360"/>
      <c r="K74" s="360"/>
    </row>
    <row r="75" spans="9:21" x14ac:dyDescent="0.3">
      <c r="I75" s="360"/>
      <c r="J75" s="360"/>
      <c r="K75" s="360"/>
    </row>
    <row r="76" spans="9:21" x14ac:dyDescent="0.3">
      <c r="I76" s="360"/>
      <c r="J76" s="360"/>
      <c r="K76" s="360"/>
    </row>
    <row r="77" spans="9:21" x14ac:dyDescent="0.3">
      <c r="I77" s="360"/>
      <c r="J77" s="360"/>
      <c r="K77" s="360"/>
    </row>
    <row r="78" spans="9:21" x14ac:dyDescent="0.3">
      <c r="I78" s="360"/>
      <c r="J78" s="360"/>
      <c r="K78" s="360"/>
    </row>
    <row r="79" spans="9:21" x14ac:dyDescent="0.3">
      <c r="I79" s="360"/>
      <c r="J79" s="360"/>
      <c r="K79" s="360"/>
    </row>
    <row r="80" spans="9:21" x14ac:dyDescent="0.3">
      <c r="I80" s="360"/>
      <c r="J80" s="360"/>
      <c r="K80" s="360"/>
    </row>
    <row r="81" spans="9:11" x14ac:dyDescent="0.3">
      <c r="I81" s="360"/>
      <c r="J81" s="360"/>
      <c r="K81" s="360"/>
    </row>
  </sheetData>
  <sheetProtection sheet="1" objects="1" scenarios="1" formatCells="0" formatColumns="0" formatRows="0" sort="0" autoFilter="0"/>
  <mergeCells count="15">
    <mergeCell ref="T3:U3"/>
    <mergeCell ref="P2:Q2"/>
    <mergeCell ref="T2:U2"/>
    <mergeCell ref="F2:G3"/>
    <mergeCell ref="H2:I2"/>
    <mergeCell ref="L2:M2"/>
    <mergeCell ref="H3:I3"/>
    <mergeCell ref="L3:M3"/>
    <mergeCell ref="J2:K2"/>
    <mergeCell ref="J3:K3"/>
    <mergeCell ref="N2:O2"/>
    <mergeCell ref="N3:O3"/>
    <mergeCell ref="R2:S2"/>
    <mergeCell ref="R3:S3"/>
    <mergeCell ref="P3:Q3"/>
  </mergeCells>
  <phoneticPr fontId="2" type="noConversion"/>
  <conditionalFormatting sqref="L5:O16 P5:U58 L20:O22 L30 L35:O37 L38:M40 L41:O49 H50:I52 I69:K81">
    <cfRule type="cellIs" dxfId="272" priority="21" operator="greaterThan">
      <formula>10000</formula>
    </cfRule>
    <cfRule type="cellIs" dxfId="271" priority="25" operator="lessThan">
      <formula>0.1</formula>
    </cfRule>
    <cfRule type="cellIs" dxfId="270" priority="37" operator="between">
      <formula>10</formula>
      <formula>9999.999</formula>
    </cfRule>
    <cfRule type="cellIs" dxfId="269" priority="38" operator="between">
      <formula>1</formula>
      <formula>9.999</formula>
    </cfRule>
    <cfRule type="cellIs" dxfId="268" priority="39" operator="between">
      <formula>0.1</formula>
      <formula>0.999</formula>
    </cfRule>
  </conditionalFormatting>
  <conditionalFormatting sqref="R5:S61">
    <cfRule type="cellIs" dxfId="267" priority="41" operator="between">
      <formula>1</formula>
      <formula>9.999</formula>
    </cfRule>
    <cfRule type="cellIs" dxfId="266" priority="42" operator="lessThan">
      <formula>0.1</formula>
    </cfRule>
    <cfRule type="cellIs" dxfId="265" priority="43" operator="between">
      <formula>0.1</formula>
      <formula>0.999</formula>
    </cfRule>
    <cfRule type="cellIs" dxfId="264" priority="44" operator="between">
      <formula>10</formula>
      <formula>9999.999</formula>
    </cfRule>
    <cfRule type="cellIs" dxfId="263" priority="45" operator="greaterThan">
      <formula>10000</formula>
    </cfRule>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6B110-8E01-4638-9919-60D7B952F7F3}">
  <sheetPr codeName="Sheet5">
    <tabColor theme="1"/>
  </sheetPr>
  <dimension ref="A1:O61"/>
  <sheetViews>
    <sheetView zoomScaleNormal="100" workbookViewId="0"/>
  </sheetViews>
  <sheetFormatPr defaultColWidth="14.90625" defaultRowHeight="13" x14ac:dyDescent="0.3"/>
  <cols>
    <col min="1" max="1" width="7.453125" style="8" customWidth="1"/>
    <col min="2" max="2" width="40.90625" style="8" customWidth="1"/>
    <col min="3" max="3" width="29" style="8" customWidth="1"/>
    <col min="4" max="4" width="9.90625" style="358" customWidth="1"/>
    <col min="5" max="9" width="12.453125" style="358" customWidth="1"/>
    <col min="10" max="10" width="14" style="8" customWidth="1"/>
    <col min="11" max="11" width="16.453125" style="8" customWidth="1"/>
    <col min="12" max="12" width="14.453125" style="8" customWidth="1"/>
    <col min="13" max="13" width="16.54296875" style="8" customWidth="1"/>
    <col min="14" max="14" width="13.453125" style="8" customWidth="1"/>
    <col min="15" max="15" width="15.453125" style="8" customWidth="1"/>
    <col min="16" max="16384" width="14.90625" style="8"/>
  </cols>
  <sheetData>
    <row r="1" spans="1:15" ht="12.75" customHeight="1" x14ac:dyDescent="0.3">
      <c r="D1" s="361" t="s">
        <v>131</v>
      </c>
      <c r="E1" s="362"/>
      <c r="F1" s="298" t="s">
        <v>185</v>
      </c>
      <c r="G1" s="363"/>
      <c r="H1" s="298" t="s">
        <v>186</v>
      </c>
      <c r="I1" s="364"/>
      <c r="J1" s="365" t="s">
        <v>187</v>
      </c>
      <c r="K1" s="366"/>
      <c r="L1" s="366" t="s">
        <v>188</v>
      </c>
      <c r="M1" s="366"/>
      <c r="N1" s="366" t="s">
        <v>189</v>
      </c>
      <c r="O1" s="366"/>
    </row>
    <row r="2" spans="1:15" x14ac:dyDescent="0.3">
      <c r="B2" s="367"/>
      <c r="D2" s="368"/>
      <c r="E2" s="369"/>
      <c r="F2" s="307"/>
      <c r="G2" s="370"/>
      <c r="H2" s="307"/>
      <c r="I2" s="371"/>
      <c r="J2" s="365"/>
      <c r="K2" s="366"/>
      <c r="L2" s="366"/>
      <c r="M2" s="366"/>
      <c r="N2" s="366"/>
      <c r="O2" s="366"/>
    </row>
    <row r="3" spans="1:15" ht="52" x14ac:dyDescent="0.3">
      <c r="A3" s="8" t="s">
        <v>190</v>
      </c>
      <c r="B3" s="372" t="s">
        <v>141</v>
      </c>
      <c r="C3" s="373" t="s">
        <v>125</v>
      </c>
      <c r="D3" s="374" t="s">
        <v>143</v>
      </c>
      <c r="E3" s="314" t="s">
        <v>144</v>
      </c>
      <c r="F3" s="375" t="s">
        <v>191</v>
      </c>
      <c r="G3" s="376" t="s">
        <v>192</v>
      </c>
      <c r="H3" s="377" t="s">
        <v>193</v>
      </c>
      <c r="I3" s="378" t="s">
        <v>194</v>
      </c>
      <c r="J3" s="379" t="s">
        <v>195</v>
      </c>
      <c r="K3" s="319" t="s">
        <v>196</v>
      </c>
      <c r="L3" s="319" t="s">
        <v>197</v>
      </c>
      <c r="M3" s="319" t="s">
        <v>198</v>
      </c>
      <c r="N3" s="319" t="s">
        <v>199</v>
      </c>
      <c r="O3" s="319" t="s">
        <v>200</v>
      </c>
    </row>
    <row r="4" spans="1:15" ht="18" customHeight="1" x14ac:dyDescent="0.3">
      <c r="A4" s="380">
        <v>1</v>
      </c>
      <c r="B4" s="340" t="s">
        <v>163</v>
      </c>
      <c r="C4" s="381" t="s">
        <v>57</v>
      </c>
      <c r="D4" s="323">
        <v>250</v>
      </c>
      <c r="E4" s="323">
        <v>250</v>
      </c>
      <c r="F4" s="382">
        <f>0.00007*1070*8</f>
        <v>0.59919999999999995</v>
      </c>
      <c r="G4" s="382">
        <f>0.00007*535*8</f>
        <v>0.29959999999999998</v>
      </c>
      <c r="H4" s="348"/>
      <c r="I4" s="383"/>
      <c r="J4"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4"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4" s="386">
        <f>IFERROR(Dermal_Exp[[#This Row],[High-End AD (mg/kg-day)]]*IF(Dermal_Exp[[#This Row],[ED_High-End]]&gt;EFID,EFID,Dermal_Exp[[#This Row],[ED_High-End]])/ID,"Not Assessed")</f>
        <v>5.4926666666666657E-3</v>
      </c>
      <c r="M4" s="386">
        <f>IFERROR(Dermal_Exp[[#This Row],[Central Tendency AD (mg/kg-day)]]*IF(Dermal_Exp[[#This Row],[ED_Central Tendency]]&gt;EFID,EFID,Dermal_Exp[[#This Row],[ED_Central Tendency]])/ID,"Not Assessed")</f>
        <v>2.7463333333333328E-3</v>
      </c>
      <c r="N4" s="387">
        <f>IFERROR(Dermal_Exp[[#This Row],[High-End AD (mg/kg-day)]]*Dermal_Exp[[#This Row],[ED_High-End]]*WY_high/(365*WY_high),"Not Assessed")</f>
        <v>5.1301369863013691E-3</v>
      </c>
      <c r="O4" s="387">
        <f>IFERROR(Dermal_Exp[[#This Row],[Central Tendency AD (mg/kg-day)]]*Dermal_Exp[[#This Row],[ED_Central Tendency]]*WY_mid/(365*WY_mid),"Not Assessed")</f>
        <v>2.5650684931506846E-3</v>
      </c>
    </row>
    <row r="5" spans="1:15" ht="18" customHeight="1" x14ac:dyDescent="0.3">
      <c r="A5" s="380">
        <v>1</v>
      </c>
      <c r="B5" s="340" t="s">
        <v>163</v>
      </c>
      <c r="C5" s="381" t="s">
        <v>168</v>
      </c>
      <c r="D5" s="323">
        <v>250</v>
      </c>
      <c r="E5" s="323">
        <v>250</v>
      </c>
      <c r="F5" s="382">
        <f>0.00007*890*8</f>
        <v>0.49839999999999995</v>
      </c>
      <c r="G5" s="382">
        <f>0.00007*445*8</f>
        <v>0.24919999999999998</v>
      </c>
      <c r="H5" s="348"/>
      <c r="I5" s="383"/>
      <c r="J5"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5"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5" s="386">
        <f>IFERROR(Dermal_Exp[[#This Row],[High-End AD (mg/kg-day)]]*IF(Dermal_Exp[[#This Row],[ED_High-End]]&gt;EFID,EFID,Dermal_Exp[[#This Row],[ED_High-End]])/ID,"Not Assessed")</f>
        <v>5.0465078817167174E-3</v>
      </c>
      <c r="M5" s="386">
        <f>IFERROR(Dermal_Exp[[#This Row],[Central Tendency AD (mg/kg-day)]]*IF(Dermal_Exp[[#This Row],[ED_Central Tendency]]&gt;EFID,EFID,Dermal_Exp[[#This Row],[ED_Central Tendency]])/ID,"Not Assessed")</f>
        <v>2.5232539408583587E-3</v>
      </c>
      <c r="N5" s="387">
        <f>IFERROR(Dermal_Exp[[#This Row],[High-End AD (mg/kg-day)]]*Dermal_Exp[[#This Row],[ED_High-End]]*WY_high/(365*WY_high),"Not Assessed")</f>
        <v>4.713425792387968E-3</v>
      </c>
      <c r="O5" s="387">
        <f>IFERROR(Dermal_Exp[[#This Row],[Central Tendency AD (mg/kg-day)]]*Dermal_Exp[[#This Row],[ED_Central Tendency]]*WY_mid/(365*WY_mid),"Not Assessed")</f>
        <v>2.3567128961939836E-3</v>
      </c>
    </row>
    <row r="6" spans="1:15" ht="18" customHeight="1" x14ac:dyDescent="0.3">
      <c r="A6" s="380">
        <v>1</v>
      </c>
      <c r="B6" s="340" t="s">
        <v>163</v>
      </c>
      <c r="C6" s="381" t="s">
        <v>74</v>
      </c>
      <c r="D6" s="323">
        <v>250</v>
      </c>
      <c r="E6" s="323">
        <v>250</v>
      </c>
      <c r="F6" s="348"/>
      <c r="G6" s="382"/>
      <c r="H6" s="348"/>
      <c r="I6" s="388"/>
      <c r="J6"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0</v>
      </c>
      <c r="K6"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0</v>
      </c>
      <c r="L6" s="386">
        <f>IFERROR(Dermal_Exp[[#This Row],[High-End AD (mg/kg-day)]]*IF(Dermal_Exp[[#This Row],[ED_High-End]]&gt;EFID,EFID,Dermal_Exp[[#This Row],[ED_High-End]])/ID,"Not Assessed")</f>
        <v>0</v>
      </c>
      <c r="M6" s="386">
        <f>IFERROR(Dermal_Exp[[#This Row],[Central Tendency AD (mg/kg-day)]]*IF(Dermal_Exp[[#This Row],[ED_Central Tendency]]&gt;EFID,EFID,Dermal_Exp[[#This Row],[ED_Central Tendency]])/ID,"Not Assessed")</f>
        <v>0</v>
      </c>
      <c r="N6" s="387">
        <f>IFERROR(Dermal_Exp[[#This Row],[High-End AD (mg/kg-day)]]*Dermal_Exp[[#This Row],[ED_High-End]]*WY_high/(365*WY_high),"Not Assessed")</f>
        <v>0</v>
      </c>
      <c r="O6" s="328">
        <f>IFERROR(Dermal_Exp[[#This Row],[Central Tendency AD (mg/kg-day)]]*Dermal_Exp[[#This Row],[ED_Central Tendency]]*WY_mid/(365*WY_mid),"Not Assessed")</f>
        <v>0</v>
      </c>
    </row>
    <row r="7" spans="1:15" ht="18" customHeight="1" x14ac:dyDescent="0.3">
      <c r="A7" s="380">
        <v>1</v>
      </c>
      <c r="B7" s="321" t="s">
        <v>170</v>
      </c>
      <c r="C7" s="381" t="s">
        <v>57</v>
      </c>
      <c r="D7" s="323">
        <v>250</v>
      </c>
      <c r="E7" s="323">
        <v>208</v>
      </c>
      <c r="F7" s="382">
        <f>0.00007*1070*8</f>
        <v>0.59919999999999995</v>
      </c>
      <c r="G7" s="382">
        <f>0.00007*535*8</f>
        <v>0.29959999999999998</v>
      </c>
      <c r="H7" s="348"/>
      <c r="I7" s="383"/>
      <c r="J7"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7"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7" s="386">
        <f>IFERROR(Dermal_Exp[[#This Row],[High-End AD (mg/kg-day)]]*IF(Dermal_Exp[[#This Row],[ED_High-End]]&gt;EFID,EFID,Dermal_Exp[[#This Row],[ED_High-End]])/ID,"Not Assessed")</f>
        <v>5.4926666666666657E-3</v>
      </c>
      <c r="M7" s="386">
        <f>IFERROR(Dermal_Exp[[#This Row],[Central Tendency AD (mg/kg-day)]]*IF(Dermal_Exp[[#This Row],[ED_Central Tendency]]&gt;EFID,EFID,Dermal_Exp[[#This Row],[ED_Central Tendency]])/ID,"Not Assessed")</f>
        <v>2.7463333333333328E-3</v>
      </c>
      <c r="N7" s="387">
        <f>IFERROR(Dermal_Exp[[#This Row],[High-End AD (mg/kg-day)]]*Dermal_Exp[[#This Row],[ED_High-End]]*WY_high/(365*WY_high),"Not Assessed")</f>
        <v>5.1301369863013691E-3</v>
      </c>
      <c r="O7" s="387">
        <f>IFERROR(Dermal_Exp[[#This Row],[Central Tendency AD (mg/kg-day)]]*Dermal_Exp[[#This Row],[ED_Central Tendency]]*WY_mid/(365*WY_mid),"Not Assessed")</f>
        <v>2.1341369863013696E-3</v>
      </c>
    </row>
    <row r="8" spans="1:15" ht="18" customHeight="1" x14ac:dyDescent="0.3">
      <c r="A8" s="380">
        <v>1</v>
      </c>
      <c r="B8" s="321" t="s">
        <v>170</v>
      </c>
      <c r="C8" s="381" t="s">
        <v>168</v>
      </c>
      <c r="D8" s="323">
        <v>250</v>
      </c>
      <c r="E8" s="323">
        <v>208</v>
      </c>
      <c r="F8" s="382">
        <f>0.00007*890*8</f>
        <v>0.49839999999999995</v>
      </c>
      <c r="G8" s="382">
        <f>0.00007*445*8</f>
        <v>0.24919999999999998</v>
      </c>
      <c r="H8" s="348"/>
      <c r="I8" s="383"/>
      <c r="J8"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8"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8" s="386">
        <f>IFERROR(Dermal_Exp[[#This Row],[High-End AD (mg/kg-day)]]*IF(Dermal_Exp[[#This Row],[ED_High-End]]&gt;EFID,EFID,Dermal_Exp[[#This Row],[ED_High-End]])/ID,"Not Assessed")</f>
        <v>5.0465078817167174E-3</v>
      </c>
      <c r="M8" s="386">
        <f>IFERROR(Dermal_Exp[[#This Row],[Central Tendency AD (mg/kg-day)]]*IF(Dermal_Exp[[#This Row],[ED_Central Tendency]]&gt;EFID,EFID,Dermal_Exp[[#This Row],[ED_Central Tendency]])/ID,"Not Assessed")</f>
        <v>2.5232539408583587E-3</v>
      </c>
      <c r="N8" s="389">
        <f>IFERROR(Dermal_Exp[[#This Row],[High-End AD (mg/kg-day)]]*Dermal_Exp[[#This Row],[ED_High-End]]*WY_high/(365*WY_high),"Not Assessed")</f>
        <v>4.713425792387968E-3</v>
      </c>
      <c r="O8" s="389">
        <f>IFERROR(Dermal_Exp[[#This Row],[Central Tendency AD (mg/kg-day)]]*Dermal_Exp[[#This Row],[ED_Central Tendency]]*WY_mid/(365*WY_mid),"Not Assessed")</f>
        <v>1.9607851296333943E-3</v>
      </c>
    </row>
    <row r="9" spans="1:15" ht="18" customHeight="1" x14ac:dyDescent="0.3">
      <c r="A9" s="380">
        <v>1</v>
      </c>
      <c r="B9" s="321" t="s">
        <v>170</v>
      </c>
      <c r="C9" s="381" t="s">
        <v>74</v>
      </c>
      <c r="D9" s="323">
        <v>250</v>
      </c>
      <c r="E9" s="323">
        <v>208</v>
      </c>
      <c r="F9" s="348"/>
      <c r="G9" s="348"/>
      <c r="H9" s="348"/>
      <c r="I9" s="388"/>
      <c r="J9"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0</v>
      </c>
      <c r="K9"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0</v>
      </c>
      <c r="L9" s="386">
        <f>IFERROR(Dermal_Exp[[#This Row],[High-End AD (mg/kg-day)]]*IF(Dermal_Exp[[#This Row],[ED_High-End]]&gt;EFID,EFID,Dermal_Exp[[#This Row],[ED_High-End]])/ID,"Not Assessed")</f>
        <v>0</v>
      </c>
      <c r="M9" s="386">
        <f>IFERROR(Dermal_Exp[[#This Row],[Central Tendency AD (mg/kg-day)]]*IF(Dermal_Exp[[#This Row],[ED_Central Tendency]]&gt;EFID,EFID,Dermal_Exp[[#This Row],[ED_Central Tendency]])/ID,"Not Assessed")</f>
        <v>0</v>
      </c>
      <c r="N9" s="328">
        <f>IFERROR(Dermal_Exp[[#This Row],[High-End AD (mg/kg-day)]]*Dermal_Exp[[#This Row],[ED_High-End]]*WY_high/(365*WY_high),"Not Assessed")</f>
        <v>0</v>
      </c>
      <c r="O9" s="328">
        <f>IFERROR(Dermal_Exp[[#This Row],[Central Tendency AD (mg/kg-day)]]*Dermal_Exp[[#This Row],[ED_Central Tendency]]*WY_mid/(365*WY_mid),"Not Assessed")</f>
        <v>0</v>
      </c>
    </row>
    <row r="10" spans="1:15" ht="18" customHeight="1" x14ac:dyDescent="0.3">
      <c r="A10" s="390">
        <v>2</v>
      </c>
      <c r="B10" s="340" t="s">
        <v>103</v>
      </c>
      <c r="C10" s="381" t="s">
        <v>57</v>
      </c>
      <c r="D10" s="323">
        <v>250</v>
      </c>
      <c r="E10" s="323">
        <v>250</v>
      </c>
      <c r="F10" s="382">
        <f>0.00007*1070*8</f>
        <v>0.59919999999999995</v>
      </c>
      <c r="G10" s="382">
        <f>0.00007*535*8</f>
        <v>0.29959999999999998</v>
      </c>
      <c r="H10" s="348"/>
      <c r="I10" s="383"/>
      <c r="J10"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10"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10" s="386">
        <f>IFERROR(Dermal_Exp[[#This Row],[High-End AD (mg/kg-day)]]*IF(Dermal_Exp[[#This Row],[ED_High-End]]&gt;EFID,EFID,Dermal_Exp[[#This Row],[ED_High-End]])/ID,"Not Assessed")</f>
        <v>5.4926666666666657E-3</v>
      </c>
      <c r="M10" s="386">
        <f>IFERROR(Dermal_Exp[[#This Row],[Central Tendency AD (mg/kg-day)]]*IF(Dermal_Exp[[#This Row],[ED_Central Tendency]]&gt;EFID,EFID,Dermal_Exp[[#This Row],[ED_Central Tendency]])/ID,"Not Assessed")</f>
        <v>2.7463333333333328E-3</v>
      </c>
      <c r="N10" s="389">
        <f>IFERROR(Dermal_Exp[[#This Row],[High-End AD (mg/kg-day)]]*Dermal_Exp[[#This Row],[ED_High-End]]*WY_high/(365*WY_high),"Not Assessed")</f>
        <v>5.1301369863013691E-3</v>
      </c>
      <c r="O10" s="389">
        <f>IFERROR(Dermal_Exp[[#This Row],[Central Tendency AD (mg/kg-day)]]*Dermal_Exp[[#This Row],[ED_Central Tendency]]*WY_mid/(365*WY_mid),"Not Assessed")</f>
        <v>2.5650684931506846E-3</v>
      </c>
    </row>
    <row r="11" spans="1:15" ht="18" customHeight="1" x14ac:dyDescent="0.3">
      <c r="A11" s="390">
        <v>2</v>
      </c>
      <c r="B11" s="340" t="s">
        <v>103</v>
      </c>
      <c r="C11" s="381" t="s">
        <v>168</v>
      </c>
      <c r="D11" s="323">
        <v>250</v>
      </c>
      <c r="E11" s="323">
        <v>250</v>
      </c>
      <c r="F11" s="382">
        <f>0.00007*890*8</f>
        <v>0.49839999999999995</v>
      </c>
      <c r="G11" s="382">
        <f>0.00007*445*8</f>
        <v>0.24919999999999998</v>
      </c>
      <c r="H11" s="348"/>
      <c r="I11" s="383"/>
      <c r="J11"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11"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11" s="386">
        <f>IFERROR(Dermal_Exp[[#This Row],[High-End AD (mg/kg-day)]]*IF(Dermal_Exp[[#This Row],[ED_High-End]]&gt;EFID,EFID,Dermal_Exp[[#This Row],[ED_High-End]])/ID,"Not Assessed")</f>
        <v>5.0465078817167174E-3</v>
      </c>
      <c r="M11" s="386">
        <f>IFERROR(Dermal_Exp[[#This Row],[Central Tendency AD (mg/kg-day)]]*IF(Dermal_Exp[[#This Row],[ED_Central Tendency]]&gt;EFID,EFID,Dermal_Exp[[#This Row],[ED_Central Tendency]])/ID,"Not Assessed")</f>
        <v>2.5232539408583587E-3</v>
      </c>
      <c r="N11" s="328">
        <f>IFERROR(Dermal_Exp[[#This Row],[High-End AD (mg/kg-day)]]*Dermal_Exp[[#This Row],[ED_High-End]]*WY_high/(365*WY_high),"Not Assessed")</f>
        <v>4.713425792387968E-3</v>
      </c>
      <c r="O11" s="328">
        <f>IFERROR(Dermal_Exp[[#This Row],[Central Tendency AD (mg/kg-day)]]*Dermal_Exp[[#This Row],[ED_Central Tendency]]*WY_mid/(365*WY_mid),"Not Assessed")</f>
        <v>2.3567128961939836E-3</v>
      </c>
    </row>
    <row r="12" spans="1:15" ht="18" customHeight="1" x14ac:dyDescent="0.3">
      <c r="A12" s="390">
        <v>2</v>
      </c>
      <c r="B12" s="340" t="s">
        <v>103</v>
      </c>
      <c r="C12" s="381" t="s">
        <v>74</v>
      </c>
      <c r="D12" s="323">
        <v>250</v>
      </c>
      <c r="E12" s="323">
        <v>250</v>
      </c>
      <c r="F12" s="348"/>
      <c r="G12" s="348"/>
      <c r="H12" s="348"/>
      <c r="I12" s="388"/>
      <c r="J12"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0</v>
      </c>
      <c r="K12"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0</v>
      </c>
      <c r="L12" s="386">
        <f>IFERROR(Dermal_Exp[[#This Row],[High-End AD (mg/kg-day)]]*IF(Dermal_Exp[[#This Row],[ED_High-End]]&gt;EFID,EFID,Dermal_Exp[[#This Row],[ED_High-End]])/ID,"Not Assessed")</f>
        <v>0</v>
      </c>
      <c r="M12" s="386">
        <f>IFERROR(Dermal_Exp[[#This Row],[Central Tendency AD (mg/kg-day)]]*IF(Dermal_Exp[[#This Row],[ED_Central Tendency]]&gt;EFID,EFID,Dermal_Exp[[#This Row],[ED_Central Tendency]])/ID,"Not Assessed")</f>
        <v>0</v>
      </c>
      <c r="N12" s="328">
        <f>IFERROR(Dermal_Exp[[#This Row],[High-End AD (mg/kg-day)]]*Dermal_Exp[[#This Row],[ED_High-End]]*WY_high/(365*WY_high),"Not Assessed")</f>
        <v>0</v>
      </c>
      <c r="O12" s="328">
        <f>IFERROR(Dermal_Exp[[#This Row],[Central Tendency AD (mg/kg-day)]]*Dermal_Exp[[#This Row],[ED_Central Tendency]]*WY_mid/(365*WY_mid),"Not Assessed")</f>
        <v>0</v>
      </c>
    </row>
    <row r="13" spans="1:15" ht="18" customHeight="1" x14ac:dyDescent="0.3">
      <c r="A13" s="390">
        <v>2</v>
      </c>
      <c r="B13" s="340" t="s">
        <v>171</v>
      </c>
      <c r="C13" s="381" t="s">
        <v>57</v>
      </c>
      <c r="D13" s="323">
        <v>250</v>
      </c>
      <c r="E13" s="323">
        <v>250</v>
      </c>
      <c r="F13" s="382">
        <f>0.00007*1070*8</f>
        <v>0.59919999999999995</v>
      </c>
      <c r="G13" s="382">
        <f>0.00007*535*8</f>
        <v>0.29959999999999998</v>
      </c>
      <c r="H13" s="348"/>
      <c r="I13" s="383"/>
      <c r="J13"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13"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13" s="386">
        <f>IFERROR(Dermal_Exp[[#This Row],[High-End AD (mg/kg-day)]]*IF(Dermal_Exp[[#This Row],[ED_High-End]]&gt;EFID,EFID,Dermal_Exp[[#This Row],[ED_High-End]])/ID,"Not Assessed")</f>
        <v>5.4926666666666657E-3</v>
      </c>
      <c r="M13" s="386">
        <f>IFERROR(Dermal_Exp[[#This Row],[Central Tendency AD (mg/kg-day)]]*IF(Dermal_Exp[[#This Row],[ED_Central Tendency]]&gt;EFID,EFID,Dermal_Exp[[#This Row],[ED_Central Tendency]])/ID,"Not Assessed")</f>
        <v>2.7463333333333328E-3</v>
      </c>
      <c r="N13" s="328">
        <f>IFERROR(Dermal_Exp[[#This Row],[High-End AD (mg/kg-day)]]*Dermal_Exp[[#This Row],[ED_High-End]]*WY_high/(365*WY_high),"Not Assessed")</f>
        <v>5.1301369863013691E-3</v>
      </c>
      <c r="O13" s="328">
        <f>IFERROR(Dermal_Exp[[#This Row],[Central Tendency AD (mg/kg-day)]]*Dermal_Exp[[#This Row],[ED_Central Tendency]]*WY_mid/(365*WY_mid),"Not Assessed")</f>
        <v>2.5650684931506846E-3</v>
      </c>
    </row>
    <row r="14" spans="1:15" ht="18" customHeight="1" x14ac:dyDescent="0.3">
      <c r="A14" s="390">
        <v>2</v>
      </c>
      <c r="B14" s="340" t="s">
        <v>171</v>
      </c>
      <c r="C14" s="381" t="s">
        <v>168</v>
      </c>
      <c r="D14" s="323">
        <v>250</v>
      </c>
      <c r="E14" s="323">
        <v>250</v>
      </c>
      <c r="F14" s="382">
        <f>0.00007*890*8</f>
        <v>0.49839999999999995</v>
      </c>
      <c r="G14" s="382">
        <f>0.00007*445*8</f>
        <v>0.24919999999999998</v>
      </c>
      <c r="H14" s="348"/>
      <c r="I14" s="383"/>
      <c r="J14"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14"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14" s="386">
        <f>IFERROR(Dermal_Exp[[#This Row],[High-End AD (mg/kg-day)]]*IF(Dermal_Exp[[#This Row],[ED_High-End]]&gt;EFID,EFID,Dermal_Exp[[#This Row],[ED_High-End]])/ID,"Not Assessed")</f>
        <v>5.0465078817167174E-3</v>
      </c>
      <c r="M14" s="386">
        <f>IFERROR(Dermal_Exp[[#This Row],[Central Tendency AD (mg/kg-day)]]*IF(Dermal_Exp[[#This Row],[ED_Central Tendency]]&gt;EFID,EFID,Dermal_Exp[[#This Row],[ED_Central Tendency]])/ID,"Not Assessed")</f>
        <v>2.5232539408583587E-3</v>
      </c>
      <c r="N14" s="389">
        <f>IFERROR(Dermal_Exp[[#This Row],[High-End AD (mg/kg-day)]]*Dermal_Exp[[#This Row],[ED_High-End]]*WY_high/(365*WY_high),"Not Assessed")</f>
        <v>4.713425792387968E-3</v>
      </c>
      <c r="O14" s="389">
        <f>IFERROR(Dermal_Exp[[#This Row],[Central Tendency AD (mg/kg-day)]]*Dermal_Exp[[#This Row],[ED_Central Tendency]]*WY_mid/(365*WY_mid),"Not Assessed")</f>
        <v>2.3567128961939836E-3</v>
      </c>
    </row>
    <row r="15" spans="1:15" ht="18" customHeight="1" x14ac:dyDescent="0.3">
      <c r="A15" s="390">
        <v>2</v>
      </c>
      <c r="B15" s="340" t="s">
        <v>171</v>
      </c>
      <c r="C15" s="381" t="s">
        <v>74</v>
      </c>
      <c r="D15" s="323">
        <v>250</v>
      </c>
      <c r="E15" s="323">
        <v>250</v>
      </c>
      <c r="F15" s="348"/>
      <c r="G15" s="348"/>
      <c r="H15" s="348"/>
      <c r="I15" s="388"/>
      <c r="J15"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0</v>
      </c>
      <c r="K15"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0</v>
      </c>
      <c r="L15" s="386">
        <f>IFERROR(Dermal_Exp[[#This Row],[High-End AD (mg/kg-day)]]*IF(Dermal_Exp[[#This Row],[ED_High-End]]&gt;EFID,EFID,Dermal_Exp[[#This Row],[ED_High-End]])/ID,"Not Assessed")</f>
        <v>0</v>
      </c>
      <c r="M15" s="386">
        <f>IFERROR(Dermal_Exp[[#This Row],[Central Tendency AD (mg/kg-day)]]*IF(Dermal_Exp[[#This Row],[ED_Central Tendency]]&gt;EFID,EFID,Dermal_Exp[[#This Row],[ED_Central Tendency]])/ID,"Not Assessed")</f>
        <v>0</v>
      </c>
      <c r="N15" s="328">
        <f>IFERROR(Dermal_Exp[[#This Row],[High-End AD (mg/kg-day)]]*Dermal_Exp[[#This Row],[ED_High-End]]*WY_high/(365*WY_high),"Not Assessed")</f>
        <v>0</v>
      </c>
      <c r="O15" s="328">
        <f>IFERROR(Dermal_Exp[[#This Row],[Central Tendency AD (mg/kg-day)]]*Dermal_Exp[[#This Row],[ED_Central Tendency]]*WY_mid/(365*WY_mid),"Not Assessed")</f>
        <v>0</v>
      </c>
    </row>
    <row r="16" spans="1:15" ht="18" customHeight="1" x14ac:dyDescent="0.3">
      <c r="A16" s="391">
        <v>2</v>
      </c>
      <c r="B16" s="340" t="s">
        <v>172</v>
      </c>
      <c r="C16" s="381" t="s">
        <v>57</v>
      </c>
      <c r="D16" s="323">
        <v>250</v>
      </c>
      <c r="E16" s="323">
        <v>250</v>
      </c>
      <c r="F16" s="382">
        <f>0.00007*1070*8</f>
        <v>0.59919999999999995</v>
      </c>
      <c r="G16" s="382">
        <f>0.00007*535*8</f>
        <v>0.29959999999999998</v>
      </c>
      <c r="H16" s="348"/>
      <c r="I16" s="388"/>
      <c r="J16"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16"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16" s="386">
        <f>IFERROR(Dermal_Exp[[#This Row],[High-End AD (mg/kg-day)]]*IF(Dermal_Exp[[#This Row],[ED_High-End]]&gt;EFID,EFID,Dermal_Exp[[#This Row],[ED_High-End]])/ID,"Not Assessed")</f>
        <v>5.4926666666666657E-3</v>
      </c>
      <c r="M16" s="386">
        <f>IFERROR(Dermal_Exp[[#This Row],[Central Tendency AD (mg/kg-day)]]*IF(Dermal_Exp[[#This Row],[ED_Central Tendency]]&gt;EFID,EFID,Dermal_Exp[[#This Row],[ED_Central Tendency]])/ID,"Not Assessed")</f>
        <v>2.7463333333333328E-3</v>
      </c>
      <c r="N16" s="328">
        <f>IFERROR(Dermal_Exp[[#This Row],[High-End AD (mg/kg-day)]]*Dermal_Exp[[#This Row],[ED_High-End]]*WY_high/(365*WY_high),"Not Assessed")</f>
        <v>5.1301369863013691E-3</v>
      </c>
      <c r="O16" s="328">
        <f>IFERROR(Dermal_Exp[[#This Row],[Central Tendency AD (mg/kg-day)]]*Dermal_Exp[[#This Row],[ED_Central Tendency]]*WY_mid/(365*WY_mid),"Not Assessed")</f>
        <v>2.5650684931506846E-3</v>
      </c>
    </row>
    <row r="17" spans="1:15" ht="18" customHeight="1" x14ac:dyDescent="0.3">
      <c r="A17" s="391">
        <v>2</v>
      </c>
      <c r="B17" s="340" t="s">
        <v>172</v>
      </c>
      <c r="C17" s="381" t="s">
        <v>168</v>
      </c>
      <c r="D17" s="323">
        <v>250</v>
      </c>
      <c r="E17" s="323">
        <v>250</v>
      </c>
      <c r="F17" s="382">
        <f>0.00007*890*8</f>
        <v>0.49839999999999995</v>
      </c>
      <c r="G17" s="382">
        <f>0.00007*445*8</f>
        <v>0.24919999999999998</v>
      </c>
      <c r="H17" s="348"/>
      <c r="I17" s="388"/>
      <c r="J17"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17"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17" s="386">
        <f>IFERROR(Dermal_Exp[[#This Row],[High-End AD (mg/kg-day)]]*IF(Dermal_Exp[[#This Row],[ED_High-End]]&gt;EFID,EFID,Dermal_Exp[[#This Row],[ED_High-End]])/ID,"Not Assessed")</f>
        <v>5.0465078817167174E-3</v>
      </c>
      <c r="M17" s="386">
        <f>IFERROR(Dermal_Exp[[#This Row],[Central Tendency AD (mg/kg-day)]]*IF(Dermal_Exp[[#This Row],[ED_Central Tendency]]&gt;EFID,EFID,Dermal_Exp[[#This Row],[ED_Central Tendency]])/ID,"Not Assessed")</f>
        <v>2.5232539408583587E-3</v>
      </c>
      <c r="N17" s="328">
        <f>IFERROR(Dermal_Exp[[#This Row],[High-End AD (mg/kg-day)]]*Dermal_Exp[[#This Row],[ED_High-End]]*WY_high/(365*WY_high),"Not Assessed")</f>
        <v>4.713425792387968E-3</v>
      </c>
      <c r="O17" s="328">
        <f>IFERROR(Dermal_Exp[[#This Row],[Central Tendency AD (mg/kg-day)]]*Dermal_Exp[[#This Row],[ED_Central Tendency]]*WY_mid/(365*WY_mid),"Not Assessed")</f>
        <v>2.3567128961939836E-3</v>
      </c>
    </row>
    <row r="18" spans="1:15" ht="18" customHeight="1" x14ac:dyDescent="0.3">
      <c r="A18" s="391">
        <v>2</v>
      </c>
      <c r="B18" s="340" t="s">
        <v>172</v>
      </c>
      <c r="C18" s="381" t="s">
        <v>74</v>
      </c>
      <c r="D18" s="323">
        <v>250</v>
      </c>
      <c r="E18" s="323">
        <v>250</v>
      </c>
      <c r="F18" s="382"/>
      <c r="G18" s="348"/>
      <c r="H18" s="348"/>
      <c r="I18" s="388"/>
      <c r="J18"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0</v>
      </c>
      <c r="K18"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0</v>
      </c>
      <c r="L18" s="386">
        <f>IFERROR(Dermal_Exp[[#This Row],[High-End AD (mg/kg-day)]]*IF(Dermal_Exp[[#This Row],[ED_High-End]]&gt;EFID,EFID,Dermal_Exp[[#This Row],[ED_High-End]])/ID,"Not Assessed")</f>
        <v>0</v>
      </c>
      <c r="M18" s="386">
        <f>IFERROR(Dermal_Exp[[#This Row],[Central Tendency AD (mg/kg-day)]]*IF(Dermal_Exp[[#This Row],[ED_Central Tendency]]&gt;EFID,EFID,Dermal_Exp[[#This Row],[ED_Central Tendency]])/ID,"Not Assessed")</f>
        <v>0</v>
      </c>
      <c r="N18" s="328">
        <f>IFERROR(Dermal_Exp[[#This Row],[High-End AD (mg/kg-day)]]*Dermal_Exp[[#This Row],[ED_High-End]]*WY_high/(365*WY_high),"Not Assessed")</f>
        <v>0</v>
      </c>
      <c r="O18" s="328">
        <f>IFERROR(Dermal_Exp[[#This Row],[Central Tendency AD (mg/kg-day)]]*Dermal_Exp[[#This Row],[ED_Central Tendency]]*WY_mid/(365*WY_mid),"Not Assessed")</f>
        <v>0</v>
      </c>
    </row>
    <row r="19" spans="1:15" ht="18" customHeight="1" x14ac:dyDescent="0.3">
      <c r="A19" s="391">
        <v>3</v>
      </c>
      <c r="B19" s="340" t="s">
        <v>174</v>
      </c>
      <c r="C19" s="381" t="s">
        <v>57</v>
      </c>
      <c r="D19" s="323">
        <v>250</v>
      </c>
      <c r="E19" s="323">
        <v>250</v>
      </c>
      <c r="F19" s="382">
        <f>0.00007*1070*8</f>
        <v>0.59919999999999995</v>
      </c>
      <c r="G19" s="382">
        <f>0.00007*535*8</f>
        <v>0.29959999999999998</v>
      </c>
      <c r="H19" s="342"/>
      <c r="I19" s="392"/>
      <c r="J19"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19"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19" s="386">
        <f>IFERROR(Dermal_Exp[[#This Row],[High-End AD (mg/kg-day)]]*IF(Dermal_Exp[[#This Row],[ED_High-End]]&gt;EFID,EFID,Dermal_Exp[[#This Row],[ED_High-End]])/ID,"Not Assessed")</f>
        <v>5.4926666666666657E-3</v>
      </c>
      <c r="M19" s="386">
        <f>IFERROR(Dermal_Exp[[#This Row],[Central Tendency AD (mg/kg-day)]]*IF(Dermal_Exp[[#This Row],[ED_Central Tendency]]&gt;EFID,EFID,Dermal_Exp[[#This Row],[ED_Central Tendency]])/ID,"Not Assessed")</f>
        <v>2.7463333333333328E-3</v>
      </c>
      <c r="N19" s="389">
        <f>IFERROR(Dermal_Exp[[#This Row],[High-End AD (mg/kg-day)]]*Dermal_Exp[[#This Row],[ED_High-End]]*WY_high/(365*WY_high),"Not Assessed")</f>
        <v>5.1301369863013691E-3</v>
      </c>
      <c r="O19" s="389">
        <f>IFERROR(Dermal_Exp[[#This Row],[Central Tendency AD (mg/kg-day)]]*Dermal_Exp[[#This Row],[ED_Central Tendency]]*WY_mid/(365*WY_mid),"Not Assessed")</f>
        <v>2.5650684931506846E-3</v>
      </c>
    </row>
    <row r="20" spans="1:15" ht="18" customHeight="1" x14ac:dyDescent="0.3">
      <c r="A20" s="391">
        <v>3</v>
      </c>
      <c r="B20" s="340" t="s">
        <v>174</v>
      </c>
      <c r="C20" s="381" t="s">
        <v>168</v>
      </c>
      <c r="D20" s="323">
        <v>250</v>
      </c>
      <c r="E20" s="323">
        <v>250</v>
      </c>
      <c r="F20" s="382">
        <f>0.00007*890*8</f>
        <v>0.49839999999999995</v>
      </c>
      <c r="G20" s="382">
        <f>0.00007*445*8</f>
        <v>0.24919999999999998</v>
      </c>
      <c r="H20" s="342"/>
      <c r="I20" s="392"/>
      <c r="J20"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20"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20" s="386">
        <f>IFERROR(Dermal_Exp[[#This Row],[High-End AD (mg/kg-day)]]*IF(Dermal_Exp[[#This Row],[ED_High-End]]&gt;EFID,EFID,Dermal_Exp[[#This Row],[ED_High-End]])/ID,"Not Assessed")</f>
        <v>5.0465078817167174E-3</v>
      </c>
      <c r="M20" s="386">
        <f>IFERROR(Dermal_Exp[[#This Row],[Central Tendency AD (mg/kg-day)]]*IF(Dermal_Exp[[#This Row],[ED_Central Tendency]]&gt;EFID,EFID,Dermal_Exp[[#This Row],[ED_Central Tendency]])/ID,"Not Assessed")</f>
        <v>2.5232539408583587E-3</v>
      </c>
      <c r="N20" s="328">
        <f>IFERROR(Dermal_Exp[[#This Row],[High-End AD (mg/kg-day)]]*Dermal_Exp[[#This Row],[ED_High-End]]*WY_high/(365*WY_high),"Not Assessed")</f>
        <v>4.713425792387968E-3</v>
      </c>
      <c r="O20" s="328">
        <f>IFERROR(Dermal_Exp[[#This Row],[Central Tendency AD (mg/kg-day)]]*Dermal_Exp[[#This Row],[ED_Central Tendency]]*WY_mid/(365*WY_mid),"Not Assessed")</f>
        <v>2.3567128961939836E-3</v>
      </c>
    </row>
    <row r="21" spans="1:15" ht="18" customHeight="1" x14ac:dyDescent="0.3">
      <c r="A21" s="391">
        <v>3</v>
      </c>
      <c r="B21" s="340" t="s">
        <v>174</v>
      </c>
      <c r="C21" s="381" t="s">
        <v>74</v>
      </c>
      <c r="D21" s="323">
        <v>250</v>
      </c>
      <c r="E21" s="323">
        <v>250</v>
      </c>
      <c r="F21" s="382"/>
      <c r="G21" s="382"/>
      <c r="H21" s="382">
        <f>0.00007*535*8</f>
        <v>0.29959999999999998</v>
      </c>
      <c r="I21" s="382">
        <f>0.00007*267.5*8</f>
        <v>0.14979999999999999</v>
      </c>
      <c r="J21"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3.7449999999999996E-3</v>
      </c>
      <c r="K21"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1.8724999999999998E-3</v>
      </c>
      <c r="L21" s="386">
        <f>IFERROR(Dermal_Exp[[#This Row],[High-End AD (mg/kg-day)]]*IF(Dermal_Exp[[#This Row],[ED_High-End]]&gt;EFID,EFID,Dermal_Exp[[#This Row],[ED_High-End]])/ID,"Not Assessed")</f>
        <v>2.7463333333333328E-3</v>
      </c>
      <c r="M21" s="386">
        <f>IFERROR(Dermal_Exp[[#This Row],[Central Tendency AD (mg/kg-day)]]*IF(Dermal_Exp[[#This Row],[ED_Central Tendency]]&gt;EFID,EFID,Dermal_Exp[[#This Row],[ED_Central Tendency]])/ID,"Not Assessed")</f>
        <v>1.3731666666666664E-3</v>
      </c>
      <c r="N21" s="389">
        <f>IFERROR(Dermal_Exp[[#This Row],[High-End AD (mg/kg-day)]]*Dermal_Exp[[#This Row],[ED_High-End]]*WY_high/(365*WY_high),"Not Assessed")</f>
        <v>2.5650684931506846E-3</v>
      </c>
      <c r="O21" s="389">
        <f>IFERROR(Dermal_Exp[[#This Row],[Central Tendency AD (mg/kg-day)]]*Dermal_Exp[[#This Row],[ED_Central Tendency]]*WY_mid/(365*WY_mid),"Not Assessed")</f>
        <v>1.2825342465753423E-3</v>
      </c>
    </row>
    <row r="22" spans="1:15" ht="14" x14ac:dyDescent="0.3">
      <c r="A22" s="390">
        <v>4</v>
      </c>
      <c r="B22" s="340" t="s">
        <v>175</v>
      </c>
      <c r="C22" s="381" t="s">
        <v>57</v>
      </c>
      <c r="D22" s="323">
        <v>250</v>
      </c>
      <c r="E22" s="323">
        <v>223</v>
      </c>
      <c r="F22" s="382">
        <f>0.00007*1070*8</f>
        <v>0.59919999999999995</v>
      </c>
      <c r="G22" s="382">
        <f>0.00007*535*8</f>
        <v>0.29959999999999998</v>
      </c>
      <c r="H22" s="342"/>
      <c r="I22" s="392"/>
      <c r="J22"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22"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22" s="386">
        <f>IFERROR(Dermal_Exp[[#This Row],[High-End AD (mg/kg-day)]]*IF(Dermal_Exp[[#This Row],[ED_High-End]]&gt;EFID,EFID,Dermal_Exp[[#This Row],[ED_High-End]])/ID,"Not Assessed")</f>
        <v>5.4926666666666657E-3</v>
      </c>
      <c r="M22" s="386">
        <f>IFERROR(Dermal_Exp[[#This Row],[Central Tendency AD (mg/kg-day)]]*IF(Dermal_Exp[[#This Row],[ED_Central Tendency]]&gt;EFID,EFID,Dermal_Exp[[#This Row],[ED_Central Tendency]])/ID,"Not Assessed")</f>
        <v>2.7463333333333328E-3</v>
      </c>
      <c r="N22" s="328">
        <f>IFERROR(Dermal_Exp[[#This Row],[High-End AD (mg/kg-day)]]*Dermal_Exp[[#This Row],[ED_High-End]]*WY_high/(365*WY_high),"Not Assessed")</f>
        <v>5.1301369863013691E-3</v>
      </c>
      <c r="O22" s="328">
        <f>IFERROR(Dermal_Exp[[#This Row],[Central Tendency AD (mg/kg-day)]]*Dermal_Exp[[#This Row],[ED_Central Tendency]]*WY_mid/(365*WY_mid),"Not Assessed")</f>
        <v>2.2880410958904108E-3</v>
      </c>
    </row>
    <row r="23" spans="1:15" ht="14" x14ac:dyDescent="0.3">
      <c r="A23" s="390">
        <v>4</v>
      </c>
      <c r="B23" s="340" t="s">
        <v>175</v>
      </c>
      <c r="C23" s="381" t="s">
        <v>168</v>
      </c>
      <c r="D23" s="323">
        <v>250</v>
      </c>
      <c r="E23" s="323">
        <v>223</v>
      </c>
      <c r="F23" s="382">
        <f>0.00007*890*8</f>
        <v>0.49839999999999995</v>
      </c>
      <c r="G23" s="382">
        <f>0.00007*445*8</f>
        <v>0.24919999999999998</v>
      </c>
      <c r="H23" s="342"/>
      <c r="I23" s="392"/>
      <c r="J23"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23"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23" s="386">
        <f>IFERROR(Dermal_Exp[[#This Row],[High-End AD (mg/kg-day)]]*IF(Dermal_Exp[[#This Row],[ED_High-End]]&gt;EFID,EFID,Dermal_Exp[[#This Row],[ED_High-End]])/ID,"Not Assessed")</f>
        <v>5.0465078817167174E-3</v>
      </c>
      <c r="M23" s="386">
        <f>IFERROR(Dermal_Exp[[#This Row],[Central Tendency AD (mg/kg-day)]]*IF(Dermal_Exp[[#This Row],[ED_Central Tendency]]&gt;EFID,EFID,Dermal_Exp[[#This Row],[ED_Central Tendency]])/ID,"Not Assessed")</f>
        <v>2.5232539408583587E-3</v>
      </c>
      <c r="N23" s="389">
        <f>IFERROR(Dermal_Exp[[#This Row],[High-End AD (mg/kg-day)]]*Dermal_Exp[[#This Row],[ED_High-End]]*WY_high/(365*WY_high),"Not Assessed")</f>
        <v>4.713425792387968E-3</v>
      </c>
      <c r="O23" s="389">
        <f>IFERROR(Dermal_Exp[[#This Row],[Central Tendency AD (mg/kg-day)]]*Dermal_Exp[[#This Row],[ED_Central Tendency]]*WY_mid/(365*WY_mid),"Not Assessed")</f>
        <v>2.1021879034050337E-3</v>
      </c>
    </row>
    <row r="24" spans="1:15" ht="14" x14ac:dyDescent="0.3">
      <c r="A24" s="390">
        <v>4</v>
      </c>
      <c r="B24" s="340" t="s">
        <v>175</v>
      </c>
      <c r="C24" s="381" t="s">
        <v>74</v>
      </c>
      <c r="D24" s="323">
        <v>250</v>
      </c>
      <c r="E24" s="323">
        <v>223</v>
      </c>
      <c r="F24" s="382"/>
      <c r="G24" s="382"/>
      <c r="H24" s="382">
        <f>0.00007*535*8</f>
        <v>0.29959999999999998</v>
      </c>
      <c r="I24" s="382">
        <f>0.00007*267.5*8</f>
        <v>0.14979999999999999</v>
      </c>
      <c r="J24"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3.7449999999999996E-3</v>
      </c>
      <c r="K24"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1.8724999999999998E-3</v>
      </c>
      <c r="L24" s="386">
        <f>IFERROR(Dermal_Exp[[#This Row],[High-End AD (mg/kg-day)]]*IF(Dermal_Exp[[#This Row],[ED_High-End]]&gt;EFID,EFID,Dermal_Exp[[#This Row],[ED_High-End]])/ID,"Not Assessed")</f>
        <v>2.7463333333333328E-3</v>
      </c>
      <c r="M24" s="386">
        <f>IFERROR(Dermal_Exp[[#This Row],[Central Tendency AD (mg/kg-day)]]*IF(Dermal_Exp[[#This Row],[ED_Central Tendency]]&gt;EFID,EFID,Dermal_Exp[[#This Row],[ED_Central Tendency]])/ID,"Not Assessed")</f>
        <v>1.3731666666666664E-3</v>
      </c>
      <c r="N24" s="328">
        <f>IFERROR(Dermal_Exp[[#This Row],[High-End AD (mg/kg-day)]]*Dermal_Exp[[#This Row],[ED_High-End]]*WY_high/(365*WY_high),"Not Assessed")</f>
        <v>2.5650684931506846E-3</v>
      </c>
      <c r="O24" s="328">
        <f>IFERROR(Dermal_Exp[[#This Row],[Central Tendency AD (mg/kg-day)]]*Dermal_Exp[[#This Row],[ED_Central Tendency]]*WY_mid/(365*WY_mid),"Not Assessed")</f>
        <v>1.1440205479452054E-3</v>
      </c>
    </row>
    <row r="25" spans="1:15" ht="14" x14ac:dyDescent="0.3">
      <c r="A25" s="390">
        <v>3</v>
      </c>
      <c r="B25" s="340" t="s">
        <v>56</v>
      </c>
      <c r="C25" s="381" t="s">
        <v>57</v>
      </c>
      <c r="D25" s="323">
        <v>250</v>
      </c>
      <c r="E25" s="323">
        <v>219</v>
      </c>
      <c r="F25" s="382"/>
      <c r="G25" s="382"/>
      <c r="H25" s="382">
        <f>0.00007*1070*8</f>
        <v>0.59919999999999995</v>
      </c>
      <c r="I25" s="382">
        <f>0.00007*535*8</f>
        <v>0.29959999999999998</v>
      </c>
      <c r="J25"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25"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25" s="386">
        <f>IFERROR(Dermal_Exp[[#This Row],[High-End AD (mg/kg-day)]]*IF(Dermal_Exp[[#This Row],[ED_High-End]]&gt;EFID,EFID,Dermal_Exp[[#This Row],[ED_High-End]])/ID,"Not Assessed")</f>
        <v>5.4926666666666657E-3</v>
      </c>
      <c r="M25" s="386">
        <f>IFERROR(Dermal_Exp[[#This Row],[Central Tendency AD (mg/kg-day)]]*IF(Dermal_Exp[[#This Row],[ED_Central Tendency]]&gt;EFID,EFID,Dermal_Exp[[#This Row],[ED_Central Tendency]])/ID,"Not Assessed")</f>
        <v>2.7463333333333328E-3</v>
      </c>
      <c r="N25" s="328">
        <f>IFERROR(Dermal_Exp[[#This Row],[High-End AD (mg/kg-day)]]*Dermal_Exp[[#This Row],[ED_High-End]]*WY_high/(365*WY_high),"Not Assessed")</f>
        <v>5.1301369863013691E-3</v>
      </c>
      <c r="O25" s="328">
        <f>IFERROR(Dermal_Exp[[#This Row],[Central Tendency AD (mg/kg-day)]]*Dermal_Exp[[#This Row],[ED_Central Tendency]]*WY_mid/(365*WY_mid),"Not Assessed")</f>
        <v>2.2469999999999999E-3</v>
      </c>
    </row>
    <row r="26" spans="1:15" ht="14" x14ac:dyDescent="0.3">
      <c r="A26" s="390">
        <v>3</v>
      </c>
      <c r="B26" s="340" t="s">
        <v>56</v>
      </c>
      <c r="C26" s="381" t="s">
        <v>168</v>
      </c>
      <c r="D26" s="323">
        <v>250</v>
      </c>
      <c r="E26" s="323">
        <v>219</v>
      </c>
      <c r="F26" s="382"/>
      <c r="G26" s="382"/>
      <c r="H26" s="382">
        <f>0.00007*890*8</f>
        <v>0.49839999999999995</v>
      </c>
      <c r="I26" s="382">
        <f>0.00007*445*8</f>
        <v>0.24919999999999998</v>
      </c>
      <c r="J26"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26"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26" s="386">
        <f>IFERROR(Dermal_Exp[[#This Row],[High-End AD (mg/kg-day)]]*IF(Dermal_Exp[[#This Row],[ED_High-End]]&gt;EFID,EFID,Dermal_Exp[[#This Row],[ED_High-End]])/ID,"Not Assessed")</f>
        <v>5.0465078817167174E-3</v>
      </c>
      <c r="M26" s="386">
        <f>IFERROR(Dermal_Exp[[#This Row],[Central Tendency AD (mg/kg-day)]]*IF(Dermal_Exp[[#This Row],[ED_Central Tendency]]&gt;EFID,EFID,Dermal_Exp[[#This Row],[ED_Central Tendency]])/ID,"Not Assessed")</f>
        <v>2.5232539408583587E-3</v>
      </c>
      <c r="N26" s="389">
        <f>IFERROR(Dermal_Exp[[#This Row],[High-End AD (mg/kg-day)]]*Dermal_Exp[[#This Row],[ED_High-End]]*WY_high/(365*WY_high),"Not Assessed")</f>
        <v>4.713425792387968E-3</v>
      </c>
      <c r="O26" s="389">
        <f>IFERROR(Dermal_Exp[[#This Row],[Central Tendency AD (mg/kg-day)]]*Dermal_Exp[[#This Row],[ED_Central Tendency]]*WY_mid/(365*WY_mid),"Not Assessed")</f>
        <v>2.0644804970659301E-3</v>
      </c>
    </row>
    <row r="27" spans="1:15" ht="14" x14ac:dyDescent="0.3">
      <c r="A27" s="390">
        <v>3</v>
      </c>
      <c r="B27" s="340" t="s">
        <v>56</v>
      </c>
      <c r="C27" s="381" t="s">
        <v>74</v>
      </c>
      <c r="D27" s="323">
        <v>250</v>
      </c>
      <c r="E27" s="323">
        <v>219</v>
      </c>
      <c r="F27" s="382"/>
      <c r="G27" s="382"/>
      <c r="H27" s="382">
        <f>0.00007*535*8</f>
        <v>0.29959999999999998</v>
      </c>
      <c r="I27" s="382">
        <f>0.00007*267.5*8</f>
        <v>0.14979999999999999</v>
      </c>
      <c r="J27"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3.7449999999999996E-3</v>
      </c>
      <c r="K27"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1.8724999999999998E-3</v>
      </c>
      <c r="L27" s="386">
        <f>IFERROR(Dermal_Exp[[#This Row],[High-End AD (mg/kg-day)]]*IF(Dermal_Exp[[#This Row],[ED_High-End]]&gt;EFID,EFID,Dermal_Exp[[#This Row],[ED_High-End]])/ID,"Not Assessed")</f>
        <v>2.7463333333333328E-3</v>
      </c>
      <c r="M27" s="386">
        <f>IFERROR(Dermal_Exp[[#This Row],[Central Tendency AD (mg/kg-day)]]*IF(Dermal_Exp[[#This Row],[ED_Central Tendency]]&gt;EFID,EFID,Dermal_Exp[[#This Row],[ED_Central Tendency]])/ID,"Not Assessed")</f>
        <v>1.3731666666666664E-3</v>
      </c>
      <c r="N27" s="328">
        <f>IFERROR(Dermal_Exp[[#This Row],[High-End AD (mg/kg-day)]]*Dermal_Exp[[#This Row],[ED_High-End]]*WY_high/(365*WY_high),"Not Assessed")</f>
        <v>2.5650684931506846E-3</v>
      </c>
      <c r="O27" s="328">
        <f>IFERROR(Dermal_Exp[[#This Row],[Central Tendency AD (mg/kg-day)]]*Dermal_Exp[[#This Row],[ED_Central Tendency]]*WY_mid/(365*WY_mid),"Not Assessed")</f>
        <v>1.1234999999999999E-3</v>
      </c>
    </row>
    <row r="28" spans="1:15" ht="14" x14ac:dyDescent="0.3">
      <c r="A28" s="390">
        <v>3</v>
      </c>
      <c r="B28" s="340" t="s">
        <v>176</v>
      </c>
      <c r="C28" s="381" t="s">
        <v>57</v>
      </c>
      <c r="D28" s="323">
        <v>250</v>
      </c>
      <c r="E28" s="323">
        <v>234</v>
      </c>
      <c r="F28" s="382">
        <f>0.00007*1070*8</f>
        <v>0.59919999999999995</v>
      </c>
      <c r="G28" s="382">
        <f>0.00007*535*8</f>
        <v>0.29959999999999998</v>
      </c>
      <c r="H28" s="342"/>
      <c r="I28" s="392"/>
      <c r="J28"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28"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28" s="386">
        <f>IFERROR(Dermal_Exp[[#This Row],[High-End AD (mg/kg-day)]]*IF(Dermal_Exp[[#This Row],[ED_High-End]]&gt;EFID,EFID,Dermal_Exp[[#This Row],[ED_High-End]])/ID,"Not Assessed")</f>
        <v>5.4926666666666657E-3</v>
      </c>
      <c r="M28" s="386">
        <f>IFERROR(Dermal_Exp[[#This Row],[Central Tendency AD (mg/kg-day)]]*IF(Dermal_Exp[[#This Row],[ED_Central Tendency]]&gt;EFID,EFID,Dermal_Exp[[#This Row],[ED_Central Tendency]])/ID,"Not Assessed")</f>
        <v>2.7463333333333328E-3</v>
      </c>
      <c r="N28" s="389">
        <f>IFERROR(Dermal_Exp[[#This Row],[High-End AD (mg/kg-day)]]*Dermal_Exp[[#This Row],[ED_High-End]]*WY_high/(365*WY_high),"Not Assessed")</f>
        <v>5.1301369863013691E-3</v>
      </c>
      <c r="O28" s="389">
        <f>IFERROR(Dermal_Exp[[#This Row],[Central Tendency AD (mg/kg-day)]]*Dermal_Exp[[#This Row],[ED_Central Tendency]]*WY_mid/(365*WY_mid),"Not Assessed")</f>
        <v>2.4009041095890411E-3</v>
      </c>
    </row>
    <row r="29" spans="1:15" ht="14" x14ac:dyDescent="0.3">
      <c r="A29" s="390">
        <v>3</v>
      </c>
      <c r="B29" s="340" t="s">
        <v>176</v>
      </c>
      <c r="C29" s="381" t="s">
        <v>168</v>
      </c>
      <c r="D29" s="323">
        <v>250</v>
      </c>
      <c r="E29" s="323">
        <v>234</v>
      </c>
      <c r="F29" s="382">
        <f>0.00007*890*8</f>
        <v>0.49839999999999995</v>
      </c>
      <c r="G29" s="382">
        <f>0.00007*445*8</f>
        <v>0.24919999999999998</v>
      </c>
      <c r="H29" s="342"/>
      <c r="I29" s="392"/>
      <c r="J29"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29"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29" s="386">
        <f>IFERROR(Dermal_Exp[[#This Row],[High-End AD (mg/kg-day)]]*IF(Dermal_Exp[[#This Row],[ED_High-End]]&gt;EFID,EFID,Dermal_Exp[[#This Row],[ED_High-End]])/ID,"Not Assessed")</f>
        <v>5.0465078817167174E-3</v>
      </c>
      <c r="M29" s="386">
        <f>IFERROR(Dermal_Exp[[#This Row],[Central Tendency AD (mg/kg-day)]]*IF(Dermal_Exp[[#This Row],[ED_Central Tendency]]&gt;EFID,EFID,Dermal_Exp[[#This Row],[ED_Central Tendency]])/ID,"Not Assessed")</f>
        <v>2.5232539408583587E-3</v>
      </c>
      <c r="N29" s="328">
        <f>IFERROR(Dermal_Exp[[#This Row],[High-End AD (mg/kg-day)]]*Dermal_Exp[[#This Row],[ED_High-End]]*WY_high/(365*WY_high),"Not Assessed")</f>
        <v>4.713425792387968E-3</v>
      </c>
      <c r="O29" s="328">
        <f>IFERROR(Dermal_Exp[[#This Row],[Central Tendency AD (mg/kg-day)]]*Dermal_Exp[[#This Row],[ED_Central Tendency]]*WY_mid/(365*WY_mid),"Not Assessed")</f>
        <v>2.205883270837569E-3</v>
      </c>
    </row>
    <row r="30" spans="1:15" ht="14" x14ac:dyDescent="0.3">
      <c r="A30" s="390">
        <v>3</v>
      </c>
      <c r="B30" s="340" t="s">
        <v>176</v>
      </c>
      <c r="C30" s="381" t="s">
        <v>74</v>
      </c>
      <c r="D30" s="323">
        <v>250</v>
      </c>
      <c r="E30" s="323">
        <v>234</v>
      </c>
      <c r="F30" s="382"/>
      <c r="G30" s="382"/>
      <c r="H30" s="382">
        <f>0.00007*535*8</f>
        <v>0.29959999999999998</v>
      </c>
      <c r="I30" s="382">
        <f>0.00007*267.5*8</f>
        <v>0.14979999999999999</v>
      </c>
      <c r="J30"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3.7449999999999996E-3</v>
      </c>
      <c r="K30"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1.8724999999999998E-3</v>
      </c>
      <c r="L30" s="386">
        <f>IFERROR(Dermal_Exp[[#This Row],[High-End AD (mg/kg-day)]]*IF(Dermal_Exp[[#This Row],[ED_High-End]]&gt;EFID,EFID,Dermal_Exp[[#This Row],[ED_High-End]])/ID,"Not Assessed")</f>
        <v>2.7463333333333328E-3</v>
      </c>
      <c r="M30" s="386">
        <f>IFERROR(Dermal_Exp[[#This Row],[Central Tendency AD (mg/kg-day)]]*IF(Dermal_Exp[[#This Row],[ED_Central Tendency]]&gt;EFID,EFID,Dermal_Exp[[#This Row],[ED_Central Tendency]])/ID,"Not Assessed")</f>
        <v>1.3731666666666664E-3</v>
      </c>
      <c r="N30" s="389">
        <f>IFERROR(Dermal_Exp[[#This Row],[High-End AD (mg/kg-day)]]*Dermal_Exp[[#This Row],[ED_High-End]]*WY_high/(365*WY_high),"Not Assessed")</f>
        <v>2.5650684931506846E-3</v>
      </c>
      <c r="O30" s="389">
        <f>IFERROR(Dermal_Exp[[#This Row],[Central Tendency AD (mg/kg-day)]]*Dermal_Exp[[#This Row],[ED_Central Tendency]]*WY_mid/(365*WY_mid),"Not Assessed")</f>
        <v>1.2004520547945206E-3</v>
      </c>
    </row>
    <row r="31" spans="1:15" ht="14" x14ac:dyDescent="0.3">
      <c r="A31" s="390">
        <v>3</v>
      </c>
      <c r="B31" s="340" t="s">
        <v>177</v>
      </c>
      <c r="C31" s="381" t="s">
        <v>57</v>
      </c>
      <c r="D31" s="323">
        <v>250</v>
      </c>
      <c r="E31" s="323">
        <v>219</v>
      </c>
      <c r="F31" s="382"/>
      <c r="G31" s="382"/>
      <c r="H31" s="382">
        <f>0.00007*1070*8</f>
        <v>0.59919999999999995</v>
      </c>
      <c r="I31" s="382">
        <f>0.00007*535*8</f>
        <v>0.29959999999999998</v>
      </c>
      <c r="J31"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31"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31" s="386">
        <f>IFERROR(Dermal_Exp[[#This Row],[High-End AD (mg/kg-day)]]*IF(Dermal_Exp[[#This Row],[ED_High-End]]&gt;EFID,EFID,Dermal_Exp[[#This Row],[ED_High-End]])/ID,"Not Assessed")</f>
        <v>5.4926666666666657E-3</v>
      </c>
      <c r="M31" s="386">
        <f>IFERROR(Dermal_Exp[[#This Row],[Central Tendency AD (mg/kg-day)]]*IF(Dermal_Exp[[#This Row],[ED_Central Tendency]]&gt;EFID,EFID,Dermal_Exp[[#This Row],[ED_Central Tendency]])/ID,"Not Assessed")</f>
        <v>2.7463333333333328E-3</v>
      </c>
      <c r="N31" s="328">
        <f>IFERROR(Dermal_Exp[[#This Row],[High-End AD (mg/kg-day)]]*Dermal_Exp[[#This Row],[ED_High-End]]*WY_high/(365*WY_high),"Not Assessed")</f>
        <v>5.1301369863013691E-3</v>
      </c>
      <c r="O31" s="328">
        <f>IFERROR(Dermal_Exp[[#This Row],[Central Tendency AD (mg/kg-day)]]*Dermal_Exp[[#This Row],[ED_Central Tendency]]*WY_mid/(365*WY_mid),"Not Assessed")</f>
        <v>2.2469999999999999E-3</v>
      </c>
    </row>
    <row r="32" spans="1:15" ht="14" x14ac:dyDescent="0.3">
      <c r="A32" s="390">
        <v>3</v>
      </c>
      <c r="B32" s="340" t="s">
        <v>177</v>
      </c>
      <c r="C32" s="381" t="s">
        <v>168</v>
      </c>
      <c r="D32" s="323">
        <v>250</v>
      </c>
      <c r="E32" s="323">
        <v>219</v>
      </c>
      <c r="F32" s="382"/>
      <c r="G32" s="382"/>
      <c r="H32" s="382">
        <f>0.00007*890*8</f>
        <v>0.49839999999999995</v>
      </c>
      <c r="I32" s="382">
        <f>0.00007*445*8</f>
        <v>0.24919999999999998</v>
      </c>
      <c r="J32"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32"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32" s="386">
        <f>IFERROR(Dermal_Exp[[#This Row],[High-End AD (mg/kg-day)]]*IF(Dermal_Exp[[#This Row],[ED_High-End]]&gt;EFID,EFID,Dermal_Exp[[#This Row],[ED_High-End]])/ID,"Not Assessed")</f>
        <v>5.0465078817167174E-3</v>
      </c>
      <c r="M32" s="386">
        <f>IFERROR(Dermal_Exp[[#This Row],[Central Tendency AD (mg/kg-day)]]*IF(Dermal_Exp[[#This Row],[ED_Central Tendency]]&gt;EFID,EFID,Dermal_Exp[[#This Row],[ED_Central Tendency]])/ID,"Not Assessed")</f>
        <v>2.5232539408583587E-3</v>
      </c>
      <c r="N32" s="389">
        <f>IFERROR(Dermal_Exp[[#This Row],[High-End AD (mg/kg-day)]]*Dermal_Exp[[#This Row],[ED_High-End]]*WY_high/(365*WY_high),"Not Assessed")</f>
        <v>4.713425792387968E-3</v>
      </c>
      <c r="O32" s="389">
        <f>IFERROR(Dermal_Exp[[#This Row],[Central Tendency AD (mg/kg-day)]]*Dermal_Exp[[#This Row],[ED_Central Tendency]]*WY_mid/(365*WY_mid),"Not Assessed")</f>
        <v>2.0644804970659301E-3</v>
      </c>
    </row>
    <row r="33" spans="1:15" ht="14" x14ac:dyDescent="0.3">
      <c r="A33" s="390">
        <v>3</v>
      </c>
      <c r="B33" s="340" t="s">
        <v>177</v>
      </c>
      <c r="C33" s="381" t="s">
        <v>74</v>
      </c>
      <c r="D33" s="323">
        <v>250</v>
      </c>
      <c r="E33" s="323">
        <v>219</v>
      </c>
      <c r="F33" s="382"/>
      <c r="G33" s="382"/>
      <c r="H33" s="382">
        <f>0.00007*535*8</f>
        <v>0.29959999999999998</v>
      </c>
      <c r="I33" s="382">
        <f>0.00007*267.5*8</f>
        <v>0.14979999999999999</v>
      </c>
      <c r="J33"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3.7449999999999996E-3</v>
      </c>
      <c r="K33"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1.8724999999999998E-3</v>
      </c>
      <c r="L33" s="386">
        <f>IFERROR(Dermal_Exp[[#This Row],[High-End AD (mg/kg-day)]]*IF(Dermal_Exp[[#This Row],[ED_High-End]]&gt;EFID,EFID,Dermal_Exp[[#This Row],[ED_High-End]])/ID,"Not Assessed")</f>
        <v>2.7463333333333328E-3</v>
      </c>
      <c r="M33" s="386">
        <f>IFERROR(Dermal_Exp[[#This Row],[Central Tendency AD (mg/kg-day)]]*IF(Dermal_Exp[[#This Row],[ED_Central Tendency]]&gt;EFID,EFID,Dermal_Exp[[#This Row],[ED_Central Tendency]])/ID,"Not Assessed")</f>
        <v>1.3731666666666664E-3</v>
      </c>
      <c r="N33" s="328">
        <f>IFERROR(Dermal_Exp[[#This Row],[High-End AD (mg/kg-day)]]*Dermal_Exp[[#This Row],[ED_High-End]]*WY_high/(365*WY_high),"Not Assessed")</f>
        <v>2.5650684931506846E-3</v>
      </c>
      <c r="O33" s="328">
        <f>IFERROR(Dermal_Exp[[#This Row],[Central Tendency AD (mg/kg-day)]]*Dermal_Exp[[#This Row],[ED_Central Tendency]]*WY_mid/(365*WY_mid),"Not Assessed")</f>
        <v>1.1234999999999999E-3</v>
      </c>
    </row>
    <row r="34" spans="1:15" ht="14" x14ac:dyDescent="0.3">
      <c r="A34" s="390">
        <v>4</v>
      </c>
      <c r="B34" s="340" t="s">
        <v>398</v>
      </c>
      <c r="C34" s="381" t="s">
        <v>57</v>
      </c>
      <c r="D34" s="323">
        <v>250</v>
      </c>
      <c r="E34" s="323">
        <v>250</v>
      </c>
      <c r="F34" s="382">
        <f>0.00007*1070*8</f>
        <v>0.59919999999999995</v>
      </c>
      <c r="G34" s="382">
        <f>0.00007*535*8</f>
        <v>0.29959999999999998</v>
      </c>
      <c r="H34" s="323"/>
      <c r="I34" s="393"/>
      <c r="J34"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34"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34" s="386">
        <f>IFERROR(Dermal_Exp[[#This Row],[High-End AD (mg/kg-day)]]*IF(Dermal_Exp[[#This Row],[ED_High-End]]&gt;EFID,EFID,Dermal_Exp[[#This Row],[ED_High-End]])/ID,"Not Assessed")</f>
        <v>5.4926666666666657E-3</v>
      </c>
      <c r="M34" s="386">
        <f>IFERROR(Dermal_Exp[[#This Row],[Central Tendency AD (mg/kg-day)]]*IF(Dermal_Exp[[#This Row],[ED_Central Tendency]]&gt;EFID,EFID,Dermal_Exp[[#This Row],[ED_Central Tendency]])/ID,"Not Assessed")</f>
        <v>2.7463333333333328E-3</v>
      </c>
      <c r="N34" s="389">
        <f>IFERROR(Dermal_Exp[[#This Row],[High-End AD (mg/kg-day)]]*Dermal_Exp[[#This Row],[ED_High-End]]*WY_high/(365*WY_high),"Not Assessed")</f>
        <v>5.1301369863013691E-3</v>
      </c>
      <c r="O34" s="389">
        <f>IFERROR(Dermal_Exp[[#This Row],[Central Tendency AD (mg/kg-day)]]*Dermal_Exp[[#This Row],[ED_Central Tendency]]*WY_mid/(365*WY_mid),"Not Assessed")</f>
        <v>2.5650684931506846E-3</v>
      </c>
    </row>
    <row r="35" spans="1:15" ht="14" x14ac:dyDescent="0.3">
      <c r="A35" s="390">
        <v>4</v>
      </c>
      <c r="B35" s="340" t="s">
        <v>398</v>
      </c>
      <c r="C35" s="381" t="s">
        <v>168</v>
      </c>
      <c r="D35" s="323">
        <v>250</v>
      </c>
      <c r="E35" s="323">
        <v>250</v>
      </c>
      <c r="F35" s="382">
        <f>0.00007*890*8</f>
        <v>0.49839999999999995</v>
      </c>
      <c r="G35" s="382">
        <f>0.00007*445*8</f>
        <v>0.24919999999999998</v>
      </c>
      <c r="H35" s="323"/>
      <c r="I35" s="393"/>
      <c r="J35"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35"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35" s="386">
        <f>IFERROR(Dermal_Exp[[#This Row],[High-End AD (mg/kg-day)]]*IF(Dermal_Exp[[#This Row],[ED_High-End]]&gt;EFID,EFID,Dermal_Exp[[#This Row],[ED_High-End]])/ID,"Not Assessed")</f>
        <v>5.0465078817167174E-3</v>
      </c>
      <c r="M35" s="386">
        <f>IFERROR(Dermal_Exp[[#This Row],[Central Tendency AD (mg/kg-day)]]*IF(Dermal_Exp[[#This Row],[ED_Central Tendency]]&gt;EFID,EFID,Dermal_Exp[[#This Row],[ED_Central Tendency]])/ID,"Not Assessed")</f>
        <v>2.5232539408583587E-3</v>
      </c>
      <c r="N35" s="328">
        <f>IFERROR(Dermal_Exp[[#This Row],[High-End AD (mg/kg-day)]]*Dermal_Exp[[#This Row],[ED_High-End]]*WY_high/(365*WY_high),"Not Assessed")</f>
        <v>4.713425792387968E-3</v>
      </c>
      <c r="O35" s="328">
        <f>IFERROR(Dermal_Exp[[#This Row],[Central Tendency AD (mg/kg-day)]]*Dermal_Exp[[#This Row],[ED_Central Tendency]]*WY_mid/(365*WY_mid),"Not Assessed")</f>
        <v>2.3567128961939836E-3</v>
      </c>
    </row>
    <row r="36" spans="1:15" ht="13.5" customHeight="1" x14ac:dyDescent="0.3">
      <c r="A36" s="390">
        <v>4</v>
      </c>
      <c r="B36" s="340" t="s">
        <v>398</v>
      </c>
      <c r="C36" s="381" t="s">
        <v>74</v>
      </c>
      <c r="D36" s="323">
        <v>250</v>
      </c>
      <c r="E36" s="323">
        <v>250</v>
      </c>
      <c r="F36" s="382">
        <f>0.00007*535*8</f>
        <v>0.29959999999999998</v>
      </c>
      <c r="G36" s="382">
        <f>0.00007*267.5*8</f>
        <v>0.14979999999999999</v>
      </c>
      <c r="H36" s="323"/>
      <c r="I36" s="393"/>
      <c r="J36"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3.7449999999999996E-3</v>
      </c>
      <c r="K36"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1.8724999999999998E-3</v>
      </c>
      <c r="L36" s="386">
        <f>IFERROR(Dermal_Exp[[#This Row],[High-End AD (mg/kg-day)]]*IF(Dermal_Exp[[#This Row],[ED_High-End]]&gt;EFID,EFID,Dermal_Exp[[#This Row],[ED_High-End]])/ID,"Not Assessed")</f>
        <v>2.7463333333333328E-3</v>
      </c>
      <c r="M36" s="386">
        <f>IFERROR(Dermal_Exp[[#This Row],[Central Tendency AD (mg/kg-day)]]*IF(Dermal_Exp[[#This Row],[ED_Central Tendency]]&gt;EFID,EFID,Dermal_Exp[[#This Row],[ED_Central Tendency]])/ID,"Not Assessed")</f>
        <v>1.3731666666666664E-3</v>
      </c>
      <c r="N36" s="389">
        <f>IFERROR(Dermal_Exp[[#This Row],[High-End AD (mg/kg-day)]]*Dermal_Exp[[#This Row],[ED_High-End]]*WY_high/(365*WY_high),"Not Assessed")</f>
        <v>2.5650684931506846E-3</v>
      </c>
      <c r="O36" s="389">
        <f>IFERROR(Dermal_Exp[[#This Row],[Central Tendency AD (mg/kg-day)]]*Dermal_Exp[[#This Row],[ED_Central Tendency]]*WY_mid/(365*WY_mid),"Not Assessed")</f>
        <v>1.2825342465753423E-3</v>
      </c>
    </row>
    <row r="37" spans="1:15" ht="26" x14ac:dyDescent="0.3">
      <c r="A37" s="390">
        <v>4</v>
      </c>
      <c r="B37" s="340" t="s">
        <v>399</v>
      </c>
      <c r="C37" s="381" t="s">
        <v>57</v>
      </c>
      <c r="D37" s="323">
        <v>250</v>
      </c>
      <c r="E37" s="323">
        <v>250</v>
      </c>
      <c r="F37" s="382">
        <f>0.00007*1070*8</f>
        <v>0.59919999999999995</v>
      </c>
      <c r="G37" s="382">
        <f>0.00007*535*8</f>
        <v>0.29959999999999998</v>
      </c>
      <c r="H37" s="394"/>
      <c r="I37" s="394"/>
      <c r="J37" s="385">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37" s="39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37" s="386">
        <f>IFERROR(Dermal_Exp[[#This Row],[High-End AD (mg/kg-day)]]*IF(Dermal_Exp[[#This Row],[ED_High-End]]&gt;EFID,EFID,Dermal_Exp[[#This Row],[ED_High-End]])/ID,"Not Assessed")</f>
        <v>5.4926666666666657E-3</v>
      </c>
      <c r="M37" s="386">
        <f>IFERROR(Dermal_Exp[[#This Row],[Central Tendency AD (mg/kg-day)]]*IF(Dermal_Exp[[#This Row],[ED_Central Tendency]]&gt;EFID,EFID,Dermal_Exp[[#This Row],[ED_Central Tendency]])/ID,"Not Assessed")</f>
        <v>2.7463333333333328E-3</v>
      </c>
      <c r="N37" s="328">
        <f>IFERROR(Dermal_Exp[[#This Row],[High-End AD (mg/kg-day)]]*Dermal_Exp[[#This Row],[ED_High-End]]*WY_high/(365*WY_high),"Not Assessed")</f>
        <v>5.1301369863013691E-3</v>
      </c>
      <c r="O37" s="328">
        <f>IFERROR(Dermal_Exp[[#This Row],[Central Tendency AD (mg/kg-day)]]*Dermal_Exp[[#This Row],[ED_Central Tendency]]*WY_mid/(365*WY_mid),"Not Assessed")</f>
        <v>2.5650684931506846E-3</v>
      </c>
    </row>
    <row r="38" spans="1:15" ht="26" x14ac:dyDescent="0.3">
      <c r="A38" s="390">
        <v>4</v>
      </c>
      <c r="B38" s="340" t="s">
        <v>399</v>
      </c>
      <c r="C38" s="381" t="s">
        <v>168</v>
      </c>
      <c r="D38" s="323">
        <v>250</v>
      </c>
      <c r="E38" s="323">
        <v>250</v>
      </c>
      <c r="F38" s="382">
        <f>0.00007*890*8</f>
        <v>0.49839999999999995</v>
      </c>
      <c r="G38" s="382">
        <f>0.00007*445*8</f>
        <v>0.24919999999999998</v>
      </c>
      <c r="H38" s="394"/>
      <c r="I38" s="394"/>
      <c r="J38" s="385">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38" s="328">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38" s="386">
        <f>IFERROR(Dermal_Exp[[#This Row],[High-End AD (mg/kg-day)]]*IF(Dermal_Exp[[#This Row],[ED_High-End]]&gt;EFID,EFID,Dermal_Exp[[#This Row],[ED_High-End]])/ID,"Not Assessed")</f>
        <v>5.0465078817167174E-3</v>
      </c>
      <c r="M38" s="386">
        <f>IFERROR(Dermal_Exp[[#This Row],[Central Tendency AD (mg/kg-day)]]*IF(Dermal_Exp[[#This Row],[ED_Central Tendency]]&gt;EFID,EFID,Dermal_Exp[[#This Row],[ED_Central Tendency]])/ID,"Not Assessed")</f>
        <v>2.5232539408583587E-3</v>
      </c>
      <c r="N38" s="328">
        <f>IFERROR(Dermal_Exp[[#This Row],[High-End AD (mg/kg-day)]]*Dermal_Exp[[#This Row],[ED_High-End]]*WY_high/(365*WY_high),"Not Assessed")</f>
        <v>4.713425792387968E-3</v>
      </c>
      <c r="O38" s="328">
        <f>IFERROR(Dermal_Exp[[#This Row],[Central Tendency AD (mg/kg-day)]]*Dermal_Exp[[#This Row],[ED_Central Tendency]]*WY_mid/(365*WY_mid),"Not Assessed")</f>
        <v>2.3567128961939836E-3</v>
      </c>
    </row>
    <row r="39" spans="1:15" ht="26" x14ac:dyDescent="0.3">
      <c r="A39" s="390">
        <v>4</v>
      </c>
      <c r="B39" s="340" t="s">
        <v>399</v>
      </c>
      <c r="C39" s="381" t="s">
        <v>74</v>
      </c>
      <c r="D39" s="323">
        <v>250</v>
      </c>
      <c r="E39" s="323">
        <v>250</v>
      </c>
      <c r="F39" s="396"/>
      <c r="G39" s="396"/>
      <c r="H39" s="394"/>
      <c r="I39" s="394"/>
      <c r="J39" s="385">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0</v>
      </c>
      <c r="K39" s="328">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0</v>
      </c>
      <c r="L39" s="386">
        <f>IFERROR(Dermal_Exp[[#This Row],[High-End AD (mg/kg-day)]]*IF(Dermal_Exp[[#This Row],[ED_High-End]]&gt;EFID,EFID,Dermal_Exp[[#This Row],[ED_High-End]])/ID,"Not Assessed")</f>
        <v>0</v>
      </c>
      <c r="M39" s="386">
        <f>IFERROR(Dermal_Exp[[#This Row],[Central Tendency AD (mg/kg-day)]]*IF(Dermal_Exp[[#This Row],[ED_Central Tendency]]&gt;EFID,EFID,Dermal_Exp[[#This Row],[ED_Central Tendency]])/ID,"Not Assessed")</f>
        <v>0</v>
      </c>
      <c r="N39" s="328">
        <f>IFERROR(Dermal_Exp[[#This Row],[High-End AD (mg/kg-day)]]*Dermal_Exp[[#This Row],[ED_High-End]]*WY_high/(365*WY_high),"Not Assessed")</f>
        <v>0</v>
      </c>
      <c r="O39" s="328">
        <f>IFERROR(Dermal_Exp[[#This Row],[Central Tendency AD (mg/kg-day)]]*Dermal_Exp[[#This Row],[ED_Central Tendency]]*WY_mid/(365*WY_mid),"Not Assessed")</f>
        <v>0</v>
      </c>
    </row>
    <row r="40" spans="1:15" ht="26" x14ac:dyDescent="0.3">
      <c r="A40" s="390">
        <v>4</v>
      </c>
      <c r="B40" s="340" t="s">
        <v>400</v>
      </c>
      <c r="C40" s="381" t="s">
        <v>57</v>
      </c>
      <c r="D40" s="323">
        <v>250</v>
      </c>
      <c r="E40" s="323">
        <v>232</v>
      </c>
      <c r="F40" s="382">
        <f>0.00007*1070*8</f>
        <v>0.59919999999999995</v>
      </c>
      <c r="G40" s="382">
        <f>0.00007*535*8</f>
        <v>0.29959999999999998</v>
      </c>
      <c r="H40" s="323"/>
      <c r="I40" s="393"/>
      <c r="J40"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40"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40" s="386">
        <f>IFERROR(Dermal_Exp[[#This Row],[High-End AD (mg/kg-day)]]*IF(Dermal_Exp[[#This Row],[ED_High-End]]&gt;EFID,EFID,Dermal_Exp[[#This Row],[ED_High-End]])/ID,"Not Assessed")</f>
        <v>5.4926666666666657E-3</v>
      </c>
      <c r="M40" s="386">
        <f>IFERROR(Dermal_Exp[[#This Row],[Central Tendency AD (mg/kg-day)]]*IF(Dermal_Exp[[#This Row],[ED_Central Tendency]]&gt;EFID,EFID,Dermal_Exp[[#This Row],[ED_Central Tendency]])/ID,"Not Assessed")</f>
        <v>2.7463333333333328E-3</v>
      </c>
      <c r="N40" s="389">
        <f>IFERROR(Dermal_Exp[[#This Row],[High-End AD (mg/kg-day)]]*Dermal_Exp[[#This Row],[ED_High-End]]*WY_high/(365*WY_high),"Not Assessed")</f>
        <v>5.1301369863013691E-3</v>
      </c>
      <c r="O40" s="389">
        <f>IFERROR(Dermal_Exp[[#This Row],[Central Tendency AD (mg/kg-day)]]*Dermal_Exp[[#This Row],[ED_Central Tendency]]*WY_mid/(365*WY_mid),"Not Assessed")</f>
        <v>2.3803835616438354E-3</v>
      </c>
    </row>
    <row r="41" spans="1:15" ht="26" x14ac:dyDescent="0.3">
      <c r="A41" s="390">
        <v>4</v>
      </c>
      <c r="B41" s="340" t="s">
        <v>400</v>
      </c>
      <c r="C41" s="381" t="s">
        <v>168</v>
      </c>
      <c r="D41" s="323">
        <v>250</v>
      </c>
      <c r="E41" s="323">
        <v>232</v>
      </c>
      <c r="F41" s="382">
        <f>0.00007*890*8</f>
        <v>0.49839999999999995</v>
      </c>
      <c r="G41" s="382">
        <f>0.00007*445*8</f>
        <v>0.24919999999999998</v>
      </c>
      <c r="H41" s="323"/>
      <c r="I41" s="393"/>
      <c r="J41"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41"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41" s="386">
        <f>IFERROR(Dermal_Exp[[#This Row],[High-End AD (mg/kg-day)]]*IF(Dermal_Exp[[#This Row],[ED_High-End]]&gt;EFID,EFID,Dermal_Exp[[#This Row],[ED_High-End]])/ID,"Not Assessed")</f>
        <v>5.0465078817167174E-3</v>
      </c>
      <c r="M41" s="386">
        <f>IFERROR(Dermal_Exp[[#This Row],[Central Tendency AD (mg/kg-day)]]*IF(Dermal_Exp[[#This Row],[ED_Central Tendency]]&gt;EFID,EFID,Dermal_Exp[[#This Row],[ED_Central Tendency]])/ID,"Not Assessed")</f>
        <v>2.5232539408583587E-3</v>
      </c>
      <c r="N41" s="328">
        <f>IFERROR(Dermal_Exp[[#This Row],[High-End AD (mg/kg-day)]]*Dermal_Exp[[#This Row],[ED_High-End]]*WY_high/(365*WY_high),"Not Assessed")</f>
        <v>4.713425792387968E-3</v>
      </c>
      <c r="O41" s="328">
        <f>IFERROR(Dermal_Exp[[#This Row],[Central Tendency AD (mg/kg-day)]]*Dermal_Exp[[#This Row],[ED_Central Tendency]]*WY_mid/(365*WY_mid),"Not Assessed")</f>
        <v>2.1870295676680168E-3</v>
      </c>
    </row>
    <row r="42" spans="1:15" ht="26" x14ac:dyDescent="0.3">
      <c r="A42" s="390">
        <v>4</v>
      </c>
      <c r="B42" s="340" t="s">
        <v>400</v>
      </c>
      <c r="C42" s="381" t="s">
        <v>74</v>
      </c>
      <c r="D42" s="323">
        <v>250</v>
      </c>
      <c r="E42" s="323">
        <v>232</v>
      </c>
      <c r="F42" s="382">
        <f>0.00007*535*8</f>
        <v>0.29959999999999998</v>
      </c>
      <c r="G42" s="382">
        <f>0.00007*267.5*8</f>
        <v>0.14979999999999999</v>
      </c>
      <c r="H42" s="394"/>
      <c r="I42" s="388"/>
      <c r="J42"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3.7449999999999996E-3</v>
      </c>
      <c r="K42"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1.8724999999999998E-3</v>
      </c>
      <c r="L42" s="386">
        <f>IFERROR(Dermal_Exp[[#This Row],[High-End AD (mg/kg-day)]]*IF(Dermal_Exp[[#This Row],[ED_High-End]]&gt;EFID,EFID,Dermal_Exp[[#This Row],[ED_High-End]])/ID,"Not Assessed")</f>
        <v>2.7463333333333328E-3</v>
      </c>
      <c r="M42" s="386">
        <f>IFERROR(Dermal_Exp[[#This Row],[Central Tendency AD (mg/kg-day)]]*IF(Dermal_Exp[[#This Row],[ED_Central Tendency]]&gt;EFID,EFID,Dermal_Exp[[#This Row],[ED_Central Tendency]])/ID,"Not Assessed")</f>
        <v>1.3731666666666664E-3</v>
      </c>
      <c r="N42" s="328">
        <f>IFERROR(Dermal_Exp[[#This Row],[High-End AD (mg/kg-day)]]*Dermal_Exp[[#This Row],[ED_High-End]]*WY_high/(365*WY_high),"Not Assessed")</f>
        <v>2.5650684931506846E-3</v>
      </c>
      <c r="O42" s="328">
        <f>IFERROR(Dermal_Exp[[#This Row],[Central Tendency AD (mg/kg-day)]]*Dermal_Exp[[#This Row],[ED_Central Tendency]]*WY_mid/(365*WY_mid),"Not Assessed")</f>
        <v>1.1901917808219177E-3</v>
      </c>
    </row>
    <row r="43" spans="1:15" ht="26" x14ac:dyDescent="0.3">
      <c r="A43" s="390">
        <v>4</v>
      </c>
      <c r="B43" s="340" t="s">
        <v>401</v>
      </c>
      <c r="C43" s="381" t="s">
        <v>57</v>
      </c>
      <c r="D43" s="323">
        <v>250</v>
      </c>
      <c r="E43" s="323">
        <v>232</v>
      </c>
      <c r="F43" s="382">
        <f>0.00007*1070*8</f>
        <v>0.59919999999999995</v>
      </c>
      <c r="G43" s="382">
        <f>0.00007*535*8</f>
        <v>0.29959999999999998</v>
      </c>
      <c r="H43" s="394"/>
      <c r="I43" s="394"/>
      <c r="J43" s="385">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43" s="39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43" s="386">
        <f>IFERROR(Dermal_Exp[[#This Row],[High-End AD (mg/kg-day)]]*IF(Dermal_Exp[[#This Row],[ED_High-End]]&gt;EFID,EFID,Dermal_Exp[[#This Row],[ED_High-End]])/ID,"Not Assessed")</f>
        <v>5.4926666666666657E-3</v>
      </c>
      <c r="M43" s="386">
        <f>IFERROR(Dermal_Exp[[#This Row],[Central Tendency AD (mg/kg-day)]]*IF(Dermal_Exp[[#This Row],[ED_Central Tendency]]&gt;EFID,EFID,Dermal_Exp[[#This Row],[ED_Central Tendency]])/ID,"Not Assessed")</f>
        <v>2.7463333333333328E-3</v>
      </c>
      <c r="N43" s="328">
        <f>IFERROR(Dermal_Exp[[#This Row],[High-End AD (mg/kg-day)]]*Dermal_Exp[[#This Row],[ED_High-End]]*WY_high/(365*WY_high),"Not Assessed")</f>
        <v>5.1301369863013691E-3</v>
      </c>
      <c r="O43" s="328">
        <f>IFERROR(Dermal_Exp[[#This Row],[Central Tendency AD (mg/kg-day)]]*Dermal_Exp[[#This Row],[ED_Central Tendency]]*WY_mid/(365*WY_mid),"Not Assessed")</f>
        <v>2.3803835616438354E-3</v>
      </c>
    </row>
    <row r="44" spans="1:15" ht="26" x14ac:dyDescent="0.3">
      <c r="A44" s="390">
        <v>4</v>
      </c>
      <c r="B44" s="340" t="s">
        <v>401</v>
      </c>
      <c r="C44" s="381" t="s">
        <v>168</v>
      </c>
      <c r="D44" s="323">
        <v>250</v>
      </c>
      <c r="E44" s="323">
        <v>232</v>
      </c>
      <c r="F44" s="382">
        <f>0.00007*890*8</f>
        <v>0.49839999999999995</v>
      </c>
      <c r="G44" s="382">
        <f>0.00007*445*8</f>
        <v>0.24919999999999998</v>
      </c>
      <c r="H44" s="394"/>
      <c r="I44" s="394"/>
      <c r="J44" s="385">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44" s="328">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44" s="386">
        <f>IFERROR(Dermal_Exp[[#This Row],[High-End AD (mg/kg-day)]]*IF(Dermal_Exp[[#This Row],[ED_High-End]]&gt;EFID,EFID,Dermal_Exp[[#This Row],[ED_High-End]])/ID,"Not Assessed")</f>
        <v>5.0465078817167174E-3</v>
      </c>
      <c r="M44" s="386">
        <f>IFERROR(Dermal_Exp[[#This Row],[Central Tendency AD (mg/kg-day)]]*IF(Dermal_Exp[[#This Row],[ED_Central Tendency]]&gt;EFID,EFID,Dermal_Exp[[#This Row],[ED_Central Tendency]])/ID,"Not Assessed")</f>
        <v>2.5232539408583587E-3</v>
      </c>
      <c r="N44" s="328">
        <f>IFERROR(Dermal_Exp[[#This Row],[High-End AD (mg/kg-day)]]*Dermal_Exp[[#This Row],[ED_High-End]]*WY_high/(365*WY_high),"Not Assessed")</f>
        <v>4.713425792387968E-3</v>
      </c>
      <c r="O44" s="328">
        <f>IFERROR(Dermal_Exp[[#This Row],[Central Tendency AD (mg/kg-day)]]*Dermal_Exp[[#This Row],[ED_Central Tendency]]*WY_mid/(365*WY_mid),"Not Assessed")</f>
        <v>2.1870295676680168E-3</v>
      </c>
    </row>
    <row r="45" spans="1:15" ht="26" x14ac:dyDescent="0.3">
      <c r="A45" s="390">
        <v>4</v>
      </c>
      <c r="B45" s="340" t="s">
        <v>401</v>
      </c>
      <c r="C45" s="381" t="s">
        <v>74</v>
      </c>
      <c r="D45" s="323">
        <v>250</v>
      </c>
      <c r="E45" s="323">
        <v>232</v>
      </c>
      <c r="F45" s="396"/>
      <c r="G45" s="396"/>
      <c r="H45" s="394"/>
      <c r="I45" s="394"/>
      <c r="J45" s="385">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0</v>
      </c>
      <c r="K45" s="328">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0</v>
      </c>
      <c r="L45" s="386">
        <f>IFERROR(Dermal_Exp[[#This Row],[High-End AD (mg/kg-day)]]*IF(Dermal_Exp[[#This Row],[ED_High-End]]&gt;EFID,EFID,Dermal_Exp[[#This Row],[ED_High-End]])/ID,"Not Assessed")</f>
        <v>0</v>
      </c>
      <c r="M45" s="386">
        <f>IFERROR(Dermal_Exp[[#This Row],[Central Tendency AD (mg/kg-day)]]*IF(Dermal_Exp[[#This Row],[ED_Central Tendency]]&gt;EFID,EFID,Dermal_Exp[[#This Row],[ED_Central Tendency]])/ID,"Not Assessed")</f>
        <v>0</v>
      </c>
      <c r="N45" s="328">
        <f>IFERROR(Dermal_Exp[[#This Row],[High-End AD (mg/kg-day)]]*Dermal_Exp[[#This Row],[ED_High-End]]*WY_high/(365*WY_high),"Not Assessed")</f>
        <v>0</v>
      </c>
      <c r="O45" s="328">
        <f>IFERROR(Dermal_Exp[[#This Row],[Central Tendency AD (mg/kg-day)]]*Dermal_Exp[[#This Row],[ED_Central Tendency]]*WY_mid/(365*WY_mid),"Not Assessed")</f>
        <v>0</v>
      </c>
    </row>
    <row r="46" spans="1:15" ht="14" x14ac:dyDescent="0.3">
      <c r="A46" s="390">
        <v>5</v>
      </c>
      <c r="B46" s="340" t="s">
        <v>179</v>
      </c>
      <c r="C46" s="381" t="s">
        <v>57</v>
      </c>
      <c r="D46" s="323">
        <v>250</v>
      </c>
      <c r="E46" s="323">
        <v>235</v>
      </c>
      <c r="F46" s="382">
        <f>0.00007*1070*8</f>
        <v>0.59919999999999995</v>
      </c>
      <c r="G46" s="382">
        <f>0.00007*535*8</f>
        <v>0.29959999999999998</v>
      </c>
      <c r="H46" s="342"/>
      <c r="I46" s="392"/>
      <c r="J46"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46"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46" s="386">
        <f>IFERROR(Dermal_Exp[[#This Row],[High-End AD (mg/kg-day)]]*IF(Dermal_Exp[[#This Row],[ED_High-End]]&gt;EFID,EFID,Dermal_Exp[[#This Row],[ED_High-End]])/ID,"Not Assessed")</f>
        <v>5.4926666666666657E-3</v>
      </c>
      <c r="M46" s="386">
        <f>IFERROR(Dermal_Exp[[#This Row],[Central Tendency AD (mg/kg-day)]]*IF(Dermal_Exp[[#This Row],[ED_Central Tendency]]&gt;EFID,EFID,Dermal_Exp[[#This Row],[ED_Central Tendency]])/ID,"Not Assessed")</f>
        <v>2.7463333333333328E-3</v>
      </c>
      <c r="N46" s="328">
        <f>IFERROR(Dermal_Exp[[#This Row],[High-End AD (mg/kg-day)]]*Dermal_Exp[[#This Row],[ED_High-End]]*WY_high/(365*WY_high),"Not Assessed")</f>
        <v>5.1301369863013691E-3</v>
      </c>
      <c r="O46" s="328">
        <f>IFERROR(Dermal_Exp[[#This Row],[Central Tendency AD (mg/kg-day)]]*Dermal_Exp[[#This Row],[ED_Central Tendency]]*WY_mid/(365*WY_mid),"Not Assessed")</f>
        <v>2.4111643835616437E-3</v>
      </c>
    </row>
    <row r="47" spans="1:15" ht="14" x14ac:dyDescent="0.3">
      <c r="A47" s="390">
        <v>5</v>
      </c>
      <c r="B47" s="340" t="s">
        <v>179</v>
      </c>
      <c r="C47" s="381" t="s">
        <v>168</v>
      </c>
      <c r="D47" s="323">
        <v>250</v>
      </c>
      <c r="E47" s="323">
        <v>235</v>
      </c>
      <c r="F47" s="382">
        <f>0.00007*890*8</f>
        <v>0.49839999999999995</v>
      </c>
      <c r="G47" s="382">
        <f>0.00007*445*8</f>
        <v>0.24919999999999998</v>
      </c>
      <c r="H47" s="342"/>
      <c r="I47" s="392"/>
      <c r="J47"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47"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47" s="386">
        <f>IFERROR(Dermal_Exp[[#This Row],[High-End AD (mg/kg-day)]]*IF(Dermal_Exp[[#This Row],[ED_High-End]]&gt;EFID,EFID,Dermal_Exp[[#This Row],[ED_High-End]])/ID,"Not Assessed")</f>
        <v>5.0465078817167174E-3</v>
      </c>
      <c r="M47" s="386">
        <f>IFERROR(Dermal_Exp[[#This Row],[Central Tendency AD (mg/kg-day)]]*IF(Dermal_Exp[[#This Row],[ED_Central Tendency]]&gt;EFID,EFID,Dermal_Exp[[#This Row],[ED_Central Tendency]])/ID,"Not Assessed")</f>
        <v>2.5232539408583587E-3</v>
      </c>
      <c r="N47" s="328">
        <f>IFERROR(Dermal_Exp[[#This Row],[High-End AD (mg/kg-day)]]*Dermal_Exp[[#This Row],[ED_High-End]]*WY_high/(365*WY_high),"Not Assessed")</f>
        <v>4.713425792387968E-3</v>
      </c>
      <c r="O47" s="328">
        <f>IFERROR(Dermal_Exp[[#This Row],[Central Tendency AD (mg/kg-day)]]*Dermal_Exp[[#This Row],[ED_Central Tendency]]*WY_mid/(365*WY_mid),"Not Assessed")</f>
        <v>2.2153101224223451E-3</v>
      </c>
    </row>
    <row r="48" spans="1:15" ht="14" x14ac:dyDescent="0.3">
      <c r="A48" s="390">
        <v>5</v>
      </c>
      <c r="B48" s="340" t="s">
        <v>179</v>
      </c>
      <c r="C48" s="381" t="s">
        <v>74</v>
      </c>
      <c r="D48" s="323">
        <v>250</v>
      </c>
      <c r="E48" s="323">
        <v>235</v>
      </c>
      <c r="F48" s="397"/>
      <c r="G48" s="397"/>
      <c r="H48" s="397"/>
      <c r="I48" s="398"/>
      <c r="J48"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0</v>
      </c>
      <c r="K48"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0</v>
      </c>
      <c r="L48" s="386">
        <f>IFERROR(Dermal_Exp[[#This Row],[High-End AD (mg/kg-day)]]*IF(Dermal_Exp[[#This Row],[ED_High-End]]&gt;EFID,EFID,Dermal_Exp[[#This Row],[ED_High-End]])/ID,"Not Assessed")</f>
        <v>0</v>
      </c>
      <c r="M48" s="386">
        <f>IFERROR(Dermal_Exp[[#This Row],[Central Tendency AD (mg/kg-day)]]*IF(Dermal_Exp[[#This Row],[ED_Central Tendency]]&gt;EFID,EFID,Dermal_Exp[[#This Row],[ED_Central Tendency]])/ID,"Not Assessed")</f>
        <v>0</v>
      </c>
      <c r="N48" s="328">
        <f>IFERROR(Dermal_Exp[[#This Row],[High-End AD (mg/kg-day)]]*Dermal_Exp[[#This Row],[ED_High-End]]*WY_high/(365*WY_high),"Not Assessed")</f>
        <v>0</v>
      </c>
      <c r="O48" s="328">
        <f>IFERROR(Dermal_Exp[[#This Row],[Central Tendency AD (mg/kg-day)]]*Dermal_Exp[[#This Row],[ED_Central Tendency]]*WY_mid/(365*WY_mid),"Not Assessed")</f>
        <v>0</v>
      </c>
    </row>
    <row r="49" spans="1:15" ht="14" x14ac:dyDescent="0.3">
      <c r="A49" s="390">
        <v>5</v>
      </c>
      <c r="B49" s="340" t="s">
        <v>180</v>
      </c>
      <c r="C49" s="381" t="s">
        <v>57</v>
      </c>
      <c r="D49" s="323">
        <v>250</v>
      </c>
      <c r="E49" s="323">
        <v>235</v>
      </c>
      <c r="F49" s="382"/>
      <c r="G49" s="382"/>
      <c r="H49" s="382">
        <f>0.00007*1070*8</f>
        <v>0.59919999999999995</v>
      </c>
      <c r="I49" s="382">
        <f>0.00007*535*8</f>
        <v>0.29959999999999998</v>
      </c>
      <c r="J49"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49"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49" s="386">
        <f>IFERROR(Dermal_Exp[[#This Row],[High-End AD (mg/kg-day)]]*IF(Dermal_Exp[[#This Row],[ED_High-End]]&gt;EFID,EFID,Dermal_Exp[[#This Row],[ED_High-End]])/ID,"Not Assessed")</f>
        <v>5.4926666666666657E-3</v>
      </c>
      <c r="M49" s="386">
        <f>IFERROR(Dermal_Exp[[#This Row],[Central Tendency AD (mg/kg-day)]]*IF(Dermal_Exp[[#This Row],[ED_Central Tendency]]&gt;EFID,EFID,Dermal_Exp[[#This Row],[ED_Central Tendency]])/ID,"Not Assessed")</f>
        <v>2.7463333333333328E-3</v>
      </c>
      <c r="N49" s="328">
        <f>IFERROR(Dermal_Exp[[#This Row],[High-End AD (mg/kg-day)]]*Dermal_Exp[[#This Row],[ED_High-End]]*WY_high/(365*WY_high),"Not Assessed")</f>
        <v>5.1301369863013691E-3</v>
      </c>
      <c r="O49" s="328">
        <f>IFERROR(Dermal_Exp[[#This Row],[Central Tendency AD (mg/kg-day)]]*Dermal_Exp[[#This Row],[ED_Central Tendency]]*WY_mid/(365*WY_mid),"Not Assessed")</f>
        <v>2.4111643835616437E-3</v>
      </c>
    </row>
    <row r="50" spans="1:15" ht="14" x14ac:dyDescent="0.3">
      <c r="A50" s="390">
        <v>5</v>
      </c>
      <c r="B50" s="340" t="s">
        <v>180</v>
      </c>
      <c r="C50" s="381" t="s">
        <v>168</v>
      </c>
      <c r="D50" s="323">
        <v>250</v>
      </c>
      <c r="E50" s="323">
        <v>235</v>
      </c>
      <c r="F50" s="382"/>
      <c r="G50" s="382"/>
      <c r="H50" s="382">
        <f>0.00007*890*8</f>
        <v>0.49839999999999995</v>
      </c>
      <c r="I50" s="382">
        <f>0.00007*445*8</f>
        <v>0.24919999999999998</v>
      </c>
      <c r="J50"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50"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50" s="386">
        <f>IFERROR(Dermal_Exp[[#This Row],[High-End AD (mg/kg-day)]]*IF(Dermal_Exp[[#This Row],[ED_High-End]]&gt;EFID,EFID,Dermal_Exp[[#This Row],[ED_High-End]])/ID,"Not Assessed")</f>
        <v>5.0465078817167174E-3</v>
      </c>
      <c r="M50" s="386">
        <f>IFERROR(Dermal_Exp[[#This Row],[Central Tendency AD (mg/kg-day)]]*IF(Dermal_Exp[[#This Row],[ED_Central Tendency]]&gt;EFID,EFID,Dermal_Exp[[#This Row],[ED_Central Tendency]])/ID,"Not Assessed")</f>
        <v>2.5232539408583587E-3</v>
      </c>
      <c r="N50" s="328">
        <f>IFERROR(Dermal_Exp[[#This Row],[High-End AD (mg/kg-day)]]*Dermal_Exp[[#This Row],[ED_High-End]]*WY_high/(365*WY_high),"Not Assessed")</f>
        <v>4.713425792387968E-3</v>
      </c>
      <c r="O50" s="328">
        <f>IFERROR(Dermal_Exp[[#This Row],[Central Tendency AD (mg/kg-day)]]*Dermal_Exp[[#This Row],[ED_Central Tendency]]*WY_mid/(365*WY_mid),"Not Assessed")</f>
        <v>2.2153101224223451E-3</v>
      </c>
    </row>
    <row r="51" spans="1:15" ht="14" x14ac:dyDescent="0.3">
      <c r="A51" s="390">
        <v>5</v>
      </c>
      <c r="B51" s="340" t="s">
        <v>180</v>
      </c>
      <c r="C51" s="381" t="s">
        <v>74</v>
      </c>
      <c r="D51" s="323">
        <v>250</v>
      </c>
      <c r="E51" s="323">
        <v>235</v>
      </c>
      <c r="F51" s="382"/>
      <c r="G51" s="382"/>
      <c r="H51" s="382">
        <f>0.00007*535*8</f>
        <v>0.29959999999999998</v>
      </c>
      <c r="I51" s="382">
        <f>0.00007*267.5*8</f>
        <v>0.14979999999999999</v>
      </c>
      <c r="J51"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3.7449999999999996E-3</v>
      </c>
      <c r="K51"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1.8724999999999998E-3</v>
      </c>
      <c r="L51" s="386">
        <f>IFERROR(Dermal_Exp[[#This Row],[High-End AD (mg/kg-day)]]*IF(Dermal_Exp[[#This Row],[ED_High-End]]&gt;EFID,EFID,Dermal_Exp[[#This Row],[ED_High-End]])/ID,"Not Assessed")</f>
        <v>2.7463333333333328E-3</v>
      </c>
      <c r="M51" s="386">
        <f>IFERROR(Dermal_Exp[[#This Row],[Central Tendency AD (mg/kg-day)]]*IF(Dermal_Exp[[#This Row],[ED_Central Tendency]]&gt;EFID,EFID,Dermal_Exp[[#This Row],[ED_Central Tendency]])/ID,"Not Assessed")</f>
        <v>1.3731666666666664E-3</v>
      </c>
      <c r="N51" s="328">
        <f>IFERROR(Dermal_Exp[[#This Row],[High-End AD (mg/kg-day)]]*Dermal_Exp[[#This Row],[ED_High-End]]*WY_high/(365*WY_high),"Not Assessed")</f>
        <v>2.5650684931506846E-3</v>
      </c>
      <c r="O51" s="328">
        <f>IFERROR(Dermal_Exp[[#This Row],[Central Tendency AD (mg/kg-day)]]*Dermal_Exp[[#This Row],[ED_Central Tendency]]*WY_mid/(365*WY_mid),"Not Assessed")</f>
        <v>1.2055821917808219E-3</v>
      </c>
    </row>
    <row r="52" spans="1:15" ht="14" x14ac:dyDescent="0.3">
      <c r="A52" s="390">
        <v>6</v>
      </c>
      <c r="B52" s="340" t="s">
        <v>181</v>
      </c>
      <c r="C52" s="381" t="s">
        <v>57</v>
      </c>
      <c r="D52" s="323">
        <v>250</v>
      </c>
      <c r="E52" s="323">
        <v>223</v>
      </c>
      <c r="F52" s="382"/>
      <c r="G52" s="382"/>
      <c r="H52" s="382">
        <f>0.00007*1070*8</f>
        <v>0.59919999999999995</v>
      </c>
      <c r="I52" s="382">
        <f>0.00007*535*8</f>
        <v>0.29959999999999998</v>
      </c>
      <c r="J52"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52"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52" s="386">
        <f>IFERROR(Dermal_Exp[[#This Row],[High-End AD (mg/kg-day)]]*IF(Dermal_Exp[[#This Row],[ED_High-End]]&gt;EFID,EFID,Dermal_Exp[[#This Row],[ED_High-End]])/ID,"Not Assessed")</f>
        <v>5.4926666666666657E-3</v>
      </c>
      <c r="M52" s="386">
        <f>IFERROR(Dermal_Exp[[#This Row],[Central Tendency AD (mg/kg-day)]]*IF(Dermal_Exp[[#This Row],[ED_Central Tendency]]&gt;EFID,EFID,Dermal_Exp[[#This Row],[ED_Central Tendency]])/ID,"Not Assessed")</f>
        <v>2.7463333333333328E-3</v>
      </c>
      <c r="N52" s="328">
        <f>IFERROR(Dermal_Exp[[#This Row],[High-End AD (mg/kg-day)]]*Dermal_Exp[[#This Row],[ED_High-End]]*WY_high/(365*WY_high),"Not Assessed")</f>
        <v>5.1301369863013691E-3</v>
      </c>
      <c r="O52" s="328">
        <f>IFERROR(Dermal_Exp[[#This Row],[Central Tendency AD (mg/kg-day)]]*Dermal_Exp[[#This Row],[ED_Central Tendency]]*WY_mid/(365*WY_mid),"Not Assessed")</f>
        <v>2.2880410958904108E-3</v>
      </c>
    </row>
    <row r="53" spans="1:15" ht="14" x14ac:dyDescent="0.3">
      <c r="A53" s="390">
        <v>6</v>
      </c>
      <c r="B53" s="340" t="s">
        <v>181</v>
      </c>
      <c r="C53" s="381" t="s">
        <v>168</v>
      </c>
      <c r="D53" s="323">
        <v>250</v>
      </c>
      <c r="E53" s="323">
        <v>223</v>
      </c>
      <c r="F53" s="382"/>
      <c r="G53" s="382"/>
      <c r="H53" s="382">
        <f>0.00007*890*8</f>
        <v>0.49839999999999995</v>
      </c>
      <c r="I53" s="382">
        <f>0.00007*445*8</f>
        <v>0.24919999999999998</v>
      </c>
      <c r="J53"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53"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53" s="386">
        <f>IFERROR(Dermal_Exp[[#This Row],[High-End AD (mg/kg-day)]]*IF(Dermal_Exp[[#This Row],[ED_High-End]]&gt;EFID,EFID,Dermal_Exp[[#This Row],[ED_High-End]])/ID,"Not Assessed")</f>
        <v>5.0465078817167174E-3</v>
      </c>
      <c r="M53" s="386">
        <f>IFERROR(Dermal_Exp[[#This Row],[Central Tendency AD (mg/kg-day)]]*IF(Dermal_Exp[[#This Row],[ED_Central Tendency]]&gt;EFID,EFID,Dermal_Exp[[#This Row],[ED_Central Tendency]])/ID,"Not Assessed")</f>
        <v>2.5232539408583587E-3</v>
      </c>
      <c r="N53" s="328">
        <f>IFERROR(Dermal_Exp[[#This Row],[High-End AD (mg/kg-day)]]*Dermal_Exp[[#This Row],[ED_High-End]]*WY_high/(365*WY_high),"Not Assessed")</f>
        <v>4.713425792387968E-3</v>
      </c>
      <c r="O53" s="328">
        <f>IFERROR(Dermal_Exp[[#This Row],[Central Tendency AD (mg/kg-day)]]*Dermal_Exp[[#This Row],[ED_Central Tendency]]*WY_mid/(365*WY_mid),"Not Assessed")</f>
        <v>2.1021879034050337E-3</v>
      </c>
    </row>
    <row r="54" spans="1:15" ht="14" x14ac:dyDescent="0.3">
      <c r="A54" s="390">
        <v>6</v>
      </c>
      <c r="B54" s="340" t="s">
        <v>181</v>
      </c>
      <c r="C54" s="381" t="s">
        <v>74</v>
      </c>
      <c r="D54" s="323">
        <v>250</v>
      </c>
      <c r="E54" s="323">
        <v>223</v>
      </c>
      <c r="F54" s="382"/>
      <c r="G54" s="382"/>
      <c r="H54" s="382">
        <f>0.00007*535*8</f>
        <v>0.29959999999999998</v>
      </c>
      <c r="I54" s="382">
        <f>0.00007*267.5*8</f>
        <v>0.14979999999999999</v>
      </c>
      <c r="J54"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3.7449999999999996E-3</v>
      </c>
      <c r="K54"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1.8724999999999998E-3</v>
      </c>
      <c r="L54" s="386">
        <f>IFERROR(Dermal_Exp[[#This Row],[High-End AD (mg/kg-day)]]*IF(Dermal_Exp[[#This Row],[ED_High-End]]&gt;EFID,EFID,Dermal_Exp[[#This Row],[ED_High-End]])/ID,"Not Assessed")</f>
        <v>2.7463333333333328E-3</v>
      </c>
      <c r="M54" s="386">
        <f>IFERROR(Dermal_Exp[[#This Row],[Central Tendency AD (mg/kg-day)]]*IF(Dermal_Exp[[#This Row],[ED_Central Tendency]]&gt;EFID,EFID,Dermal_Exp[[#This Row],[ED_Central Tendency]])/ID,"Not Assessed")</f>
        <v>1.3731666666666664E-3</v>
      </c>
      <c r="N54" s="328">
        <f>IFERROR(Dermal_Exp[[#This Row],[High-End AD (mg/kg-day)]]*Dermal_Exp[[#This Row],[ED_High-End]]*WY_high/(365*WY_high),"Not Assessed")</f>
        <v>2.5650684931506846E-3</v>
      </c>
      <c r="O54" s="328">
        <f>IFERROR(Dermal_Exp[[#This Row],[Central Tendency AD (mg/kg-day)]]*Dermal_Exp[[#This Row],[ED_Central Tendency]]*WY_mid/(365*WY_mid),"Not Assessed")</f>
        <v>1.1440205479452054E-3</v>
      </c>
    </row>
    <row r="55" spans="1:15" ht="14" x14ac:dyDescent="0.3">
      <c r="A55" s="390">
        <v>6</v>
      </c>
      <c r="B55" s="340" t="s">
        <v>183</v>
      </c>
      <c r="C55" s="381" t="s">
        <v>57</v>
      </c>
      <c r="D55" s="399">
        <v>250</v>
      </c>
      <c r="E55" s="348">
        <v>250</v>
      </c>
      <c r="F55" s="382"/>
      <c r="G55" s="382"/>
      <c r="H55" s="382">
        <f>0.00007*1070*8</f>
        <v>0.59919999999999995</v>
      </c>
      <c r="I55" s="382">
        <f>0.00007*535*8</f>
        <v>0.29959999999999998</v>
      </c>
      <c r="J55"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55"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55" s="386">
        <f>IFERROR(Dermal_Exp[[#This Row],[High-End AD (mg/kg-day)]]*IF(Dermal_Exp[[#This Row],[ED_High-End]]&gt;EFID,EFID,Dermal_Exp[[#This Row],[ED_High-End]])/ID,"Not Assessed")</f>
        <v>5.4926666666666657E-3</v>
      </c>
      <c r="M55" s="386">
        <f>IFERROR(Dermal_Exp[[#This Row],[Central Tendency AD (mg/kg-day)]]*IF(Dermal_Exp[[#This Row],[ED_Central Tendency]]&gt;EFID,EFID,Dermal_Exp[[#This Row],[ED_Central Tendency]])/ID,"Not Assessed")</f>
        <v>2.7463333333333328E-3</v>
      </c>
      <c r="N55" s="328">
        <f>IFERROR(Dermal_Exp[[#This Row],[High-End AD (mg/kg-day)]]*Dermal_Exp[[#This Row],[ED_High-End]]*WY_high/(365*WY_high),"Not Assessed")</f>
        <v>5.1301369863013691E-3</v>
      </c>
      <c r="O55" s="328">
        <f>IFERROR(Dermal_Exp[[#This Row],[Central Tendency AD (mg/kg-day)]]*Dermal_Exp[[#This Row],[ED_Central Tendency]]*WY_mid/(365*WY_mid),"Not Assessed")</f>
        <v>2.5650684931506846E-3</v>
      </c>
    </row>
    <row r="56" spans="1:15" ht="14" x14ac:dyDescent="0.3">
      <c r="A56" s="390">
        <v>6</v>
      </c>
      <c r="B56" s="340" t="s">
        <v>183</v>
      </c>
      <c r="C56" s="381" t="s">
        <v>168</v>
      </c>
      <c r="D56" s="399">
        <v>250</v>
      </c>
      <c r="E56" s="348">
        <v>250</v>
      </c>
      <c r="F56" s="382"/>
      <c r="G56" s="382"/>
      <c r="H56" s="382">
        <f>0.00007*890*8</f>
        <v>0.49839999999999995</v>
      </c>
      <c r="I56" s="382">
        <f>0.00007*445*8</f>
        <v>0.24919999999999998</v>
      </c>
      <c r="J56"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56"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56" s="386">
        <f>IFERROR(Dermal_Exp[[#This Row],[High-End AD (mg/kg-day)]]*IF(Dermal_Exp[[#This Row],[ED_High-End]]&gt;EFID,EFID,Dermal_Exp[[#This Row],[ED_High-End]])/ID,"Not Assessed")</f>
        <v>5.0465078817167174E-3</v>
      </c>
      <c r="M56" s="386">
        <f>IFERROR(Dermal_Exp[[#This Row],[Central Tendency AD (mg/kg-day)]]*IF(Dermal_Exp[[#This Row],[ED_Central Tendency]]&gt;EFID,EFID,Dermal_Exp[[#This Row],[ED_Central Tendency]])/ID,"Not Assessed")</f>
        <v>2.5232539408583587E-3</v>
      </c>
      <c r="N56" s="328">
        <f>IFERROR(Dermal_Exp[[#This Row],[High-End AD (mg/kg-day)]]*Dermal_Exp[[#This Row],[ED_High-End]]*WY_high/(365*WY_high),"Not Assessed")</f>
        <v>4.713425792387968E-3</v>
      </c>
      <c r="O56" s="328">
        <f>IFERROR(Dermal_Exp[[#This Row],[Central Tendency AD (mg/kg-day)]]*Dermal_Exp[[#This Row],[ED_Central Tendency]]*WY_mid/(365*WY_mid),"Not Assessed")</f>
        <v>2.3567128961939836E-3</v>
      </c>
    </row>
    <row r="57" spans="1:15" ht="14" x14ac:dyDescent="0.3">
      <c r="A57" s="390">
        <v>6</v>
      </c>
      <c r="B57" s="340" t="s">
        <v>183</v>
      </c>
      <c r="C57" s="381" t="s">
        <v>74</v>
      </c>
      <c r="D57" s="399">
        <v>250</v>
      </c>
      <c r="E57" s="348">
        <v>250</v>
      </c>
      <c r="F57" s="382"/>
      <c r="G57" s="382"/>
      <c r="H57" s="382">
        <f>0.00007*535*8</f>
        <v>0.29959999999999998</v>
      </c>
      <c r="I57" s="382">
        <f>0.00007*267.5*8</f>
        <v>0.14979999999999999</v>
      </c>
      <c r="J57"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3.7449999999999996E-3</v>
      </c>
      <c r="K57"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1.8724999999999998E-3</v>
      </c>
      <c r="L57" s="386">
        <f>IFERROR(Dermal_Exp[[#This Row],[High-End AD (mg/kg-day)]]*IF(Dermal_Exp[[#This Row],[ED_High-End]]&gt;EFID,EFID,Dermal_Exp[[#This Row],[ED_High-End]])/ID,"Not Assessed")</f>
        <v>2.7463333333333328E-3</v>
      </c>
      <c r="M57" s="386">
        <f>IFERROR(Dermal_Exp[[#This Row],[Central Tendency AD (mg/kg-day)]]*IF(Dermal_Exp[[#This Row],[ED_Central Tendency]]&gt;EFID,EFID,Dermal_Exp[[#This Row],[ED_Central Tendency]])/ID,"Not Assessed")</f>
        <v>1.3731666666666664E-3</v>
      </c>
      <c r="N57" s="328">
        <f>IFERROR(Dermal_Exp[[#This Row],[High-End AD (mg/kg-day)]]*Dermal_Exp[[#This Row],[ED_High-End]]*WY_high/(365*WY_high),"Not Assessed")</f>
        <v>2.5650684931506846E-3</v>
      </c>
      <c r="O57" s="328">
        <f>IFERROR(Dermal_Exp[[#This Row],[Central Tendency AD (mg/kg-day)]]*Dermal_Exp[[#This Row],[ED_Central Tendency]]*WY_mid/(365*WY_mid),"Not Assessed")</f>
        <v>1.2825342465753423E-3</v>
      </c>
    </row>
    <row r="58" spans="1:15" ht="14" x14ac:dyDescent="0.3">
      <c r="A58" s="390">
        <v>6</v>
      </c>
      <c r="B58" s="340" t="s">
        <v>182</v>
      </c>
      <c r="C58" s="381" t="s">
        <v>57</v>
      </c>
      <c r="D58" s="323">
        <v>250</v>
      </c>
      <c r="E58" s="323">
        <v>223</v>
      </c>
      <c r="F58" s="382"/>
      <c r="G58" s="382"/>
      <c r="H58" s="382">
        <f>0.00007*1070*8</f>
        <v>0.59919999999999995</v>
      </c>
      <c r="I58" s="382">
        <f>0.00007*535*8</f>
        <v>0.29959999999999998</v>
      </c>
      <c r="J58"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7.4899999999999993E-3</v>
      </c>
      <c r="K58"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3.7449999999999996E-3</v>
      </c>
      <c r="L58" s="386">
        <f>IFERROR(Dermal_Exp[[#This Row],[High-End AD (mg/kg-day)]]*IF(Dermal_Exp[[#This Row],[ED_High-End]]&gt;EFID,EFID,Dermal_Exp[[#This Row],[ED_High-End]])/ID,"Not Assessed")</f>
        <v>5.4926666666666657E-3</v>
      </c>
      <c r="M58" s="386">
        <f>IFERROR(Dermal_Exp[[#This Row],[Central Tendency AD (mg/kg-day)]]*IF(Dermal_Exp[[#This Row],[ED_Central Tendency]]&gt;EFID,EFID,Dermal_Exp[[#This Row],[ED_Central Tendency]])/ID,"Not Assessed")</f>
        <v>2.7463333333333328E-3</v>
      </c>
      <c r="N58" s="328">
        <f>IFERROR(Dermal_Exp[[#This Row],[High-End AD (mg/kg-day)]]*Dermal_Exp[[#This Row],[ED_High-End]]*WY_high/(365*WY_high),"Not Assessed")</f>
        <v>5.1301369863013691E-3</v>
      </c>
      <c r="O58" s="328">
        <f>IFERROR(Dermal_Exp[[#This Row],[Central Tendency AD (mg/kg-day)]]*Dermal_Exp[[#This Row],[ED_Central Tendency]]*WY_mid/(365*WY_mid),"Not Assessed")</f>
        <v>2.2880410958904108E-3</v>
      </c>
    </row>
    <row r="59" spans="1:15" ht="14" x14ac:dyDescent="0.3">
      <c r="A59" s="390">
        <v>6</v>
      </c>
      <c r="B59" s="340" t="s">
        <v>182</v>
      </c>
      <c r="C59" s="381" t="s">
        <v>168</v>
      </c>
      <c r="D59" s="323">
        <v>250</v>
      </c>
      <c r="E59" s="323">
        <v>223</v>
      </c>
      <c r="F59" s="382"/>
      <c r="G59" s="382"/>
      <c r="H59" s="382">
        <f>0.00007*890*8</f>
        <v>0.49839999999999995</v>
      </c>
      <c r="I59" s="382">
        <f>0.00007*445*8</f>
        <v>0.24919999999999998</v>
      </c>
      <c r="J59"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6.8816016568864326E-3</v>
      </c>
      <c r="K59"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3.4408008284432163E-3</v>
      </c>
      <c r="L59" s="386">
        <f>IFERROR(Dermal_Exp[[#This Row],[High-End AD (mg/kg-day)]]*IF(Dermal_Exp[[#This Row],[ED_High-End]]&gt;EFID,EFID,Dermal_Exp[[#This Row],[ED_High-End]])/ID,"Not Assessed")</f>
        <v>5.0465078817167174E-3</v>
      </c>
      <c r="M59" s="386">
        <f>IFERROR(Dermal_Exp[[#This Row],[Central Tendency AD (mg/kg-day)]]*IF(Dermal_Exp[[#This Row],[ED_Central Tendency]]&gt;EFID,EFID,Dermal_Exp[[#This Row],[ED_Central Tendency]])/ID,"Not Assessed")</f>
        <v>2.5232539408583587E-3</v>
      </c>
      <c r="N59" s="328">
        <f>IFERROR(Dermal_Exp[[#This Row],[High-End AD (mg/kg-day)]]*Dermal_Exp[[#This Row],[ED_High-End]]*WY_high/(365*WY_high),"Not Assessed")</f>
        <v>4.713425792387968E-3</v>
      </c>
      <c r="O59" s="328">
        <f>IFERROR(Dermal_Exp[[#This Row],[Central Tendency AD (mg/kg-day)]]*Dermal_Exp[[#This Row],[ED_Central Tendency]]*WY_mid/(365*WY_mid),"Not Assessed")</f>
        <v>2.1021879034050337E-3</v>
      </c>
    </row>
    <row r="60" spans="1:15" ht="14" x14ac:dyDescent="0.3">
      <c r="A60" s="400">
        <v>6</v>
      </c>
      <c r="B60" s="340" t="s">
        <v>182</v>
      </c>
      <c r="C60" s="381" t="s">
        <v>74</v>
      </c>
      <c r="D60" s="323">
        <v>250</v>
      </c>
      <c r="E60" s="323">
        <v>223</v>
      </c>
      <c r="F60" s="382"/>
      <c r="G60" s="382"/>
      <c r="H60" s="382">
        <f>0.00007*535*8</f>
        <v>0.29959999999999998</v>
      </c>
      <c r="I60" s="382">
        <f>0.00007*267.5*8</f>
        <v>0.14979999999999999</v>
      </c>
      <c r="J60" s="384">
        <f>IF(OR(Dermal_Exp[[#This Row],[Worker Type]]="Average Adult Worker", Dermal_Exp[[#This Row],[Worker Type]]="ONU"),(Dermal_Exp[[#This Row],[High-End Exposure to Liquid]]+Dermal_Exp[[#This Row],[High-End Exposure to Solids]])/BW_default,IF(Dermal_Exp[[#This Row],[Worker Type]]="Female of Reproductive Age",(Dermal_Exp[[#This Row],[High-End Exposure to Liquid]]+Dermal_Exp[[#This Row],[High-End Exposure to Solids]])/BW_F,"Not Assessed"))</f>
        <v>3.7449999999999996E-3</v>
      </c>
      <c r="K60" s="385">
        <f>IF(OR(Dermal_Exp[[#This Row],[Worker Type]]="Average Adult Worker", Dermal_Exp[[#This Row],[Worker Type]]="ONU"),(Dermal_Exp[[#This Row],[ Central Tendency Exposure to Liquids]]+Dermal_Exp[[#This Row],[Central Tendency  Exposure to Solids]])/BW_default,IF(Dermal_Exp[[#This Row],[Worker Type]]="Female of Reproductive Age",(Dermal_Exp[[#This Row],[ Central Tendency Exposure to Liquids]]+Dermal_Exp[[#This Row],[Central Tendency  Exposure to Solids]])/BW_F,"Not Assessed"))</f>
        <v>1.8724999999999998E-3</v>
      </c>
      <c r="L60" s="386">
        <f>IFERROR(Dermal_Exp[[#This Row],[High-End AD (mg/kg-day)]]*IF(Dermal_Exp[[#This Row],[ED_High-End]]&gt;EFID,EFID,Dermal_Exp[[#This Row],[ED_High-End]])/ID,"Not Assessed")</f>
        <v>2.7463333333333328E-3</v>
      </c>
      <c r="M60" s="386">
        <f>IFERROR(Dermal_Exp[[#This Row],[Central Tendency AD (mg/kg-day)]]*IF(Dermal_Exp[[#This Row],[ED_Central Tendency]]&gt;EFID,EFID,Dermal_Exp[[#This Row],[ED_Central Tendency]])/ID,"Not Assessed")</f>
        <v>1.3731666666666664E-3</v>
      </c>
      <c r="N60" s="328">
        <f>IFERROR(Dermal_Exp[[#This Row],[High-End AD (mg/kg-day)]]*Dermal_Exp[[#This Row],[ED_High-End]]*WY_high/(365*WY_high),"Not Assessed")</f>
        <v>2.5650684931506846E-3</v>
      </c>
      <c r="O60" s="328">
        <f>IFERROR(Dermal_Exp[[#This Row],[Central Tendency AD (mg/kg-day)]]*Dermal_Exp[[#This Row],[ED_Central Tendency]]*WY_mid/(365*WY_mid),"Not Assessed")</f>
        <v>1.1440205479452054E-3</v>
      </c>
    </row>
    <row r="61" spans="1:15" x14ac:dyDescent="0.3">
      <c r="H61" s="401"/>
    </row>
  </sheetData>
  <sheetProtection sheet="1" objects="1" scenarios="1" formatCells="0" formatColumns="0" formatRows="0" sort="0" autoFilter="0"/>
  <mergeCells count="6">
    <mergeCell ref="J1:K2"/>
    <mergeCell ref="L1:M2"/>
    <mergeCell ref="N1:O2"/>
    <mergeCell ref="D1:E2"/>
    <mergeCell ref="F1:G2"/>
    <mergeCell ref="H1:I2"/>
  </mergeCells>
  <phoneticPr fontId="2" type="noConversion"/>
  <conditionalFormatting sqref="D55:E57 H61">
    <cfRule type="cellIs" dxfId="262" priority="875" operator="greaterThan">
      <formula>10000</formula>
    </cfRule>
    <cfRule type="cellIs" dxfId="261" priority="872" operator="lessThan">
      <formula>0.1</formula>
    </cfRule>
  </conditionalFormatting>
  <conditionalFormatting sqref="F10:F11">
    <cfRule type="cellIs" dxfId="260" priority="400" operator="greaterThan">
      <formula>10000</formula>
    </cfRule>
    <cfRule type="cellIs" dxfId="259" priority="399" operator="between">
      <formula>10</formula>
      <formula>9999.999</formula>
    </cfRule>
    <cfRule type="cellIs" dxfId="258" priority="398" operator="between">
      <formula>0.1</formula>
      <formula>0.999</formula>
    </cfRule>
    <cfRule type="cellIs" dxfId="257" priority="397" operator="lessThan">
      <formula>0.1</formula>
    </cfRule>
    <cfRule type="cellIs" dxfId="256" priority="396" operator="between">
      <formula>1</formula>
      <formula>9.999</formula>
    </cfRule>
  </conditionalFormatting>
  <conditionalFormatting sqref="F13:F14">
    <cfRule type="cellIs" dxfId="255" priority="393" operator="between">
      <formula>0.1</formula>
      <formula>0.999</formula>
    </cfRule>
    <cfRule type="cellIs" dxfId="254" priority="392" operator="lessThan">
      <formula>0.1</formula>
    </cfRule>
    <cfRule type="cellIs" dxfId="253" priority="391" operator="between">
      <formula>1</formula>
      <formula>9.999</formula>
    </cfRule>
    <cfRule type="cellIs" dxfId="252" priority="394" operator="between">
      <formula>10</formula>
      <formula>9999.999</formula>
    </cfRule>
    <cfRule type="cellIs" dxfId="251" priority="395" operator="greaterThan">
      <formula>10000</formula>
    </cfRule>
  </conditionalFormatting>
  <conditionalFormatting sqref="F16:F38">
    <cfRule type="cellIs" dxfId="250" priority="351" operator="between">
      <formula>1</formula>
      <formula>9.999</formula>
    </cfRule>
    <cfRule type="cellIs" dxfId="249" priority="354" operator="between">
      <formula>10</formula>
      <formula>9999.999</formula>
    </cfRule>
    <cfRule type="cellIs" dxfId="248" priority="353" operator="between">
      <formula>0.1</formula>
      <formula>0.999</formula>
    </cfRule>
  </conditionalFormatting>
  <conditionalFormatting sqref="F16:F44">
    <cfRule type="cellIs" dxfId="247" priority="345" operator="greaterThan">
      <formula>10000</formula>
    </cfRule>
    <cfRule type="cellIs" dxfId="246" priority="342" operator="lessThan">
      <formula>0.1</formula>
    </cfRule>
  </conditionalFormatting>
  <conditionalFormatting sqref="F39">
    <cfRule type="cellIs" dxfId="245" priority="591" operator="between">
      <formula>0.1</formula>
      <formula>0.999</formula>
    </cfRule>
    <cfRule type="cellIs" dxfId="244" priority="590" operator="between">
      <formula>1</formula>
      <formula>9.999</formula>
    </cfRule>
  </conditionalFormatting>
  <conditionalFormatting sqref="F40:F44">
    <cfRule type="cellIs" dxfId="243" priority="343" operator="between">
      <formula>0.1</formula>
      <formula>0.999</formula>
    </cfRule>
    <cfRule type="cellIs" dxfId="242" priority="341" operator="between">
      <formula>1</formula>
      <formula>9.999</formula>
    </cfRule>
    <cfRule type="cellIs" dxfId="241" priority="344" operator="between">
      <formula>10</formula>
      <formula>9999.999</formula>
    </cfRule>
  </conditionalFormatting>
  <conditionalFormatting sqref="F46:F47">
    <cfRule type="cellIs" dxfId="240" priority="340" operator="greaterThan">
      <formula>10000</formula>
    </cfRule>
    <cfRule type="cellIs" dxfId="239" priority="339" operator="between">
      <formula>10</formula>
      <formula>9999.999</formula>
    </cfRule>
    <cfRule type="cellIs" dxfId="238" priority="338" operator="between">
      <formula>0.1</formula>
      <formula>0.999</formula>
    </cfRule>
    <cfRule type="cellIs" dxfId="237" priority="337" operator="lessThan">
      <formula>0.1</formula>
    </cfRule>
    <cfRule type="cellIs" dxfId="236" priority="336" operator="between">
      <formula>1</formula>
      <formula>9.999</formula>
    </cfRule>
  </conditionalFormatting>
  <conditionalFormatting sqref="F49:F60">
    <cfRule type="cellIs" dxfId="235" priority="318" operator="between">
      <formula>0.1</formula>
      <formula>0.999</formula>
    </cfRule>
    <cfRule type="cellIs" dxfId="234" priority="320" operator="greaterThan">
      <formula>10000</formula>
    </cfRule>
    <cfRule type="cellIs" dxfId="233" priority="319" operator="between">
      <formula>10</formula>
      <formula>9999.999</formula>
    </cfRule>
    <cfRule type="cellIs" dxfId="232" priority="317" operator="lessThan">
      <formula>0.1</formula>
    </cfRule>
    <cfRule type="cellIs" dxfId="231" priority="316" operator="between">
      <formula>1</formula>
      <formula>9.999</formula>
    </cfRule>
  </conditionalFormatting>
  <conditionalFormatting sqref="F39:G39 F45:G45">
    <cfRule type="cellIs" dxfId="230" priority="588" operator="lessThan">
      <formula>0.1</formula>
    </cfRule>
    <cfRule type="cellIs" dxfId="229" priority="587" operator="between">
      <formula>0.1</formula>
      <formula>0.999</formula>
    </cfRule>
    <cfRule type="cellIs" dxfId="228" priority="586" operator="between">
      <formula>1</formula>
      <formula>9.999</formula>
    </cfRule>
    <cfRule type="cellIs" dxfId="227" priority="589" operator="greaterThan">
      <formula>10000</formula>
    </cfRule>
  </conditionalFormatting>
  <conditionalFormatting sqref="F4:I5 F6:H6 F7:I8 F9:H9">
    <cfRule type="cellIs" dxfId="226" priority="585" operator="greaterThan">
      <formula>10000</formula>
    </cfRule>
    <cfRule type="cellIs" dxfId="225" priority="581" operator="between">
      <formula>1</formula>
      <formula>9.999</formula>
    </cfRule>
    <cfRule type="cellIs" dxfId="224" priority="584" operator="between">
      <formula>10</formula>
      <formula>9999.999</formula>
    </cfRule>
    <cfRule type="cellIs" dxfId="223" priority="583" operator="between">
      <formula>0.1</formula>
      <formula>0.999</formula>
    </cfRule>
    <cfRule type="cellIs" dxfId="222" priority="582" operator="lessThan">
      <formula>0.1</formula>
    </cfRule>
  </conditionalFormatting>
  <conditionalFormatting sqref="F39:I39 H40:I47 F48:I48 F45:G45">
    <cfRule type="cellIs" dxfId="221" priority="739" operator="between">
      <formula>10</formula>
      <formula>9999.999</formula>
    </cfRule>
  </conditionalFormatting>
  <conditionalFormatting sqref="F39:I39 H40:I47 F48:I48">
    <cfRule type="cellIs" dxfId="220" priority="740" operator="greaterThan">
      <formula>10000</formula>
    </cfRule>
    <cfRule type="cellIs" dxfId="219" priority="738" operator="between">
      <formula>0.1</formula>
      <formula>0.999</formula>
    </cfRule>
    <cfRule type="cellIs" dxfId="218" priority="736" operator="between">
      <formula>1</formula>
      <formula>9.999</formula>
    </cfRule>
    <cfRule type="cellIs" dxfId="217" priority="737" operator="lessThan">
      <formula>0.1</formula>
    </cfRule>
  </conditionalFormatting>
  <conditionalFormatting sqref="G10:G11">
    <cfRule type="cellIs" dxfId="216" priority="312" operator="lessThan">
      <formula>0.1</formula>
    </cfRule>
    <cfRule type="cellIs" dxfId="215" priority="313" operator="between">
      <formula>0.1</formula>
      <formula>0.999</formula>
    </cfRule>
    <cfRule type="cellIs" dxfId="214" priority="315" operator="greaterThan">
      <formula>10000</formula>
    </cfRule>
    <cfRule type="cellIs" dxfId="213" priority="314" operator="between">
      <formula>10</formula>
      <formula>9999.999</formula>
    </cfRule>
    <cfRule type="cellIs" dxfId="212" priority="311" operator="between">
      <formula>1</formula>
      <formula>9.999</formula>
    </cfRule>
  </conditionalFormatting>
  <conditionalFormatting sqref="G13:G14">
    <cfRule type="cellIs" dxfId="211" priority="308" operator="between">
      <formula>0.1</formula>
      <formula>0.999</formula>
    </cfRule>
    <cfRule type="cellIs" dxfId="210" priority="306" operator="between">
      <formula>1</formula>
      <formula>9.999</formula>
    </cfRule>
    <cfRule type="cellIs" dxfId="209" priority="310" operator="greaterThan">
      <formula>10000</formula>
    </cfRule>
    <cfRule type="cellIs" dxfId="208" priority="307" operator="lessThan">
      <formula>0.1</formula>
    </cfRule>
    <cfRule type="cellIs" dxfId="207" priority="309" operator="between">
      <formula>10</formula>
      <formula>9999.999</formula>
    </cfRule>
  </conditionalFormatting>
  <conditionalFormatting sqref="G16:G17">
    <cfRule type="cellIs" dxfId="206" priority="302" operator="lessThan">
      <formula>0.1</formula>
    </cfRule>
    <cfRule type="cellIs" dxfId="205" priority="304" operator="between">
      <formula>10</formula>
      <formula>9999.999</formula>
    </cfRule>
    <cfRule type="cellIs" dxfId="204" priority="305" operator="greaterThan">
      <formula>10000</formula>
    </cfRule>
    <cfRule type="cellIs" dxfId="203" priority="303" operator="between">
      <formula>0.1</formula>
      <formula>0.999</formula>
    </cfRule>
    <cfRule type="cellIs" dxfId="202" priority="301" operator="between">
      <formula>1</formula>
      <formula>9.999</formula>
    </cfRule>
  </conditionalFormatting>
  <conditionalFormatting sqref="G19:G38">
    <cfRule type="cellIs" dxfId="201" priority="210" operator="greaterThan">
      <formula>10000</formula>
    </cfRule>
    <cfRule type="cellIs" dxfId="200" priority="206" operator="between">
      <formula>1</formula>
      <formula>9.999</formula>
    </cfRule>
    <cfRule type="cellIs" dxfId="199" priority="207" operator="lessThan">
      <formula>0.1</formula>
    </cfRule>
    <cfRule type="cellIs" dxfId="198" priority="208" operator="between">
      <formula>0.1</formula>
      <formula>0.999</formula>
    </cfRule>
    <cfRule type="cellIs" dxfId="197" priority="209" operator="between">
      <formula>10</formula>
      <formula>9999.999</formula>
    </cfRule>
  </conditionalFormatting>
  <conditionalFormatting sqref="G40:G44">
    <cfRule type="cellIs" dxfId="196" priority="205" operator="greaterThan">
      <formula>10000</formula>
    </cfRule>
    <cfRule type="cellIs" dxfId="195" priority="204" operator="between">
      <formula>10</formula>
      <formula>9999.999</formula>
    </cfRule>
    <cfRule type="cellIs" dxfId="194" priority="203" operator="between">
      <formula>0.1</formula>
      <formula>0.999</formula>
    </cfRule>
    <cfRule type="cellIs" dxfId="193" priority="202" operator="lessThan">
      <formula>0.1</formula>
    </cfRule>
    <cfRule type="cellIs" dxfId="192" priority="201" operator="between">
      <formula>1</formula>
      <formula>9.999</formula>
    </cfRule>
  </conditionalFormatting>
  <conditionalFormatting sqref="G46:G47">
    <cfRule type="cellIs" dxfId="191" priority="255" operator="greaterThan">
      <formula>10000</formula>
    </cfRule>
    <cfRule type="cellIs" dxfId="190" priority="253" operator="between">
      <formula>0.1</formula>
      <formula>0.999</formula>
    </cfRule>
    <cfRule type="cellIs" dxfId="189" priority="252" operator="lessThan">
      <formula>0.1</formula>
    </cfRule>
    <cfRule type="cellIs" dxfId="188" priority="254" operator="between">
      <formula>10</formula>
      <formula>9999.999</formula>
    </cfRule>
    <cfRule type="cellIs" dxfId="187" priority="251" operator="between">
      <formula>1</formula>
      <formula>9.999</formula>
    </cfRule>
  </conditionalFormatting>
  <conditionalFormatting sqref="G49:G60">
    <cfRule type="cellIs" dxfId="186" priority="185" operator="greaterThan">
      <formula>10000</formula>
    </cfRule>
    <cfRule type="cellIs" dxfId="185" priority="184" operator="between">
      <formula>10</formula>
      <formula>9999.999</formula>
    </cfRule>
    <cfRule type="cellIs" dxfId="184" priority="183" operator="between">
      <formula>0.1</formula>
      <formula>0.999</formula>
    </cfRule>
    <cfRule type="cellIs" dxfId="183" priority="182" operator="lessThan">
      <formula>0.1</formula>
    </cfRule>
    <cfRule type="cellIs" dxfId="182" priority="181" operator="between">
      <formula>1</formula>
      <formula>9.999</formula>
    </cfRule>
  </conditionalFormatting>
  <conditionalFormatting sqref="H21">
    <cfRule type="cellIs" dxfId="181" priority="178" operator="between">
      <formula>0.1</formula>
      <formula>0.999</formula>
    </cfRule>
    <cfRule type="cellIs" dxfId="180" priority="180" operator="greaterThan">
      <formula>10000</formula>
    </cfRule>
    <cfRule type="cellIs" dxfId="179" priority="179" operator="between">
      <formula>10</formula>
      <formula>9999.999</formula>
    </cfRule>
    <cfRule type="cellIs" dxfId="178" priority="177" operator="lessThan">
      <formula>0.1</formula>
    </cfRule>
    <cfRule type="cellIs" dxfId="177" priority="176" operator="between">
      <formula>1</formula>
      <formula>9.999</formula>
    </cfRule>
  </conditionalFormatting>
  <conditionalFormatting sqref="H24:H27">
    <cfRule type="cellIs" dxfId="176" priority="150" operator="greaterThan">
      <formula>10000</formula>
    </cfRule>
    <cfRule type="cellIs" dxfId="175" priority="149" operator="between">
      <formula>10</formula>
      <formula>9999.999</formula>
    </cfRule>
    <cfRule type="cellIs" dxfId="174" priority="148" operator="between">
      <formula>0.1</formula>
      <formula>0.999</formula>
    </cfRule>
    <cfRule type="cellIs" dxfId="173" priority="147" operator="lessThan">
      <formula>0.1</formula>
    </cfRule>
    <cfRule type="cellIs" dxfId="172" priority="146" operator="between">
      <formula>1</formula>
      <formula>9.999</formula>
    </cfRule>
  </conditionalFormatting>
  <conditionalFormatting sqref="H30:H33">
    <cfRule type="cellIs" dxfId="171" priority="113" operator="between">
      <formula>0.1</formula>
      <formula>0.999</formula>
    </cfRule>
    <cfRule type="cellIs" dxfId="170" priority="115" operator="greaterThan">
      <formula>10000</formula>
    </cfRule>
    <cfRule type="cellIs" dxfId="169" priority="114" operator="between">
      <formula>10</formula>
      <formula>9999.999</formula>
    </cfRule>
    <cfRule type="cellIs" dxfId="168" priority="112" operator="lessThan">
      <formula>0.1</formula>
    </cfRule>
    <cfRule type="cellIs" dxfId="167" priority="111" operator="between">
      <formula>1</formula>
      <formula>9.999</formula>
    </cfRule>
  </conditionalFormatting>
  <conditionalFormatting sqref="H49:H60">
    <cfRule type="cellIs" dxfId="166" priority="32" operator="lessThan">
      <formula>0.1</formula>
    </cfRule>
    <cfRule type="cellIs" dxfId="165" priority="31" operator="between">
      <formula>1</formula>
      <formula>9.999</formula>
    </cfRule>
    <cfRule type="cellIs" dxfId="164" priority="35" operator="greaterThan">
      <formula>10000</formula>
    </cfRule>
    <cfRule type="cellIs" dxfId="163" priority="34" operator="between">
      <formula>10</formula>
      <formula>9999.999</formula>
    </cfRule>
    <cfRule type="cellIs" dxfId="162" priority="33" operator="between">
      <formula>0.1</formula>
      <formula>0.999</formula>
    </cfRule>
  </conditionalFormatting>
  <conditionalFormatting sqref="H10:I11 F12:H12 H13:I14 F15:H15 H16:H17 G18:H18 H19:I20">
    <cfRule type="cellIs" dxfId="161" priority="578" operator="between">
      <formula>0.1</formula>
      <formula>0.999</formula>
    </cfRule>
    <cfRule type="cellIs" dxfId="160" priority="579" operator="between">
      <formula>10</formula>
      <formula>9999.999</formula>
    </cfRule>
    <cfRule type="cellIs" dxfId="159" priority="580" operator="greaterThan">
      <formula>10000</formula>
    </cfRule>
    <cfRule type="cellIs" dxfId="158" priority="576" operator="between">
      <formula>1</formula>
      <formula>9.999</formula>
    </cfRule>
    <cfRule type="cellIs" dxfId="157" priority="577" operator="lessThan">
      <formula>0.1</formula>
    </cfRule>
  </conditionalFormatting>
  <conditionalFormatting sqref="H22:I23 H28:I29 H34:I38">
    <cfRule type="cellIs" dxfId="156" priority="573" operator="between">
      <formula>0.1</formula>
      <formula>0.999</formula>
    </cfRule>
    <cfRule type="cellIs" dxfId="155" priority="574" operator="between">
      <formula>10</formula>
      <formula>9999.999</formula>
    </cfRule>
    <cfRule type="cellIs" dxfId="154" priority="568" operator="between">
      <formula>1</formula>
      <formula>9.999</formula>
    </cfRule>
    <cfRule type="cellIs" dxfId="153" priority="555" operator="greaterThan">
      <formula>10000</formula>
    </cfRule>
    <cfRule type="cellIs" dxfId="152" priority="552" operator="lessThan">
      <formula>0.1</formula>
    </cfRule>
  </conditionalFormatting>
  <conditionalFormatting sqref="I21">
    <cfRule type="cellIs" dxfId="151" priority="174" operator="between">
      <formula>10</formula>
      <formula>9999.999</formula>
    </cfRule>
    <cfRule type="cellIs" dxfId="150" priority="173" operator="between">
      <formula>0.1</formula>
      <formula>0.999</formula>
    </cfRule>
    <cfRule type="cellIs" dxfId="149" priority="172" operator="lessThan">
      <formula>0.1</formula>
    </cfRule>
    <cfRule type="cellIs" dxfId="148" priority="171" operator="between">
      <formula>1</formula>
      <formula>9.999</formula>
    </cfRule>
    <cfRule type="cellIs" dxfId="147" priority="175" operator="greaterThan">
      <formula>10000</formula>
    </cfRule>
  </conditionalFormatting>
  <conditionalFormatting sqref="I24:I27">
    <cfRule type="cellIs" dxfId="146" priority="139" operator="between">
      <formula>10</formula>
      <formula>9999.999</formula>
    </cfRule>
    <cfRule type="cellIs" dxfId="145" priority="138" operator="between">
      <formula>0.1</formula>
      <formula>0.999</formula>
    </cfRule>
    <cfRule type="cellIs" dxfId="144" priority="137" operator="lessThan">
      <formula>0.1</formula>
    </cfRule>
    <cfRule type="cellIs" dxfId="143" priority="136" operator="between">
      <formula>1</formula>
      <formula>9.999</formula>
    </cfRule>
    <cfRule type="cellIs" dxfId="142" priority="140" operator="greaterThan">
      <formula>10000</formula>
    </cfRule>
  </conditionalFormatting>
  <conditionalFormatting sqref="I30:I33">
    <cfRule type="cellIs" dxfId="141" priority="103" operator="between">
      <formula>0.1</formula>
      <formula>0.999</formula>
    </cfRule>
    <cfRule type="cellIs" dxfId="140" priority="102" operator="lessThan">
      <formula>0.1</formula>
    </cfRule>
    <cfRule type="cellIs" dxfId="139" priority="101" operator="between">
      <formula>1</formula>
      <formula>9.999</formula>
    </cfRule>
    <cfRule type="cellIs" dxfId="138" priority="105" operator="greaterThan">
      <formula>10000</formula>
    </cfRule>
    <cfRule type="cellIs" dxfId="137" priority="104" operator="between">
      <formula>10</formula>
      <formula>9999.999</formula>
    </cfRule>
  </conditionalFormatting>
  <conditionalFormatting sqref="I49:I60">
    <cfRule type="cellIs" dxfId="136" priority="5" operator="greaterThan">
      <formula>10000</formula>
    </cfRule>
    <cfRule type="cellIs" dxfId="135" priority="1" operator="between">
      <formula>1</formula>
      <formula>9.999</formula>
    </cfRule>
    <cfRule type="cellIs" dxfId="134" priority="2" operator="lessThan">
      <formula>0.1</formula>
    </cfRule>
    <cfRule type="cellIs" dxfId="133" priority="3" operator="between">
      <formula>0.1</formula>
      <formula>0.999</formula>
    </cfRule>
    <cfRule type="cellIs" dxfId="132" priority="4" operator="between">
      <formula>10</formula>
      <formula>9999.999</formula>
    </cfRule>
  </conditionalFormatting>
  <conditionalFormatting sqref="J5:K60 J4:O4 L5:O6">
    <cfRule type="cellIs" dxfId="131" priority="880" operator="between">
      <formula>1</formula>
      <formula>9.999</formula>
    </cfRule>
  </conditionalFormatting>
  <conditionalFormatting sqref="J5:K60">
    <cfRule type="cellIs" dxfId="130" priority="879" operator="between">
      <formula>10</formula>
      <formula>9999.999</formula>
    </cfRule>
  </conditionalFormatting>
  <conditionalFormatting sqref="J4:O4 L5:O6 J5:K60">
    <cfRule type="cellIs" dxfId="129" priority="881" operator="between">
      <formula>0.1</formula>
      <formula>0.999</formula>
    </cfRule>
  </conditionalFormatting>
  <conditionalFormatting sqref="J4:O4 L5:O48 J5:K60 L40:M60">
    <cfRule type="cellIs" dxfId="128" priority="847" operator="greaterThanOrEqual">
      <formula>10000</formula>
    </cfRule>
    <cfRule type="cellIs" dxfId="127" priority="876" operator="lessThanOrEqual">
      <formula>0.01</formula>
    </cfRule>
  </conditionalFormatting>
  <conditionalFormatting sqref="L4:M60">
    <cfRule type="cellIs" dxfId="126" priority="862" operator="lessThan">
      <formula>0.1</formula>
    </cfRule>
    <cfRule type="cellIs" dxfId="125" priority="863" operator="between">
      <formula>0.1</formula>
      <formula>0.999</formula>
    </cfRule>
    <cfRule type="cellIs" dxfId="124" priority="864" operator="between">
      <formula>1</formula>
      <formula>9.999</formula>
    </cfRule>
    <cfRule type="cellIs" dxfId="123" priority="865" operator="between">
      <formula>10</formula>
      <formula>9999.999</formula>
    </cfRule>
  </conditionalFormatting>
  <conditionalFormatting sqref="L5:M21 L7:O48 J7:J60 L40:M60 D55:E57 H61">
    <cfRule type="cellIs" dxfId="122" priority="873" operator="between">
      <formula>0.1</formula>
      <formula>0.999</formula>
    </cfRule>
  </conditionalFormatting>
  <conditionalFormatting sqref="L5:M21 L7:O48 L40:M60 J7:J60 D55:E57 H61">
    <cfRule type="cellIs" dxfId="121" priority="871" operator="between">
      <formula>1</formula>
      <formula>9.999</formula>
    </cfRule>
  </conditionalFormatting>
  <conditionalFormatting sqref="L5:O48 J5:J60 D55:E57 H61 J4:O4">
    <cfRule type="cellIs" dxfId="120" priority="874" operator="between">
      <formula>10</formula>
      <formula>9999.999</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6B0BD-3A26-46B1-9811-A8C9CF09E75F}">
  <sheetPr codeName="Sheet13">
    <tabColor rgb="FF92D050"/>
  </sheetPr>
  <dimension ref="B1:AI242"/>
  <sheetViews>
    <sheetView workbookViewId="0"/>
  </sheetViews>
  <sheetFormatPr defaultColWidth="8.90625" defaultRowHeight="13" x14ac:dyDescent="0.35"/>
  <cols>
    <col min="1" max="1" width="4.54296875" style="27" customWidth="1"/>
    <col min="2" max="2" width="4.54296875" style="28" bestFit="1" customWidth="1"/>
    <col min="3" max="3" width="50.453125" style="27" bestFit="1" customWidth="1"/>
    <col min="4" max="4" width="23.54296875" style="28" bestFit="1" customWidth="1"/>
    <col min="5" max="5" width="17.08984375" style="27" bestFit="1" customWidth="1"/>
    <col min="6" max="6" width="17" style="27" customWidth="1"/>
    <col min="7" max="7" width="14.54296875" style="27" bestFit="1" customWidth="1"/>
    <col min="8" max="8" width="13.54296875" style="27" bestFit="1" customWidth="1"/>
    <col min="9" max="9" width="17.453125" style="27" bestFit="1" customWidth="1"/>
    <col min="10" max="10" width="14.54296875" style="27" bestFit="1" customWidth="1"/>
    <col min="11" max="11" width="13.54296875" style="27" bestFit="1" customWidth="1"/>
    <col min="12" max="12" width="17.453125" style="27" bestFit="1" customWidth="1"/>
    <col min="13" max="13" width="12.453125" style="27" bestFit="1" customWidth="1"/>
    <col min="14" max="14" width="11" style="27" bestFit="1" customWidth="1"/>
    <col min="15" max="15" width="7.54296875" style="27" bestFit="1" customWidth="1"/>
    <col min="16" max="16" width="17" style="27" customWidth="1"/>
    <col min="17" max="17" width="8.90625" style="27" customWidth="1"/>
    <col min="18" max="18" width="26.54296875" style="27" customWidth="1"/>
    <col min="19" max="19" width="16.90625" style="27" customWidth="1"/>
    <col min="20" max="20" width="18.90625" style="27" customWidth="1"/>
    <col min="21" max="21" width="22.08984375" style="27" customWidth="1"/>
    <col min="22" max="22" width="25.90625" style="27" bestFit="1" customWidth="1"/>
    <col min="23" max="26" width="20.453125" style="27" customWidth="1"/>
    <col min="27" max="28" width="18.90625" style="27" customWidth="1"/>
    <col min="29" max="29" width="28.453125" style="94" customWidth="1"/>
    <col min="30" max="30" width="26.90625" style="94" customWidth="1"/>
    <col min="31" max="31" width="15.08984375" style="94" customWidth="1"/>
    <col min="32" max="32" width="17.90625" style="94" customWidth="1"/>
    <col min="33" max="33" width="22.453125" style="94" customWidth="1"/>
    <col min="34" max="34" width="21.90625" style="94" customWidth="1"/>
    <col min="35" max="35" width="17.453125" style="94" customWidth="1"/>
    <col min="36" max="36" width="14.54296875" style="27" customWidth="1"/>
    <col min="37" max="37" width="17.08984375" style="27" customWidth="1"/>
    <col min="38" max="38" width="16" style="27" customWidth="1"/>
    <col min="39" max="39" width="24.08984375" style="27" customWidth="1"/>
    <col min="40" max="40" width="15.54296875" style="27" customWidth="1"/>
    <col min="41" max="41" width="14.08984375" style="27" customWidth="1"/>
    <col min="42" max="43" width="8.90625" style="27"/>
    <col min="44" max="44" width="18.453125" style="27" customWidth="1"/>
    <col min="45" max="45" width="15" style="27" customWidth="1"/>
    <col min="46" max="46" width="21.453125" style="27" customWidth="1"/>
    <col min="47" max="47" width="15.453125" style="27" customWidth="1"/>
    <col min="48" max="48" width="16.54296875" style="27" customWidth="1"/>
    <col min="49" max="50" width="8.90625" style="27"/>
    <col min="51" max="51" width="17.90625" style="27" customWidth="1"/>
    <col min="52" max="52" width="14.453125" style="27" customWidth="1"/>
    <col min="53" max="53" width="18.54296875" style="27" customWidth="1"/>
    <col min="54" max="54" width="13.54296875" style="27" customWidth="1"/>
    <col min="55" max="55" width="15.08984375" style="27" customWidth="1"/>
    <col min="56" max="57" width="8.90625" style="27"/>
    <col min="58" max="58" width="16.08984375" style="27" customWidth="1"/>
    <col min="59" max="59" width="12" style="27" customWidth="1"/>
    <col min="60" max="60" width="18" style="27" customWidth="1"/>
    <col min="61" max="61" width="16.08984375" style="27" customWidth="1"/>
    <col min="62" max="62" width="14.08984375" style="27" customWidth="1"/>
    <col min="63" max="63" width="10.08984375" style="27" customWidth="1"/>
    <col min="64" max="16384" width="8.90625" style="27"/>
  </cols>
  <sheetData>
    <row r="1" spans="2:14" s="27" customFormat="1" x14ac:dyDescent="0.35">
      <c r="B1" s="28"/>
      <c r="D1" s="28"/>
      <c r="J1" s="29"/>
      <c r="K1" s="29"/>
      <c r="L1" s="29"/>
    </row>
    <row r="2" spans="2:14" s="27" customFormat="1" ht="13.5" thickBot="1" x14ac:dyDescent="0.4">
      <c r="B2" s="28"/>
      <c r="D2" s="28"/>
      <c r="J2" s="29"/>
      <c r="K2" s="29"/>
      <c r="L2" s="29"/>
    </row>
    <row r="3" spans="2:14" s="27" customFormat="1" ht="25.5" customHeight="1" thickBot="1" x14ac:dyDescent="0.4">
      <c r="B3" s="28"/>
      <c r="C3" s="402" t="s">
        <v>141</v>
      </c>
      <c r="D3" s="402" t="s">
        <v>201</v>
      </c>
      <c r="E3" s="402" t="s">
        <v>62</v>
      </c>
      <c r="F3" s="403" t="s">
        <v>202</v>
      </c>
      <c r="G3" s="404"/>
      <c r="H3" s="404"/>
      <c r="I3" s="403" t="s">
        <v>203</v>
      </c>
      <c r="J3" s="404"/>
      <c r="K3" s="404"/>
      <c r="L3" s="403" t="s">
        <v>204</v>
      </c>
      <c r="M3" s="404"/>
      <c r="N3" s="405"/>
    </row>
    <row r="4" spans="2:14" s="27" customFormat="1" ht="12.75" customHeight="1" thickBot="1" x14ac:dyDescent="0.4">
      <c r="B4" s="28"/>
      <c r="C4" s="406"/>
      <c r="D4" s="406"/>
      <c r="E4" s="406"/>
      <c r="F4" s="402" t="s">
        <v>67</v>
      </c>
      <c r="G4" s="402" t="s">
        <v>138</v>
      </c>
      <c r="H4" s="402" t="s">
        <v>69</v>
      </c>
      <c r="I4" s="402" t="s">
        <v>67</v>
      </c>
      <c r="J4" s="402" t="s">
        <v>138</v>
      </c>
      <c r="K4" s="402" t="s">
        <v>69</v>
      </c>
      <c r="L4" s="402" t="s">
        <v>205</v>
      </c>
      <c r="M4" s="402" t="s">
        <v>206</v>
      </c>
      <c r="N4" s="402" t="s">
        <v>207</v>
      </c>
    </row>
    <row r="5" spans="2:14" s="27" customFormat="1" ht="12.75" customHeight="1" x14ac:dyDescent="0.35">
      <c r="B5" s="28"/>
      <c r="C5" s="407" t="str" cm="1">
        <f t="array" ref="C5">INDEX('List Values'!$B$2:$B$20,(1+ROUNDDOWN((ROW()-ROW($C$5))*1/6,2)))</f>
        <v>Manufacturing</v>
      </c>
      <c r="D5" s="408" t="s">
        <v>57</v>
      </c>
      <c r="E5" s="409" t="s">
        <v>72</v>
      </c>
      <c r="F5" s="120">
        <f>IF(E5="High-End",SUMIFS(Inhalation_Exp[24hr_High-End],Inhalation_Exp[OES],$C5,Inhalation_Exp[Worker Type],$D5),SUMIFS(Inhalation_Exp[24hr_Central Tendency],Inhalation_Exp[OES],$C5,Inhalation_Exp[Worker Type],$D5))</f>
        <v>2.2875E-3</v>
      </c>
      <c r="G5" s="120">
        <f>IF(E5="High-End",SUMIFS(Inhalation_Exp[Int_High-End],Inhalation_Exp[OES],$C5,Inhalation_Exp[Worker Type],$D5),SUMIFS(Inhalation_Exp[Int_Central Tendency],Inhalation_Exp[OES],$C5,Inhalation_Exp[Worker Type],$D5))</f>
        <v>1.6775E-3</v>
      </c>
      <c r="H5" s="120">
        <f>IF(E5="High-End",SUMIFS(Inhalation_Exp[ADD_High-End],Inhalation_Exp[OES],$C5,Inhalation_Exp[Worker Type],$D5),SUMIFS(Inhalation_Exp[ADD_Central Tendency],Inhalation_Exp[OES],$C5,Inhalation_Exp[Worker Type],$D5))</f>
        <v>1.5667808219178082E-3</v>
      </c>
      <c r="I5" s="78">
        <f>IF($E5="High-End",SUMIFS(Dermal_Exp[High-End AD (mg/kg-day)],Dermal_Exp[Worker Type],$D5,Dermal_Exp[OES],$C5),SUMIFS(Dermal_Exp[Central Tendency AD (mg/kg-day)],Dermal_Exp[Worker Type],$D5,Dermal_Exp[OES],$C5))</f>
        <v>7.4899999999999993E-3</v>
      </c>
      <c r="J5" s="78">
        <f>IF($E5="High-End",SUMIFS(Dermal_Exp[High-End IADD (mg/kg-day)],Dermal_Exp[Worker Type],$D5,Dermal_Exp[OES],$C5),SUMIFS(Dermal_Exp[Central Tendency IADD (mg/kg-day)],Dermal_Exp[Worker Type],$D5,Dermal_Exp[OES],$C5))</f>
        <v>5.4926666666666657E-3</v>
      </c>
      <c r="K5" s="78">
        <f>IF($E5="High-End",SUMIFS(Dermal_Exp[High-End ADD (mg/kg-day)],Dermal_Exp[Worker Type],$D5,Dermal_Exp[OES],$C5),SUMIFS(Dermal_Exp[Central Tendency ADD (mg/kg-day)],Dermal_Exp[Worker Type],$D5,Dermal_Exp[OES],$C5))</f>
        <v>5.1301369863013691E-3</v>
      </c>
      <c r="L5" s="78">
        <f t="shared" ref="L5:L36" si="0">F5+I5</f>
        <v>9.7774999999999997E-3</v>
      </c>
      <c r="M5" s="78">
        <f t="shared" ref="M5:M36" si="1">G5+J5</f>
        <v>7.1701666666666658E-3</v>
      </c>
      <c r="N5" s="78">
        <f t="shared" ref="N5:N36" si="2">H5+K5</f>
        <v>6.6969178082191775E-3</v>
      </c>
    </row>
    <row r="6" spans="2:14" s="27" customFormat="1" ht="12.75" customHeight="1" x14ac:dyDescent="0.35">
      <c r="B6" s="28"/>
      <c r="C6" s="410" t="str" cm="1">
        <f t="array" ref="C6">INDEX('List Values'!$B$2:$B$20,(1+ROUNDDOWN((ROW()-ROW($C$5))*1/6,2)))</f>
        <v>Manufacturing</v>
      </c>
      <c r="D6" s="411" t="s">
        <v>57</v>
      </c>
      <c r="E6" s="412" t="s">
        <v>73</v>
      </c>
      <c r="F6" s="273">
        <f>IF(E6="High-End",SUMIFS(Inhalation_Exp[24hr_High-End],Inhalation_Exp[OES],$C6,Inhalation_Exp[Worker Type],$D6),SUMIFS(Inhalation_Exp[24hr_Central Tendency],Inhalation_Exp[OES],$C6,Inhalation_Exp[Worker Type],$D6))</f>
        <v>5.0000000000000001E-4</v>
      </c>
      <c r="G6" s="273">
        <f>IF(E6="High-End",SUMIFS(Inhalation_Exp[Int_High-End],Inhalation_Exp[OES],$C6,Inhalation_Exp[Worker Type],$D6),SUMIFS(Inhalation_Exp[Int_Central Tendency],Inhalation_Exp[OES],$C6,Inhalation_Exp[Worker Type],$D6))</f>
        <v>3.6666666666666667E-4</v>
      </c>
      <c r="H6" s="273">
        <f>IF(E6="High-End",SUMIFS(Inhalation_Exp[ADD_High-End],Inhalation_Exp[OES],$C6,Inhalation_Exp[Worker Type],$D6),SUMIFS(Inhalation_Exp[ADD_Central Tendency],Inhalation_Exp[OES],$C6,Inhalation_Exp[Worker Type],$D6))</f>
        <v>3.4246575342465754E-4</v>
      </c>
      <c r="I6" s="327">
        <f>IF($E6="High-End",SUMIFS(Dermal_Exp[High-End AD (mg/kg-day)],Dermal_Exp[Worker Type],$D6,Dermal_Exp[OES],$C6),SUMIFS(Dermal_Exp[Central Tendency AD (mg/kg-day)],Dermal_Exp[Worker Type],$D6,Dermal_Exp[OES],$C6))</f>
        <v>3.7449999999999996E-3</v>
      </c>
      <c r="J6" s="327">
        <f>IF($E6="High-End",SUMIFS(Dermal_Exp[High-End IADD (mg/kg-day)],Dermal_Exp[Worker Type],$D6,Dermal_Exp[OES],$C6),SUMIFS(Dermal_Exp[Central Tendency IADD (mg/kg-day)],Dermal_Exp[Worker Type],$D6,Dermal_Exp[OES],$C6))</f>
        <v>2.7463333333333328E-3</v>
      </c>
      <c r="K6" s="327">
        <f>IF($E6="High-End",SUMIFS(Dermal_Exp[High-End ADD (mg/kg-day)],Dermal_Exp[Worker Type],$D6,Dermal_Exp[OES],$C6),SUMIFS(Dermal_Exp[Central Tendency ADD (mg/kg-day)],Dermal_Exp[Worker Type],$D6,Dermal_Exp[OES],$C6))</f>
        <v>2.5650684931506846E-3</v>
      </c>
      <c r="L6" s="327">
        <f t="shared" si="0"/>
        <v>4.2449999999999996E-3</v>
      </c>
      <c r="M6" s="327">
        <f t="shared" si="1"/>
        <v>3.1129999999999994E-3</v>
      </c>
      <c r="N6" s="327">
        <f t="shared" si="2"/>
        <v>2.907534246575342E-3</v>
      </c>
    </row>
    <row r="7" spans="2:14" s="27" customFormat="1" ht="12.75" customHeight="1" x14ac:dyDescent="0.35">
      <c r="B7" s="28"/>
      <c r="C7" s="410" t="str" cm="1">
        <f t="array" ref="C7">INDEX('List Values'!$B$2:$B$20,(1+ROUNDDOWN((ROW()-ROW($C$5))*1/6,2)))</f>
        <v>Manufacturing</v>
      </c>
      <c r="D7" s="411" t="s">
        <v>168</v>
      </c>
      <c r="E7" s="412" t="s">
        <v>72</v>
      </c>
      <c r="F7" s="273">
        <f>IF(E7="High-End",SUMIFS(Inhalation_Exp[24hr_High-End],Inhalation_Exp[OES],$C7,Inhalation_Exp[Worker Type],$D7),SUMIFS(Inhalation_Exp[24hr_Central Tendency],Inhalation_Exp[OES],$C7,Inhalation_Exp[Worker Type],$D7))</f>
        <v>2.5267518122195371E-3</v>
      </c>
      <c r="G7" s="273">
        <f>IF(E7="High-End",SUMIFS(Inhalation_Exp[Int_High-End],Inhalation_Exp[OES],$C7,Inhalation_Exp[Worker Type],$D7),SUMIFS(Inhalation_Exp[Int_Central Tendency],Inhalation_Exp[OES],$C7,Inhalation_Exp[Worker Type],$D7))</f>
        <v>1.8529513289609939E-3</v>
      </c>
      <c r="H7" s="273">
        <f>IF(E7="High-End",SUMIFS(Inhalation_Exp[ADD_High-End],Inhalation_Exp[OES],$C7,Inhalation_Exp[Worker Type],$D7),SUMIFS(Inhalation_Exp[ADD_Central Tendency],Inhalation_Exp[OES],$C7,Inhalation_Exp[Worker Type],$D7))</f>
        <v>1.7306519261777651E-3</v>
      </c>
      <c r="I7" s="327">
        <f>IF($E7="High-End",SUMIFS(Dermal_Exp[High-End AD (mg/kg-day)],Dermal_Exp[Worker Type],$D7,Dermal_Exp[OES],$C7),SUMIFS(Dermal_Exp[Central Tendency AD (mg/kg-day)],Dermal_Exp[Worker Type],$D7,Dermal_Exp[OES],$C7))</f>
        <v>6.8816016568864326E-3</v>
      </c>
      <c r="J7" s="327">
        <f>IF($E7="High-End",SUMIFS(Dermal_Exp[High-End IADD (mg/kg-day)],Dermal_Exp[Worker Type],$D7,Dermal_Exp[OES],$C7),SUMIFS(Dermal_Exp[Central Tendency IADD (mg/kg-day)],Dermal_Exp[Worker Type],$D7,Dermal_Exp[OES],$C7))</f>
        <v>5.0465078817167174E-3</v>
      </c>
      <c r="K7" s="327">
        <f>IF($E7="High-End",SUMIFS(Dermal_Exp[High-End ADD (mg/kg-day)],Dermal_Exp[Worker Type],$D7,Dermal_Exp[OES],$C7),SUMIFS(Dermal_Exp[Central Tendency ADD (mg/kg-day)],Dermal_Exp[Worker Type],$D7,Dermal_Exp[OES],$C7))</f>
        <v>4.713425792387968E-3</v>
      </c>
      <c r="L7" s="327">
        <f t="shared" si="0"/>
        <v>9.4083534691059706E-3</v>
      </c>
      <c r="M7" s="327">
        <f t="shared" si="1"/>
        <v>6.8994592106777115E-3</v>
      </c>
      <c r="N7" s="327">
        <f t="shared" si="2"/>
        <v>6.4440777185657333E-3</v>
      </c>
    </row>
    <row r="8" spans="2:14" s="27" customFormat="1" ht="12.75" customHeight="1" x14ac:dyDescent="0.35">
      <c r="B8" s="28"/>
      <c r="C8" s="410" t="str" cm="1">
        <f t="array" ref="C8">INDEX('List Values'!$B$2:$B$20,(1+ROUNDDOWN((ROW()-ROW($C$5))*1/6,2)))</f>
        <v>Manufacturing</v>
      </c>
      <c r="D8" s="411" t="s">
        <v>168</v>
      </c>
      <c r="E8" s="412" t="s">
        <v>73</v>
      </c>
      <c r="F8" s="273">
        <f>IF(E8="High-End",SUMIFS(Inhalation_Exp[24hr_High-End],Inhalation_Exp[OES],$C8,Inhalation_Exp[Worker Type],$D8),SUMIFS(Inhalation_Exp[24hr_Central Tendency],Inhalation_Exp[OES],$C8,Inhalation_Exp[Worker Type],$D8))</f>
        <v>5.5229547808077317E-4</v>
      </c>
      <c r="G8" s="273">
        <f>IF(E8="High-End",SUMIFS(Inhalation_Exp[Int_High-End],Inhalation_Exp[OES],$C8,Inhalation_Exp[Worker Type],$D8),SUMIFS(Inhalation_Exp[Int_Central Tendency],Inhalation_Exp[OES],$C8,Inhalation_Exp[Worker Type],$D8))</f>
        <v>4.0501668392590036E-4</v>
      </c>
      <c r="H8" s="273">
        <f>IF(E8="High-End",SUMIFS(Inhalation_Exp[ADD_High-End],Inhalation_Exp[OES],$C8,Inhalation_Exp[Worker Type],$D8),SUMIFS(Inhalation_Exp[ADD_Central Tendency],Inhalation_Exp[OES],$C8,Inhalation_Exp[Worker Type],$D8))</f>
        <v>3.7828457402792686E-4</v>
      </c>
      <c r="I8" s="327">
        <f>IF($E8="High-End",SUMIFS(Dermal_Exp[High-End AD (mg/kg-day)],Dermal_Exp[Worker Type],$D8,Dermal_Exp[OES],$C8),SUMIFS(Dermal_Exp[Central Tendency AD (mg/kg-day)],Dermal_Exp[Worker Type],$D8,Dermal_Exp[OES],$C8))</f>
        <v>3.4408008284432163E-3</v>
      </c>
      <c r="J8" s="327">
        <f>IF($E8="High-End",SUMIFS(Dermal_Exp[High-End IADD (mg/kg-day)],Dermal_Exp[Worker Type],$D8,Dermal_Exp[OES],$C8),SUMIFS(Dermal_Exp[Central Tendency IADD (mg/kg-day)],Dermal_Exp[Worker Type],$D8,Dermal_Exp[OES],$C8))</f>
        <v>2.5232539408583587E-3</v>
      </c>
      <c r="K8" s="327">
        <f>IF($E8="High-End",SUMIFS(Dermal_Exp[High-End ADD (mg/kg-day)],Dermal_Exp[Worker Type],$D8,Dermal_Exp[OES],$C8),SUMIFS(Dermal_Exp[Central Tendency ADD (mg/kg-day)],Dermal_Exp[Worker Type],$D8,Dermal_Exp[OES],$C8))</f>
        <v>2.3567128961939836E-3</v>
      </c>
      <c r="L8" s="327">
        <f t="shared" si="0"/>
        <v>3.9930963065239891E-3</v>
      </c>
      <c r="M8" s="327">
        <f t="shared" si="1"/>
        <v>2.9282706247842592E-3</v>
      </c>
      <c r="N8" s="327">
        <f t="shared" si="2"/>
        <v>2.7349974702219103E-3</v>
      </c>
    </row>
    <row r="9" spans="2:14" s="27" customFormat="1" ht="12.75" customHeight="1" x14ac:dyDescent="0.35">
      <c r="B9" s="28"/>
      <c r="C9" s="410" t="str" cm="1">
        <f t="array" ref="C9">INDEX('List Values'!$B$2:$B$20,(1+ROUNDDOWN((ROW()-ROW($C$5))*1/6,2)))</f>
        <v>Manufacturing</v>
      </c>
      <c r="D9" s="411" t="s">
        <v>74</v>
      </c>
      <c r="E9" s="412" t="s">
        <v>72</v>
      </c>
      <c r="F9" s="273">
        <f>IF(E9="High-End",SUMIFS(Inhalation_Exp[24hr_High-End],Inhalation_Exp[OES],$C9,Inhalation_Exp[Worker Type],$D9),SUMIFS(Inhalation_Exp[24hr_Central Tendency],Inhalation_Exp[OES],$C9,Inhalation_Exp[Worker Type],$D9))</f>
        <v>5.0000000000000001E-4</v>
      </c>
      <c r="G9" s="273">
        <f>IF(E9="High-End",SUMIFS(Inhalation_Exp[Int_High-End],Inhalation_Exp[OES],$C9,Inhalation_Exp[Worker Type],$D9),SUMIFS(Inhalation_Exp[Int_Central Tendency],Inhalation_Exp[OES],$C9,Inhalation_Exp[Worker Type],$D9))</f>
        <v>3.6666666666666667E-4</v>
      </c>
      <c r="H9" s="273">
        <f>IF(E9="High-End",SUMIFS(Inhalation_Exp[ADD_High-End],Inhalation_Exp[OES],$C9,Inhalation_Exp[Worker Type],$D9),SUMIFS(Inhalation_Exp[ADD_Central Tendency],Inhalation_Exp[OES],$C9,Inhalation_Exp[Worker Type],$D9))</f>
        <v>3.4246575342465754E-4</v>
      </c>
      <c r="I9" s="327">
        <f>IF($E9="High-End",SUMIFS(Dermal_Exp[High-End AD (mg/kg-day)],Dermal_Exp[Worker Type],$D9,Dermal_Exp[OES],$C9),SUMIFS(Dermal_Exp[Central Tendency AD (mg/kg-day)],Dermal_Exp[Worker Type],$D9,Dermal_Exp[OES],$C9))</f>
        <v>0</v>
      </c>
      <c r="J9" s="327">
        <f>IF($E9="High-End",SUMIFS(Dermal_Exp[High-End IADD (mg/kg-day)],Dermal_Exp[Worker Type],$D9,Dermal_Exp[OES],$C9),SUMIFS(Dermal_Exp[Central Tendency IADD (mg/kg-day)],Dermal_Exp[Worker Type],$D9,Dermal_Exp[OES],$C9))</f>
        <v>0</v>
      </c>
      <c r="K9" s="327">
        <f>IF($E9="High-End",SUMIFS(Dermal_Exp[High-End ADD (mg/kg-day)],Dermal_Exp[Worker Type],$D9,Dermal_Exp[OES],$C9),SUMIFS(Dermal_Exp[Central Tendency ADD (mg/kg-day)],Dermal_Exp[Worker Type],$D9,Dermal_Exp[OES],$C9))</f>
        <v>0</v>
      </c>
      <c r="L9" s="327">
        <f t="shared" si="0"/>
        <v>5.0000000000000001E-4</v>
      </c>
      <c r="M9" s="327">
        <f t="shared" si="1"/>
        <v>3.6666666666666667E-4</v>
      </c>
      <c r="N9" s="327">
        <f t="shared" si="2"/>
        <v>3.4246575342465754E-4</v>
      </c>
    </row>
    <row r="10" spans="2:14" s="27" customFormat="1" ht="12.75" customHeight="1" x14ac:dyDescent="0.35">
      <c r="B10" s="28"/>
      <c r="C10" s="410" t="str" cm="1">
        <f t="array" ref="C10">INDEX('List Values'!$B$2:$B$20,(1+ROUNDDOWN((ROW()-ROW($C$5))*1/6,2)))</f>
        <v>Manufacturing</v>
      </c>
      <c r="D10" s="411" t="s">
        <v>74</v>
      </c>
      <c r="E10" s="412" t="s">
        <v>73</v>
      </c>
      <c r="F10" s="273">
        <f>IF(E10="High-End",SUMIFS(Inhalation_Exp[24hr_High-End],Inhalation_Exp[OES],$C10,Inhalation_Exp[Worker Type],$D10),SUMIFS(Inhalation_Exp[24hr_Central Tendency],Inhalation_Exp[OES],$C10,Inhalation_Exp[Worker Type],$D10))</f>
        <v>5.0000000000000001E-4</v>
      </c>
      <c r="G10" s="273">
        <f>IF(E10="High-End",SUMIFS(Inhalation_Exp[Int_High-End],Inhalation_Exp[OES],$C10,Inhalation_Exp[Worker Type],$D10),SUMIFS(Inhalation_Exp[Int_Central Tendency],Inhalation_Exp[OES],$C10,Inhalation_Exp[Worker Type],$D10))</f>
        <v>3.6666666666666667E-4</v>
      </c>
      <c r="H10" s="273">
        <f>IF(E10="High-End",SUMIFS(Inhalation_Exp[ADD_High-End],Inhalation_Exp[OES],$C10,Inhalation_Exp[Worker Type],$D10),SUMIFS(Inhalation_Exp[ADD_Central Tendency],Inhalation_Exp[OES],$C10,Inhalation_Exp[Worker Type],$D10))</f>
        <v>3.4246575342465754E-4</v>
      </c>
      <c r="I10" s="327">
        <f>IF($E10="High-End",SUMIFS(Dermal_Exp[High-End AD (mg/kg-day)],Dermal_Exp[Worker Type],$D10,Dermal_Exp[OES],$C10),SUMIFS(Dermal_Exp[Central Tendency AD (mg/kg-day)],Dermal_Exp[Worker Type],$D10,Dermal_Exp[OES],$C10))</f>
        <v>0</v>
      </c>
      <c r="J10" s="327">
        <f>IF($E10="High-End",SUMIFS(Dermal_Exp[High-End IADD (mg/kg-day)],Dermal_Exp[Worker Type],$D10,Dermal_Exp[OES],$C10),SUMIFS(Dermal_Exp[Central Tendency IADD (mg/kg-day)],Dermal_Exp[Worker Type],$D10,Dermal_Exp[OES],$C10))</f>
        <v>0</v>
      </c>
      <c r="K10" s="327">
        <f>IF($E10="High-End",SUMIFS(Dermal_Exp[High-End ADD (mg/kg-day)],Dermal_Exp[Worker Type],$D10,Dermal_Exp[OES],$C10),SUMIFS(Dermal_Exp[Central Tendency ADD (mg/kg-day)],Dermal_Exp[Worker Type],$D10,Dermal_Exp[OES],$C10))</f>
        <v>0</v>
      </c>
      <c r="L10" s="327">
        <f t="shared" si="0"/>
        <v>5.0000000000000001E-4</v>
      </c>
      <c r="M10" s="327">
        <f t="shared" si="1"/>
        <v>3.6666666666666667E-4</v>
      </c>
      <c r="N10" s="327">
        <f t="shared" si="2"/>
        <v>3.4246575342465754E-4</v>
      </c>
    </row>
    <row r="11" spans="2:14" s="27" customFormat="1" ht="12.75" customHeight="1" x14ac:dyDescent="0.35">
      <c r="B11" s="28"/>
      <c r="C11" s="410" t="str" cm="1">
        <f t="array" ref="C11">INDEX('List Values'!$B$2:$B$20,(1+ROUNDDOWN((ROW()-ROW($C$5))*1/6,2)))</f>
        <v>Import and Repackaging</v>
      </c>
      <c r="D11" s="411" t="s">
        <v>57</v>
      </c>
      <c r="E11" s="412" t="s">
        <v>72</v>
      </c>
      <c r="F11" s="273">
        <f>IF(E11="High-End",SUMIFS(Inhalation_Exp[24hr_High-End],Inhalation_Exp[OES],$C11,Inhalation_Exp[Worker Type],$D11),SUMIFS(Inhalation_Exp[24hr_Central Tendency],Inhalation_Exp[OES],$C11,Inhalation_Exp[Worker Type],$D11))</f>
        <v>2.2875E-3</v>
      </c>
      <c r="G11" s="273">
        <f>IF(E11="High-End",SUMIFS(Inhalation_Exp[Int_High-End],Inhalation_Exp[OES],$C11,Inhalation_Exp[Worker Type],$D11),SUMIFS(Inhalation_Exp[Int_Central Tendency],Inhalation_Exp[OES],$C11,Inhalation_Exp[Worker Type],$D11))</f>
        <v>1.6775E-3</v>
      </c>
      <c r="H11" s="273">
        <f>IF(E11="High-End",SUMIFS(Inhalation_Exp[ADD_High-End],Inhalation_Exp[OES],$C11,Inhalation_Exp[Worker Type],$D11),SUMIFS(Inhalation_Exp[ADD_Central Tendency],Inhalation_Exp[OES],$C11,Inhalation_Exp[Worker Type],$D11))</f>
        <v>1.5667808219178082E-3</v>
      </c>
      <c r="I11" s="327">
        <f>IF($E11="High-End",SUMIFS(Dermal_Exp[High-End AD (mg/kg-day)],Dermal_Exp[Worker Type],$D11,Dermal_Exp[OES],$C11),SUMIFS(Dermal_Exp[Central Tendency AD (mg/kg-day)],Dermal_Exp[Worker Type],$D11,Dermal_Exp[OES],$C11))</f>
        <v>7.4899999999999993E-3</v>
      </c>
      <c r="J11" s="327">
        <f>IF($E11="High-End",SUMIFS(Dermal_Exp[High-End IADD (mg/kg-day)],Dermal_Exp[Worker Type],$D11,Dermal_Exp[OES],$C11),SUMIFS(Dermal_Exp[Central Tendency IADD (mg/kg-day)],Dermal_Exp[Worker Type],$D11,Dermal_Exp[OES],$C11))</f>
        <v>5.4926666666666657E-3</v>
      </c>
      <c r="K11" s="327">
        <f>IF($E11="High-End",SUMIFS(Dermal_Exp[High-End ADD (mg/kg-day)],Dermal_Exp[Worker Type],$D11,Dermal_Exp[OES],$C11),SUMIFS(Dermal_Exp[Central Tendency ADD (mg/kg-day)],Dermal_Exp[Worker Type],$D11,Dermal_Exp[OES],$C11))</f>
        <v>5.1301369863013691E-3</v>
      </c>
      <c r="L11" s="327">
        <f t="shared" si="0"/>
        <v>9.7774999999999997E-3</v>
      </c>
      <c r="M11" s="327">
        <f t="shared" si="1"/>
        <v>7.1701666666666658E-3</v>
      </c>
      <c r="N11" s="327">
        <f t="shared" si="2"/>
        <v>6.6969178082191775E-3</v>
      </c>
    </row>
    <row r="12" spans="2:14" s="27" customFormat="1" ht="12.75" customHeight="1" x14ac:dyDescent="0.35">
      <c r="B12" s="28"/>
      <c r="C12" s="410" t="str" cm="1">
        <f t="array" ref="C12">INDEX('List Values'!$B$2:$B$20,(1+ROUNDDOWN((ROW()-ROW($C$5))*1/6,2)))</f>
        <v>Import and Repackaging</v>
      </c>
      <c r="D12" s="411" t="s">
        <v>57</v>
      </c>
      <c r="E12" s="412" t="s">
        <v>73</v>
      </c>
      <c r="F12" s="273">
        <f>IF(E12="High-End",SUMIFS(Inhalation_Exp[24hr_High-End],Inhalation_Exp[OES],$C12,Inhalation_Exp[Worker Type],$D12),SUMIFS(Inhalation_Exp[24hr_Central Tendency],Inhalation_Exp[OES],$C12,Inhalation_Exp[Worker Type],$D12))</f>
        <v>5.0000000000000001E-4</v>
      </c>
      <c r="G12" s="273">
        <f>IF(E12="High-End",SUMIFS(Inhalation_Exp[Int_High-End],Inhalation_Exp[OES],$C12,Inhalation_Exp[Worker Type],$D12),SUMIFS(Inhalation_Exp[Int_Central Tendency],Inhalation_Exp[OES],$C12,Inhalation_Exp[Worker Type],$D12))</f>
        <v>3.6666666666666667E-4</v>
      </c>
      <c r="H12" s="273">
        <f>IF(E12="High-End",SUMIFS(Inhalation_Exp[ADD_High-End],Inhalation_Exp[OES],$C12,Inhalation_Exp[Worker Type],$D12),SUMIFS(Inhalation_Exp[ADD_Central Tendency],Inhalation_Exp[OES],$C12,Inhalation_Exp[Worker Type],$D12))</f>
        <v>2.8493150684931511E-4</v>
      </c>
      <c r="I12" s="327">
        <f>IF($E12="High-End",SUMIFS(Dermal_Exp[High-End AD (mg/kg-day)],Dermal_Exp[Worker Type],$D12,Dermal_Exp[OES],$C12),SUMIFS(Dermal_Exp[Central Tendency AD (mg/kg-day)],Dermal_Exp[Worker Type],$D12,Dermal_Exp[OES],$C12))</f>
        <v>3.7449999999999996E-3</v>
      </c>
      <c r="J12" s="327">
        <f>IF($E12="High-End",SUMIFS(Dermal_Exp[High-End IADD (mg/kg-day)],Dermal_Exp[Worker Type],$D12,Dermal_Exp[OES],$C12),SUMIFS(Dermal_Exp[Central Tendency IADD (mg/kg-day)],Dermal_Exp[Worker Type],$D12,Dermal_Exp[OES],$C12))</f>
        <v>2.7463333333333328E-3</v>
      </c>
      <c r="K12" s="327">
        <f>IF($E12="High-End",SUMIFS(Dermal_Exp[High-End ADD (mg/kg-day)],Dermal_Exp[Worker Type],$D12,Dermal_Exp[OES],$C12),SUMIFS(Dermal_Exp[Central Tendency ADD (mg/kg-day)],Dermal_Exp[Worker Type],$D12,Dermal_Exp[OES],$C12))</f>
        <v>2.1341369863013696E-3</v>
      </c>
      <c r="L12" s="327">
        <f t="shared" si="0"/>
        <v>4.2449999999999996E-3</v>
      </c>
      <c r="M12" s="327">
        <f t="shared" si="1"/>
        <v>3.1129999999999994E-3</v>
      </c>
      <c r="N12" s="327">
        <f t="shared" si="2"/>
        <v>2.4190684931506847E-3</v>
      </c>
    </row>
    <row r="13" spans="2:14" s="27" customFormat="1" ht="12.75" customHeight="1" x14ac:dyDescent="0.35">
      <c r="B13" s="28"/>
      <c r="C13" s="410" t="str" cm="1">
        <f t="array" ref="C13">INDEX('List Values'!$B$2:$B$20,(1+ROUNDDOWN((ROW()-ROW($C$5))*1/6,2)))</f>
        <v>Import and Repackaging</v>
      </c>
      <c r="D13" s="411" t="s">
        <v>168</v>
      </c>
      <c r="E13" s="412" t="s">
        <v>72</v>
      </c>
      <c r="F13" s="273">
        <f>IF(E13="High-End",SUMIFS(Inhalation_Exp[24hr_High-End],Inhalation_Exp[OES],$C13,Inhalation_Exp[Worker Type],$D13),SUMIFS(Inhalation_Exp[24hr_Central Tendency],Inhalation_Exp[OES],$C13,Inhalation_Exp[Worker Type],$D13))</f>
        <v>2.5267518122195371E-3</v>
      </c>
      <c r="G13" s="273">
        <f>IF(E13="High-End",SUMIFS(Inhalation_Exp[Int_High-End],Inhalation_Exp[OES],$C13,Inhalation_Exp[Worker Type],$D13),SUMIFS(Inhalation_Exp[Int_Central Tendency],Inhalation_Exp[OES],$C13,Inhalation_Exp[Worker Type],$D13))</f>
        <v>1.8529513289609939E-3</v>
      </c>
      <c r="H13" s="273">
        <f>IF(E13="High-End",SUMIFS(Inhalation_Exp[ADD_High-End],Inhalation_Exp[OES],$C13,Inhalation_Exp[Worker Type],$D13),SUMIFS(Inhalation_Exp[ADD_Central Tendency],Inhalation_Exp[OES],$C13,Inhalation_Exp[Worker Type],$D13))</f>
        <v>1.7306519261777651E-3</v>
      </c>
      <c r="I13" s="327">
        <f>IF($E13="High-End",SUMIFS(Dermal_Exp[High-End AD (mg/kg-day)],Dermal_Exp[Worker Type],$D13,Dermal_Exp[OES],$C13),SUMIFS(Dermal_Exp[Central Tendency AD (mg/kg-day)],Dermal_Exp[Worker Type],$D13,Dermal_Exp[OES],$C13))</f>
        <v>6.8816016568864326E-3</v>
      </c>
      <c r="J13" s="327">
        <f>IF($E13="High-End",SUMIFS(Dermal_Exp[High-End IADD (mg/kg-day)],Dermal_Exp[Worker Type],$D13,Dermal_Exp[OES],$C13),SUMIFS(Dermal_Exp[Central Tendency IADD (mg/kg-day)],Dermal_Exp[Worker Type],$D13,Dermal_Exp[OES],$C13))</f>
        <v>5.0465078817167174E-3</v>
      </c>
      <c r="K13" s="327">
        <f>IF($E13="High-End",SUMIFS(Dermal_Exp[High-End ADD (mg/kg-day)],Dermal_Exp[Worker Type],$D13,Dermal_Exp[OES],$C13),SUMIFS(Dermal_Exp[Central Tendency ADD (mg/kg-day)],Dermal_Exp[Worker Type],$D13,Dermal_Exp[OES],$C13))</f>
        <v>4.713425792387968E-3</v>
      </c>
      <c r="L13" s="327">
        <f t="shared" si="0"/>
        <v>9.4083534691059706E-3</v>
      </c>
      <c r="M13" s="327">
        <f t="shared" si="1"/>
        <v>6.8994592106777115E-3</v>
      </c>
      <c r="N13" s="327">
        <f t="shared" si="2"/>
        <v>6.4440777185657333E-3</v>
      </c>
    </row>
    <row r="14" spans="2:14" s="27" customFormat="1" ht="12.75" customHeight="1" x14ac:dyDescent="0.35">
      <c r="B14" s="28"/>
      <c r="C14" s="410" t="str" cm="1">
        <f t="array" ref="C14">INDEX('List Values'!$B$2:$B$20,(1+ROUNDDOWN((ROW()-ROW($C$5))*1/6,2)))</f>
        <v>Import and Repackaging</v>
      </c>
      <c r="D14" s="411" t="s">
        <v>168</v>
      </c>
      <c r="E14" s="412" t="s">
        <v>73</v>
      </c>
      <c r="F14" s="273">
        <f>IF(E14="High-End",SUMIFS(Inhalation_Exp[24hr_High-End],Inhalation_Exp[OES],$C14,Inhalation_Exp[Worker Type],$D14),SUMIFS(Inhalation_Exp[24hr_Central Tendency],Inhalation_Exp[OES],$C14,Inhalation_Exp[Worker Type],$D14))</f>
        <v>5.5229547808077317E-4</v>
      </c>
      <c r="G14" s="273">
        <f>IF(E14="High-End",SUMIFS(Inhalation_Exp[Int_High-End],Inhalation_Exp[OES],$C14,Inhalation_Exp[Worker Type],$D14),SUMIFS(Inhalation_Exp[Int_Central Tendency],Inhalation_Exp[OES],$C14,Inhalation_Exp[Worker Type],$D14))</f>
        <v>4.0501668392590036E-4</v>
      </c>
      <c r="H14" s="273">
        <f>IF(E14="High-End",SUMIFS(Inhalation_Exp[ADD_High-End],Inhalation_Exp[OES],$C14,Inhalation_Exp[Worker Type],$D14),SUMIFS(Inhalation_Exp[ADD_Central Tendency],Inhalation_Exp[OES],$C14,Inhalation_Exp[Worker Type],$D14))</f>
        <v>3.1473276559123512E-4</v>
      </c>
      <c r="I14" s="327">
        <f>IF($E14="High-End",SUMIFS(Dermal_Exp[High-End AD (mg/kg-day)],Dermal_Exp[Worker Type],$D14,Dermal_Exp[OES],$C14),SUMIFS(Dermal_Exp[Central Tendency AD (mg/kg-day)],Dermal_Exp[Worker Type],$D14,Dermal_Exp[OES],$C14))</f>
        <v>3.4408008284432163E-3</v>
      </c>
      <c r="J14" s="327">
        <f>IF($E14="High-End",SUMIFS(Dermal_Exp[High-End IADD (mg/kg-day)],Dermal_Exp[Worker Type],$D14,Dermal_Exp[OES],$C14),SUMIFS(Dermal_Exp[Central Tendency IADD (mg/kg-day)],Dermal_Exp[Worker Type],$D14,Dermal_Exp[OES],$C14))</f>
        <v>2.5232539408583587E-3</v>
      </c>
      <c r="K14" s="327">
        <f>IF($E14="High-End",SUMIFS(Dermal_Exp[High-End ADD (mg/kg-day)],Dermal_Exp[Worker Type],$D14,Dermal_Exp[OES],$C14),SUMIFS(Dermal_Exp[Central Tendency ADD (mg/kg-day)],Dermal_Exp[Worker Type],$D14,Dermal_Exp[OES],$C14))</f>
        <v>1.9607851296333943E-3</v>
      </c>
      <c r="L14" s="327">
        <f t="shared" si="0"/>
        <v>3.9930963065239891E-3</v>
      </c>
      <c r="M14" s="327">
        <f t="shared" si="1"/>
        <v>2.9282706247842592E-3</v>
      </c>
      <c r="N14" s="327">
        <f t="shared" si="2"/>
        <v>2.2755178952246296E-3</v>
      </c>
    </row>
    <row r="15" spans="2:14" s="27" customFormat="1" ht="12.75" customHeight="1" x14ac:dyDescent="0.35">
      <c r="B15" s="28"/>
      <c r="C15" s="410" t="str" cm="1">
        <f t="array" ref="C15">INDEX('List Values'!$B$2:$B$20,(1+ROUNDDOWN((ROW()-ROW($C$5))*1/6,2)))</f>
        <v>Import and Repackaging</v>
      </c>
      <c r="D15" s="411" t="s">
        <v>74</v>
      </c>
      <c r="E15" s="412" t="s">
        <v>72</v>
      </c>
      <c r="F15" s="273">
        <f>IF(E15="High-End",SUMIFS(Inhalation_Exp[24hr_High-End],Inhalation_Exp[OES],$C15,Inhalation_Exp[Worker Type],$D15),SUMIFS(Inhalation_Exp[24hr_Central Tendency],Inhalation_Exp[OES],$C15,Inhalation_Exp[Worker Type],$D15))</f>
        <v>5.0000000000000001E-4</v>
      </c>
      <c r="G15" s="273">
        <f>IF(E15="High-End",SUMIFS(Inhalation_Exp[Int_High-End],Inhalation_Exp[OES],$C15,Inhalation_Exp[Worker Type],$D15),SUMIFS(Inhalation_Exp[Int_Central Tendency],Inhalation_Exp[OES],$C15,Inhalation_Exp[Worker Type],$D15))</f>
        <v>3.6666666666666667E-4</v>
      </c>
      <c r="H15" s="273">
        <f>IF(E15="High-End",SUMIFS(Inhalation_Exp[ADD_High-End],Inhalation_Exp[OES],$C15,Inhalation_Exp[Worker Type],$D15),SUMIFS(Inhalation_Exp[ADD_Central Tendency],Inhalation_Exp[OES],$C15,Inhalation_Exp[Worker Type],$D15))</f>
        <v>3.4246575342465754E-4</v>
      </c>
      <c r="I15" s="327">
        <f>IF($E15="High-End",SUMIFS(Dermal_Exp[High-End AD (mg/kg-day)],Dermal_Exp[Worker Type],$D15,Dermal_Exp[OES],$C15),SUMIFS(Dermal_Exp[Central Tendency AD (mg/kg-day)],Dermal_Exp[Worker Type],$D15,Dermal_Exp[OES],$C15))</f>
        <v>0</v>
      </c>
      <c r="J15" s="327">
        <f>IF($E15="High-End",SUMIFS(Dermal_Exp[High-End IADD (mg/kg-day)],Dermal_Exp[Worker Type],$D15,Dermal_Exp[OES],$C15),SUMIFS(Dermal_Exp[Central Tendency IADD (mg/kg-day)],Dermal_Exp[Worker Type],$D15,Dermal_Exp[OES],$C15))</f>
        <v>0</v>
      </c>
      <c r="K15" s="327">
        <f>IF($E15="High-End",SUMIFS(Dermal_Exp[High-End ADD (mg/kg-day)],Dermal_Exp[Worker Type],$D15,Dermal_Exp[OES],$C15),SUMIFS(Dermal_Exp[Central Tendency ADD (mg/kg-day)],Dermal_Exp[Worker Type],$D15,Dermal_Exp[OES],$C15))</f>
        <v>0</v>
      </c>
      <c r="L15" s="327">
        <f t="shared" si="0"/>
        <v>5.0000000000000001E-4</v>
      </c>
      <c r="M15" s="327">
        <f t="shared" si="1"/>
        <v>3.6666666666666667E-4</v>
      </c>
      <c r="N15" s="327">
        <f t="shared" si="2"/>
        <v>3.4246575342465754E-4</v>
      </c>
    </row>
    <row r="16" spans="2:14" s="27" customFormat="1" ht="12.75" customHeight="1" x14ac:dyDescent="0.35">
      <c r="B16" s="28"/>
      <c r="C16" s="410" t="str" cm="1">
        <f t="array" ref="C16">INDEX('List Values'!$B$2:$B$20,(1+ROUNDDOWN((ROW()-ROW($C$5))*1/6,2)))</f>
        <v>Import and Repackaging</v>
      </c>
      <c r="D16" s="411" t="s">
        <v>74</v>
      </c>
      <c r="E16" s="412" t="s">
        <v>73</v>
      </c>
      <c r="F16" s="273">
        <f>IF(E16="High-End",SUMIFS(Inhalation_Exp[24hr_High-End],Inhalation_Exp[OES],$C16,Inhalation_Exp[Worker Type],$D16),SUMIFS(Inhalation_Exp[24hr_Central Tendency],Inhalation_Exp[OES],$C16,Inhalation_Exp[Worker Type],$D16))</f>
        <v>5.0000000000000001E-4</v>
      </c>
      <c r="G16" s="273">
        <f>IF(E16="High-End",SUMIFS(Inhalation_Exp[Int_High-End],Inhalation_Exp[OES],$C16,Inhalation_Exp[Worker Type],$D16),SUMIFS(Inhalation_Exp[Int_Central Tendency],Inhalation_Exp[OES],$C16,Inhalation_Exp[Worker Type],$D16))</f>
        <v>3.6666666666666667E-4</v>
      </c>
      <c r="H16" s="273">
        <f>IF(E16="High-End",SUMIFS(Inhalation_Exp[ADD_High-End],Inhalation_Exp[OES],$C16,Inhalation_Exp[Worker Type],$D16),SUMIFS(Inhalation_Exp[ADD_Central Tendency],Inhalation_Exp[OES],$C16,Inhalation_Exp[Worker Type],$D16))</f>
        <v>2.8493150684931511E-4</v>
      </c>
      <c r="I16" s="327">
        <f>IF($E16="High-End",SUMIFS(Dermal_Exp[High-End AD (mg/kg-day)],Dermal_Exp[Worker Type],$D16,Dermal_Exp[OES],$C16),SUMIFS(Dermal_Exp[Central Tendency AD (mg/kg-day)],Dermal_Exp[Worker Type],$D16,Dermal_Exp[OES],$C16))</f>
        <v>0</v>
      </c>
      <c r="J16" s="327">
        <f>IF($E16="High-End",SUMIFS(Dermal_Exp[High-End IADD (mg/kg-day)],Dermal_Exp[Worker Type],$D16,Dermal_Exp[OES],$C16),SUMIFS(Dermal_Exp[Central Tendency IADD (mg/kg-day)],Dermal_Exp[Worker Type],$D16,Dermal_Exp[OES],$C16))</f>
        <v>0</v>
      </c>
      <c r="K16" s="327">
        <f>IF($E16="High-End",SUMIFS(Dermal_Exp[High-End ADD (mg/kg-day)],Dermal_Exp[Worker Type],$D16,Dermal_Exp[OES],$C16),SUMIFS(Dermal_Exp[Central Tendency ADD (mg/kg-day)],Dermal_Exp[Worker Type],$D16,Dermal_Exp[OES],$C16))</f>
        <v>0</v>
      </c>
      <c r="L16" s="327">
        <f t="shared" si="0"/>
        <v>5.0000000000000001E-4</v>
      </c>
      <c r="M16" s="327">
        <f t="shared" si="1"/>
        <v>3.6666666666666667E-4</v>
      </c>
      <c r="N16" s="327">
        <f t="shared" si="2"/>
        <v>2.8493150684931511E-4</v>
      </c>
    </row>
    <row r="17" spans="2:14" s="27" customFormat="1" ht="12.75" customHeight="1" x14ac:dyDescent="0.35">
      <c r="B17" s="28"/>
      <c r="C17" s="410" t="str" cm="1">
        <f t="array" ref="C17">INDEX('List Values'!$B$2:$B$20,(1+ROUNDDOWN((ROW()-ROW($C$5))*1/6,2)))</f>
        <v>Incorporation into Adhesives and Sealants</v>
      </c>
      <c r="D17" s="411" t="s">
        <v>57</v>
      </c>
      <c r="E17" s="412" t="s">
        <v>72</v>
      </c>
      <c r="F17" s="273">
        <f>IF(E17="High-End",SUMIFS(Inhalation_Exp[24hr_High-End],Inhalation_Exp[OES],$C17,Inhalation_Exp[Worker Type],$D17),SUMIFS(Inhalation_Exp[24hr_Central Tendency],Inhalation_Exp[OES],$C17,Inhalation_Exp[Worker Type],$D17))</f>
        <v>2.2875E-3</v>
      </c>
      <c r="G17" s="273">
        <f>IF(E17="High-End",SUMIFS(Inhalation_Exp[Int_High-End],Inhalation_Exp[OES],$C17,Inhalation_Exp[Worker Type],$D17),SUMIFS(Inhalation_Exp[Int_Central Tendency],Inhalation_Exp[OES],$C17,Inhalation_Exp[Worker Type],$D17))</f>
        <v>1.6775E-3</v>
      </c>
      <c r="H17" s="273">
        <f>IF(E17="High-End",SUMIFS(Inhalation_Exp[ADD_High-End],Inhalation_Exp[OES],$C17,Inhalation_Exp[Worker Type],$D17),SUMIFS(Inhalation_Exp[ADD_Central Tendency],Inhalation_Exp[OES],$C17,Inhalation_Exp[Worker Type],$D17))</f>
        <v>1.5667808219178082E-3</v>
      </c>
      <c r="I17" s="327">
        <f>IF($E17="High-End",SUMIFS(Dermal_Exp[High-End AD (mg/kg-day)],Dermal_Exp[Worker Type],$D17,Dermal_Exp[OES],$C17),SUMIFS(Dermal_Exp[Central Tendency AD (mg/kg-day)],Dermal_Exp[Worker Type],$D17,Dermal_Exp[OES],$C17))</f>
        <v>7.4899999999999993E-3</v>
      </c>
      <c r="J17" s="327">
        <f>IF($E17="High-End",SUMIFS(Dermal_Exp[High-End IADD (mg/kg-day)],Dermal_Exp[Worker Type],$D17,Dermal_Exp[OES],$C17),SUMIFS(Dermal_Exp[Central Tendency IADD (mg/kg-day)],Dermal_Exp[Worker Type],$D17,Dermal_Exp[OES],$C17))</f>
        <v>5.4926666666666657E-3</v>
      </c>
      <c r="K17" s="327">
        <f>IF($E17="High-End",SUMIFS(Dermal_Exp[High-End ADD (mg/kg-day)],Dermal_Exp[Worker Type],$D17,Dermal_Exp[OES],$C17),SUMIFS(Dermal_Exp[Central Tendency ADD (mg/kg-day)],Dermal_Exp[Worker Type],$D17,Dermal_Exp[OES],$C17))</f>
        <v>5.1301369863013691E-3</v>
      </c>
      <c r="L17" s="327">
        <f t="shared" si="0"/>
        <v>9.7774999999999997E-3</v>
      </c>
      <c r="M17" s="327">
        <f t="shared" si="1"/>
        <v>7.1701666666666658E-3</v>
      </c>
      <c r="N17" s="327">
        <f t="shared" si="2"/>
        <v>6.6969178082191775E-3</v>
      </c>
    </row>
    <row r="18" spans="2:14" s="27" customFormat="1" ht="12.75" customHeight="1" x14ac:dyDescent="0.35">
      <c r="B18" s="28"/>
      <c r="C18" s="410" t="str" cm="1">
        <f t="array" ref="C18">INDEX('List Values'!$B$2:$B$20,(1+ROUNDDOWN((ROW()-ROW($C$5))*1/6,2)))</f>
        <v>Incorporation into Adhesives and Sealants</v>
      </c>
      <c r="D18" s="411" t="s">
        <v>57</v>
      </c>
      <c r="E18" s="412" t="s">
        <v>73</v>
      </c>
      <c r="F18" s="273">
        <f>IF(E18="High-End",SUMIFS(Inhalation_Exp[24hr_High-End],Inhalation_Exp[OES],$C18,Inhalation_Exp[Worker Type],$D18),SUMIFS(Inhalation_Exp[24hr_Central Tendency],Inhalation_Exp[OES],$C18,Inhalation_Exp[Worker Type],$D18))</f>
        <v>5.0000000000000001E-4</v>
      </c>
      <c r="G18" s="273">
        <f>IF(E18="High-End",SUMIFS(Inhalation_Exp[Int_High-End],Inhalation_Exp[OES],$C18,Inhalation_Exp[Worker Type],$D18),SUMIFS(Inhalation_Exp[Int_Central Tendency],Inhalation_Exp[OES],$C18,Inhalation_Exp[Worker Type],$D18))</f>
        <v>3.6666666666666667E-4</v>
      </c>
      <c r="H18" s="273">
        <f>IF(E18="High-End",SUMIFS(Inhalation_Exp[ADD_High-End],Inhalation_Exp[OES],$C18,Inhalation_Exp[Worker Type],$D18),SUMIFS(Inhalation_Exp[ADD_Central Tendency],Inhalation_Exp[OES],$C18,Inhalation_Exp[Worker Type],$D18))</f>
        <v>3.4246575342465754E-4</v>
      </c>
      <c r="I18" s="327">
        <f>IF($E18="High-End",SUMIFS(Dermal_Exp[High-End AD (mg/kg-day)],Dermal_Exp[Worker Type],$D18,Dermal_Exp[OES],$C18),SUMIFS(Dermal_Exp[Central Tendency AD (mg/kg-day)],Dermal_Exp[Worker Type],$D18,Dermal_Exp[OES],$C18))</f>
        <v>3.7449999999999996E-3</v>
      </c>
      <c r="J18" s="327">
        <f>IF($E18="High-End",SUMIFS(Dermal_Exp[High-End IADD (mg/kg-day)],Dermal_Exp[Worker Type],$D18,Dermal_Exp[OES],$C18),SUMIFS(Dermal_Exp[Central Tendency IADD (mg/kg-day)],Dermal_Exp[Worker Type],$D18,Dermal_Exp[OES],$C18))</f>
        <v>2.7463333333333328E-3</v>
      </c>
      <c r="K18" s="327">
        <f>IF($E18="High-End",SUMIFS(Dermal_Exp[High-End ADD (mg/kg-day)],Dermal_Exp[Worker Type],$D18,Dermal_Exp[OES],$C18),SUMIFS(Dermal_Exp[Central Tendency ADD (mg/kg-day)],Dermal_Exp[Worker Type],$D18,Dermal_Exp[OES],$C18))</f>
        <v>2.5650684931506846E-3</v>
      </c>
      <c r="L18" s="327">
        <f t="shared" si="0"/>
        <v>4.2449999999999996E-3</v>
      </c>
      <c r="M18" s="327">
        <f t="shared" si="1"/>
        <v>3.1129999999999994E-3</v>
      </c>
      <c r="N18" s="327">
        <f t="shared" si="2"/>
        <v>2.907534246575342E-3</v>
      </c>
    </row>
    <row r="19" spans="2:14" s="27" customFormat="1" ht="12.75" customHeight="1" x14ac:dyDescent="0.35">
      <c r="B19" s="28"/>
      <c r="C19" s="410" t="str" cm="1">
        <f t="array" ref="C19">INDEX('List Values'!$B$2:$B$20,(1+ROUNDDOWN((ROW()-ROW($C$5))*1/6,2)))</f>
        <v>Incorporation into Adhesives and Sealants</v>
      </c>
      <c r="D19" s="411" t="s">
        <v>168</v>
      </c>
      <c r="E19" s="412" t="s">
        <v>72</v>
      </c>
      <c r="F19" s="273">
        <f>IF(E19="High-End",SUMIFS(Inhalation_Exp[24hr_High-End],Inhalation_Exp[OES],$C19,Inhalation_Exp[Worker Type],$D19),SUMIFS(Inhalation_Exp[24hr_Central Tendency],Inhalation_Exp[OES],$C19,Inhalation_Exp[Worker Type],$D19))</f>
        <v>2.5267518122195371E-3</v>
      </c>
      <c r="G19" s="273">
        <f>IF(E19="High-End",SUMIFS(Inhalation_Exp[Int_High-End],Inhalation_Exp[OES],$C19,Inhalation_Exp[Worker Type],$D19),SUMIFS(Inhalation_Exp[Int_Central Tendency],Inhalation_Exp[OES],$C19,Inhalation_Exp[Worker Type],$D19))</f>
        <v>1.8529513289609939E-3</v>
      </c>
      <c r="H19" s="273">
        <f>IF(E19="High-End",SUMIFS(Inhalation_Exp[ADD_High-End],Inhalation_Exp[OES],$C19,Inhalation_Exp[Worker Type],$D19),SUMIFS(Inhalation_Exp[ADD_Central Tendency],Inhalation_Exp[OES],$C19,Inhalation_Exp[Worker Type],$D19))</f>
        <v>1.7306519261777651E-3</v>
      </c>
      <c r="I19" s="327">
        <f>IF($E19="High-End",SUMIFS(Dermal_Exp[High-End AD (mg/kg-day)],Dermal_Exp[Worker Type],$D19,Dermal_Exp[OES],$C19),SUMIFS(Dermal_Exp[Central Tendency AD (mg/kg-day)],Dermal_Exp[Worker Type],$D19,Dermal_Exp[OES],$C19))</f>
        <v>6.8816016568864326E-3</v>
      </c>
      <c r="J19" s="327">
        <f>IF($E19="High-End",SUMIFS(Dermal_Exp[High-End IADD (mg/kg-day)],Dermal_Exp[Worker Type],$D19,Dermal_Exp[OES],$C19),SUMIFS(Dermal_Exp[Central Tendency IADD (mg/kg-day)],Dermal_Exp[Worker Type],$D19,Dermal_Exp[OES],$C19))</f>
        <v>5.0465078817167174E-3</v>
      </c>
      <c r="K19" s="327">
        <f>IF($E19="High-End",SUMIFS(Dermal_Exp[High-End ADD (mg/kg-day)],Dermal_Exp[Worker Type],$D19,Dermal_Exp[OES],$C19),SUMIFS(Dermal_Exp[Central Tendency ADD (mg/kg-day)],Dermal_Exp[Worker Type],$D19,Dermal_Exp[OES],$C19))</f>
        <v>4.713425792387968E-3</v>
      </c>
      <c r="L19" s="327">
        <f t="shared" si="0"/>
        <v>9.4083534691059706E-3</v>
      </c>
      <c r="M19" s="327">
        <f t="shared" si="1"/>
        <v>6.8994592106777115E-3</v>
      </c>
      <c r="N19" s="327">
        <f t="shared" si="2"/>
        <v>6.4440777185657333E-3</v>
      </c>
    </row>
    <row r="20" spans="2:14" s="27" customFormat="1" ht="12.75" customHeight="1" x14ac:dyDescent="0.35">
      <c r="B20" s="28"/>
      <c r="C20" s="410" t="str" cm="1">
        <f t="array" ref="C20">INDEX('List Values'!$B$2:$B$20,(1+ROUNDDOWN((ROW()-ROW($C$5))*1/6,2)))</f>
        <v>Incorporation into Adhesives and Sealants</v>
      </c>
      <c r="D20" s="411" t="s">
        <v>168</v>
      </c>
      <c r="E20" s="412" t="s">
        <v>73</v>
      </c>
      <c r="F20" s="273">
        <f>IF(E20="High-End",SUMIFS(Inhalation_Exp[24hr_High-End],Inhalation_Exp[OES],$C20,Inhalation_Exp[Worker Type],$D20),SUMIFS(Inhalation_Exp[24hr_Central Tendency],Inhalation_Exp[OES],$C20,Inhalation_Exp[Worker Type],$D20))</f>
        <v>5.5229547808077317E-4</v>
      </c>
      <c r="G20" s="273">
        <f>IF(E20="High-End",SUMIFS(Inhalation_Exp[Int_High-End],Inhalation_Exp[OES],$C20,Inhalation_Exp[Worker Type],$D20),SUMIFS(Inhalation_Exp[Int_Central Tendency],Inhalation_Exp[OES],$C20,Inhalation_Exp[Worker Type],$D20))</f>
        <v>4.0501668392590036E-4</v>
      </c>
      <c r="H20" s="273">
        <f>IF(E20="High-End",SUMIFS(Inhalation_Exp[ADD_High-End],Inhalation_Exp[OES],$C20,Inhalation_Exp[Worker Type],$D20),SUMIFS(Inhalation_Exp[ADD_Central Tendency],Inhalation_Exp[OES],$C20,Inhalation_Exp[Worker Type],$D20))</f>
        <v>3.7828457402792686E-4</v>
      </c>
      <c r="I20" s="327">
        <f>IF($E20="High-End",SUMIFS(Dermal_Exp[High-End AD (mg/kg-day)],Dermal_Exp[Worker Type],$D20,Dermal_Exp[OES],$C20),SUMIFS(Dermal_Exp[Central Tendency AD (mg/kg-day)],Dermal_Exp[Worker Type],$D20,Dermal_Exp[OES],$C20))</f>
        <v>3.4408008284432163E-3</v>
      </c>
      <c r="J20" s="327">
        <f>IF($E20="High-End",SUMIFS(Dermal_Exp[High-End IADD (mg/kg-day)],Dermal_Exp[Worker Type],$D20,Dermal_Exp[OES],$C20),SUMIFS(Dermal_Exp[Central Tendency IADD (mg/kg-day)],Dermal_Exp[Worker Type],$D20,Dermal_Exp[OES],$C20))</f>
        <v>2.5232539408583587E-3</v>
      </c>
      <c r="K20" s="327">
        <f>IF($E20="High-End",SUMIFS(Dermal_Exp[High-End ADD (mg/kg-day)],Dermal_Exp[Worker Type],$D20,Dermal_Exp[OES],$C20),SUMIFS(Dermal_Exp[Central Tendency ADD (mg/kg-day)],Dermal_Exp[Worker Type],$D20,Dermal_Exp[OES],$C20))</f>
        <v>2.3567128961939836E-3</v>
      </c>
      <c r="L20" s="327">
        <f t="shared" si="0"/>
        <v>3.9930963065239891E-3</v>
      </c>
      <c r="M20" s="327">
        <f t="shared" si="1"/>
        <v>2.9282706247842592E-3</v>
      </c>
      <c r="N20" s="327">
        <f t="shared" si="2"/>
        <v>2.7349974702219103E-3</v>
      </c>
    </row>
    <row r="21" spans="2:14" s="27" customFormat="1" ht="12.75" customHeight="1" x14ac:dyDescent="0.35">
      <c r="B21" s="28"/>
      <c r="C21" s="410" t="str" cm="1">
        <f t="array" ref="C21">INDEX('List Values'!$B$2:$B$20,(1+ROUNDDOWN((ROW()-ROW($C$5))*1/6,2)))</f>
        <v>Incorporation into Adhesives and Sealants</v>
      </c>
      <c r="D21" s="411" t="s">
        <v>74</v>
      </c>
      <c r="E21" s="412" t="s">
        <v>72</v>
      </c>
      <c r="F21" s="273">
        <f>IF(E21="High-End",SUMIFS(Inhalation_Exp[24hr_High-End],Inhalation_Exp[OES],$C21,Inhalation_Exp[Worker Type],$D21),SUMIFS(Inhalation_Exp[24hr_Central Tendency],Inhalation_Exp[OES],$C21,Inhalation_Exp[Worker Type],$D21))</f>
        <v>5.0000000000000001E-4</v>
      </c>
      <c r="G21" s="273">
        <f>IF(E21="High-End",SUMIFS(Inhalation_Exp[Int_High-End],Inhalation_Exp[OES],$C21,Inhalation_Exp[Worker Type],$D21),SUMIFS(Inhalation_Exp[Int_Central Tendency],Inhalation_Exp[OES],$C21,Inhalation_Exp[Worker Type],$D21))</f>
        <v>3.6666666666666667E-4</v>
      </c>
      <c r="H21" s="273">
        <f>IF(E21="High-End",SUMIFS(Inhalation_Exp[ADD_High-End],Inhalation_Exp[OES],$C21,Inhalation_Exp[Worker Type],$D21),SUMIFS(Inhalation_Exp[ADD_Central Tendency],Inhalation_Exp[OES],$C21,Inhalation_Exp[Worker Type],$D21))</f>
        <v>3.4246575342465754E-4</v>
      </c>
      <c r="I21" s="327">
        <f>IF($E21="High-End",SUMIFS(Dermal_Exp[High-End AD (mg/kg-day)],Dermal_Exp[Worker Type],$D21,Dermal_Exp[OES],$C21),SUMIFS(Dermal_Exp[Central Tendency AD (mg/kg-day)],Dermal_Exp[Worker Type],$D21,Dermal_Exp[OES],$C21))</f>
        <v>0</v>
      </c>
      <c r="J21" s="327">
        <f>IF($E21="High-End",SUMIFS(Dermal_Exp[High-End IADD (mg/kg-day)],Dermal_Exp[Worker Type],$D21,Dermal_Exp[OES],$C21),SUMIFS(Dermal_Exp[Central Tendency IADD (mg/kg-day)],Dermal_Exp[Worker Type],$D21,Dermal_Exp[OES],$C21))</f>
        <v>0</v>
      </c>
      <c r="K21" s="327">
        <f>IF($E21="High-End",SUMIFS(Dermal_Exp[High-End ADD (mg/kg-day)],Dermal_Exp[Worker Type],$D21,Dermal_Exp[OES],$C21),SUMIFS(Dermal_Exp[Central Tendency ADD (mg/kg-day)],Dermal_Exp[Worker Type],$D21,Dermal_Exp[OES],$C21))</f>
        <v>0</v>
      </c>
      <c r="L21" s="327">
        <f t="shared" si="0"/>
        <v>5.0000000000000001E-4</v>
      </c>
      <c r="M21" s="327">
        <f t="shared" si="1"/>
        <v>3.6666666666666667E-4</v>
      </c>
      <c r="N21" s="327">
        <f t="shared" si="2"/>
        <v>3.4246575342465754E-4</v>
      </c>
    </row>
    <row r="22" spans="2:14" s="27" customFormat="1" ht="12.75" customHeight="1" x14ac:dyDescent="0.35">
      <c r="B22" s="28"/>
      <c r="C22" s="410" t="str" cm="1">
        <f t="array" ref="C22">INDEX('List Values'!$B$2:$B$20,(1+ROUNDDOWN((ROW()-ROW($C$5))*1/6,2)))</f>
        <v>Incorporation into Adhesives and Sealants</v>
      </c>
      <c r="D22" s="411" t="s">
        <v>74</v>
      </c>
      <c r="E22" s="412" t="s">
        <v>73</v>
      </c>
      <c r="F22" s="273">
        <f>IF(E22="High-End",SUMIFS(Inhalation_Exp[24hr_High-End],Inhalation_Exp[OES],$C22,Inhalation_Exp[Worker Type],$D22),SUMIFS(Inhalation_Exp[24hr_Central Tendency],Inhalation_Exp[OES],$C22,Inhalation_Exp[Worker Type],$D22))</f>
        <v>5.0000000000000001E-4</v>
      </c>
      <c r="G22" s="273">
        <f>IF(E22="High-End",SUMIFS(Inhalation_Exp[Int_High-End],Inhalation_Exp[OES],$C22,Inhalation_Exp[Worker Type],$D22),SUMIFS(Inhalation_Exp[Int_Central Tendency],Inhalation_Exp[OES],$C22,Inhalation_Exp[Worker Type],$D22))</f>
        <v>3.6666666666666667E-4</v>
      </c>
      <c r="H22" s="273">
        <f>IF(E22="High-End",SUMIFS(Inhalation_Exp[ADD_High-End],Inhalation_Exp[OES],$C22,Inhalation_Exp[Worker Type],$D22),SUMIFS(Inhalation_Exp[ADD_Central Tendency],Inhalation_Exp[OES],$C22,Inhalation_Exp[Worker Type],$D22))</f>
        <v>3.4246575342465754E-4</v>
      </c>
      <c r="I22" s="327">
        <f>IF($E22="High-End",SUMIFS(Dermal_Exp[High-End AD (mg/kg-day)],Dermal_Exp[Worker Type],$D22,Dermal_Exp[OES],$C22),SUMIFS(Dermal_Exp[Central Tendency AD (mg/kg-day)],Dermal_Exp[Worker Type],$D22,Dermal_Exp[OES],$C22))</f>
        <v>0</v>
      </c>
      <c r="J22" s="327">
        <f>IF($E22="High-End",SUMIFS(Dermal_Exp[High-End IADD (mg/kg-day)],Dermal_Exp[Worker Type],$D22,Dermal_Exp[OES],$C22),SUMIFS(Dermal_Exp[Central Tendency IADD (mg/kg-day)],Dermal_Exp[Worker Type],$D22,Dermal_Exp[OES],$C22))</f>
        <v>0</v>
      </c>
      <c r="K22" s="327">
        <f>IF($E22="High-End",SUMIFS(Dermal_Exp[High-End ADD (mg/kg-day)],Dermal_Exp[Worker Type],$D22,Dermal_Exp[OES],$C22),SUMIFS(Dermal_Exp[Central Tendency ADD (mg/kg-day)],Dermal_Exp[Worker Type],$D22,Dermal_Exp[OES],$C22))</f>
        <v>0</v>
      </c>
      <c r="L22" s="327">
        <f t="shared" si="0"/>
        <v>5.0000000000000001E-4</v>
      </c>
      <c r="M22" s="327">
        <f t="shared" si="1"/>
        <v>3.6666666666666667E-4</v>
      </c>
      <c r="N22" s="327">
        <f t="shared" si="2"/>
        <v>3.4246575342465754E-4</v>
      </c>
    </row>
    <row r="23" spans="2:14" s="27" customFormat="1" ht="12.75" customHeight="1" x14ac:dyDescent="0.35">
      <c r="B23" s="28"/>
      <c r="C23" s="410" t="str" cm="1">
        <f t="array" ref="C23">INDEX('List Values'!$B$2:$B$20,(1+ROUNDDOWN((ROW()-ROW($C$5))*1/6,2)))</f>
        <v>Incorporation into Paints and Coatings</v>
      </c>
      <c r="D23" s="411" t="s">
        <v>57</v>
      </c>
      <c r="E23" s="412" t="s">
        <v>72</v>
      </c>
      <c r="F23" s="273">
        <f>IF(E23="High-End",SUMIFS(Inhalation_Exp[24hr_High-End],Inhalation_Exp[OES],$C23,Inhalation_Exp[Worker Type],$D23),SUMIFS(Inhalation_Exp[24hr_Central Tendency],Inhalation_Exp[OES],$C23,Inhalation_Exp[Worker Type],$D23))</f>
        <v>2.2875E-3</v>
      </c>
      <c r="G23" s="273">
        <f>IF(E23="High-End",SUMIFS(Inhalation_Exp[Int_High-End],Inhalation_Exp[OES],$C23,Inhalation_Exp[Worker Type],$D23),SUMIFS(Inhalation_Exp[Int_Central Tendency],Inhalation_Exp[OES],$C23,Inhalation_Exp[Worker Type],$D23))</f>
        <v>1.6775E-3</v>
      </c>
      <c r="H23" s="273">
        <f>IF(E23="High-End",SUMIFS(Inhalation_Exp[ADD_High-End],Inhalation_Exp[OES],$C23,Inhalation_Exp[Worker Type],$D23),SUMIFS(Inhalation_Exp[ADD_Central Tendency],Inhalation_Exp[OES],$C23,Inhalation_Exp[Worker Type],$D23))</f>
        <v>1.5667808219178082E-3</v>
      </c>
      <c r="I23" s="327">
        <f>IF($E23="High-End",SUMIFS(Dermal_Exp[High-End AD (mg/kg-day)],Dermal_Exp[Worker Type],$D23,Dermal_Exp[OES],$C23),SUMIFS(Dermal_Exp[Central Tendency AD (mg/kg-day)],Dermal_Exp[Worker Type],$D23,Dermal_Exp[OES],$C23))</f>
        <v>7.4899999999999993E-3</v>
      </c>
      <c r="J23" s="327">
        <f>IF($E23="High-End",SUMIFS(Dermal_Exp[High-End IADD (mg/kg-day)],Dermal_Exp[Worker Type],$D23,Dermal_Exp[OES],$C23),SUMIFS(Dermal_Exp[Central Tendency IADD (mg/kg-day)],Dermal_Exp[Worker Type],$D23,Dermal_Exp[OES],$C23))</f>
        <v>5.4926666666666657E-3</v>
      </c>
      <c r="K23" s="327">
        <f>IF($E23="High-End",SUMIFS(Dermal_Exp[High-End ADD (mg/kg-day)],Dermal_Exp[Worker Type],$D23,Dermal_Exp[OES],$C23),SUMIFS(Dermal_Exp[Central Tendency ADD (mg/kg-day)],Dermal_Exp[Worker Type],$D23,Dermal_Exp[OES],$C23))</f>
        <v>5.1301369863013691E-3</v>
      </c>
      <c r="L23" s="327">
        <f t="shared" si="0"/>
        <v>9.7774999999999997E-3</v>
      </c>
      <c r="M23" s="327">
        <f t="shared" si="1"/>
        <v>7.1701666666666658E-3</v>
      </c>
      <c r="N23" s="327">
        <f t="shared" si="2"/>
        <v>6.6969178082191775E-3</v>
      </c>
    </row>
    <row r="24" spans="2:14" s="27" customFormat="1" ht="12.75" customHeight="1" x14ac:dyDescent="0.35">
      <c r="B24" s="28"/>
      <c r="C24" s="410" t="str" cm="1">
        <f t="array" ref="C24">INDEX('List Values'!$B$2:$B$20,(1+ROUNDDOWN((ROW()-ROW($C$5))*1/6,2)))</f>
        <v>Incorporation into Paints and Coatings</v>
      </c>
      <c r="D24" s="411" t="s">
        <v>57</v>
      </c>
      <c r="E24" s="412" t="s">
        <v>73</v>
      </c>
      <c r="F24" s="273">
        <f>IF(E24="High-End",SUMIFS(Inhalation_Exp[24hr_High-End],Inhalation_Exp[OES],$C24,Inhalation_Exp[Worker Type],$D24),SUMIFS(Inhalation_Exp[24hr_Central Tendency],Inhalation_Exp[OES],$C24,Inhalation_Exp[Worker Type],$D24))</f>
        <v>5.0000000000000001E-4</v>
      </c>
      <c r="G24" s="273">
        <f>IF(E24="High-End",SUMIFS(Inhalation_Exp[Int_High-End],Inhalation_Exp[OES],$C24,Inhalation_Exp[Worker Type],$D24),SUMIFS(Inhalation_Exp[Int_Central Tendency],Inhalation_Exp[OES],$C24,Inhalation_Exp[Worker Type],$D24))</f>
        <v>3.6666666666666667E-4</v>
      </c>
      <c r="H24" s="273">
        <f>IF(E24="High-End",SUMIFS(Inhalation_Exp[ADD_High-End],Inhalation_Exp[OES],$C24,Inhalation_Exp[Worker Type],$D24),SUMIFS(Inhalation_Exp[ADD_Central Tendency],Inhalation_Exp[OES],$C24,Inhalation_Exp[Worker Type],$D24))</f>
        <v>3.4246575342465754E-4</v>
      </c>
      <c r="I24" s="327">
        <f>IF($E24="High-End",SUMIFS(Dermal_Exp[High-End AD (mg/kg-day)],Dermal_Exp[Worker Type],$D24,Dermal_Exp[OES],$C24),SUMIFS(Dermal_Exp[Central Tendency AD (mg/kg-day)],Dermal_Exp[Worker Type],$D24,Dermal_Exp[OES],$C24))</f>
        <v>3.7449999999999996E-3</v>
      </c>
      <c r="J24" s="327">
        <f>IF($E24="High-End",SUMIFS(Dermal_Exp[High-End IADD (mg/kg-day)],Dermal_Exp[Worker Type],$D24,Dermal_Exp[OES],$C24),SUMIFS(Dermal_Exp[Central Tendency IADD (mg/kg-day)],Dermal_Exp[Worker Type],$D24,Dermal_Exp[OES],$C24))</f>
        <v>2.7463333333333328E-3</v>
      </c>
      <c r="K24" s="327">
        <f>IF($E24="High-End",SUMIFS(Dermal_Exp[High-End ADD (mg/kg-day)],Dermal_Exp[Worker Type],$D24,Dermal_Exp[OES],$C24),SUMIFS(Dermal_Exp[Central Tendency ADD (mg/kg-day)],Dermal_Exp[Worker Type],$D24,Dermal_Exp[OES],$C24))</f>
        <v>2.5650684931506846E-3</v>
      </c>
      <c r="L24" s="327">
        <f t="shared" si="0"/>
        <v>4.2449999999999996E-3</v>
      </c>
      <c r="M24" s="327">
        <f t="shared" si="1"/>
        <v>3.1129999999999994E-3</v>
      </c>
      <c r="N24" s="327">
        <f t="shared" si="2"/>
        <v>2.907534246575342E-3</v>
      </c>
    </row>
    <row r="25" spans="2:14" s="27" customFormat="1" ht="12.75" customHeight="1" x14ac:dyDescent="0.35">
      <c r="B25" s="28"/>
      <c r="C25" s="410" t="str" cm="1">
        <f t="array" ref="C25">INDEX('List Values'!$B$2:$B$20,(1+ROUNDDOWN((ROW()-ROW($C$5))*1/6,2)))</f>
        <v>Incorporation into Paints and Coatings</v>
      </c>
      <c r="D25" s="411" t="s">
        <v>168</v>
      </c>
      <c r="E25" s="412" t="s">
        <v>72</v>
      </c>
      <c r="F25" s="273">
        <f>IF(E25="High-End",SUMIFS(Inhalation_Exp[24hr_High-End],Inhalation_Exp[OES],$C25,Inhalation_Exp[Worker Type],$D25),SUMIFS(Inhalation_Exp[24hr_Central Tendency],Inhalation_Exp[OES],$C25,Inhalation_Exp[Worker Type],$D25))</f>
        <v>2.5267518122195371E-3</v>
      </c>
      <c r="G25" s="273">
        <f>IF(E25="High-End",SUMIFS(Inhalation_Exp[Int_High-End],Inhalation_Exp[OES],$C25,Inhalation_Exp[Worker Type],$D25),SUMIFS(Inhalation_Exp[Int_Central Tendency],Inhalation_Exp[OES],$C25,Inhalation_Exp[Worker Type],$D25))</f>
        <v>1.8529513289609939E-3</v>
      </c>
      <c r="H25" s="273">
        <f>IF(E25="High-End",SUMIFS(Inhalation_Exp[ADD_High-End],Inhalation_Exp[OES],$C25,Inhalation_Exp[Worker Type],$D25),SUMIFS(Inhalation_Exp[ADD_Central Tendency],Inhalation_Exp[OES],$C25,Inhalation_Exp[Worker Type],$D25))</f>
        <v>1.7306519261777651E-3</v>
      </c>
      <c r="I25" s="327">
        <f>IF($E25="High-End",SUMIFS(Dermal_Exp[High-End AD (mg/kg-day)],Dermal_Exp[Worker Type],$D25,Dermal_Exp[OES],$C25),SUMIFS(Dermal_Exp[Central Tendency AD (mg/kg-day)],Dermal_Exp[Worker Type],$D25,Dermal_Exp[OES],$C25))</f>
        <v>6.8816016568864326E-3</v>
      </c>
      <c r="J25" s="327">
        <f>IF($E25="High-End",SUMIFS(Dermal_Exp[High-End IADD (mg/kg-day)],Dermal_Exp[Worker Type],$D25,Dermal_Exp[OES],$C25),SUMIFS(Dermal_Exp[Central Tendency IADD (mg/kg-day)],Dermal_Exp[Worker Type],$D25,Dermal_Exp[OES],$C25))</f>
        <v>5.0465078817167174E-3</v>
      </c>
      <c r="K25" s="327">
        <f>IF($E25="High-End",SUMIFS(Dermal_Exp[High-End ADD (mg/kg-day)],Dermal_Exp[Worker Type],$D25,Dermal_Exp[OES],$C25),SUMIFS(Dermal_Exp[Central Tendency ADD (mg/kg-day)],Dermal_Exp[Worker Type],$D25,Dermal_Exp[OES],$C25))</f>
        <v>4.713425792387968E-3</v>
      </c>
      <c r="L25" s="327">
        <f t="shared" si="0"/>
        <v>9.4083534691059706E-3</v>
      </c>
      <c r="M25" s="327">
        <f t="shared" si="1"/>
        <v>6.8994592106777115E-3</v>
      </c>
      <c r="N25" s="327">
        <f t="shared" si="2"/>
        <v>6.4440777185657333E-3</v>
      </c>
    </row>
    <row r="26" spans="2:14" s="27" customFormat="1" ht="12.75" customHeight="1" x14ac:dyDescent="0.35">
      <c r="B26" s="28"/>
      <c r="C26" s="410" t="str" cm="1">
        <f t="array" ref="C26">INDEX('List Values'!$B$2:$B$20,(1+ROUNDDOWN((ROW()-ROW($C$5))*1/6,2)))</f>
        <v>Incorporation into Paints and Coatings</v>
      </c>
      <c r="D26" s="411" t="s">
        <v>168</v>
      </c>
      <c r="E26" s="412" t="s">
        <v>73</v>
      </c>
      <c r="F26" s="273">
        <f>IF(E26="High-End",SUMIFS(Inhalation_Exp[24hr_High-End],Inhalation_Exp[OES],$C26,Inhalation_Exp[Worker Type],$D26),SUMIFS(Inhalation_Exp[24hr_Central Tendency],Inhalation_Exp[OES],$C26,Inhalation_Exp[Worker Type],$D26))</f>
        <v>5.5229547808077317E-4</v>
      </c>
      <c r="G26" s="273">
        <f>IF(E26="High-End",SUMIFS(Inhalation_Exp[Int_High-End],Inhalation_Exp[OES],$C26,Inhalation_Exp[Worker Type],$D26),SUMIFS(Inhalation_Exp[Int_Central Tendency],Inhalation_Exp[OES],$C26,Inhalation_Exp[Worker Type],$D26))</f>
        <v>4.0501668392590036E-4</v>
      </c>
      <c r="H26" s="273">
        <f>IF(E26="High-End",SUMIFS(Inhalation_Exp[ADD_High-End],Inhalation_Exp[OES],$C26,Inhalation_Exp[Worker Type],$D26),SUMIFS(Inhalation_Exp[ADD_Central Tendency],Inhalation_Exp[OES],$C26,Inhalation_Exp[Worker Type],$D26))</f>
        <v>3.7828457402792686E-4</v>
      </c>
      <c r="I26" s="327">
        <f>IF($E26="High-End",SUMIFS(Dermal_Exp[High-End AD (mg/kg-day)],Dermal_Exp[Worker Type],$D26,Dermal_Exp[OES],$C26),SUMIFS(Dermal_Exp[Central Tendency AD (mg/kg-day)],Dermal_Exp[Worker Type],$D26,Dermal_Exp[OES],$C26))</f>
        <v>3.4408008284432163E-3</v>
      </c>
      <c r="J26" s="327">
        <f>IF($E26="High-End",SUMIFS(Dermal_Exp[High-End IADD (mg/kg-day)],Dermal_Exp[Worker Type],$D26,Dermal_Exp[OES],$C26),SUMIFS(Dermal_Exp[Central Tendency IADD (mg/kg-day)],Dermal_Exp[Worker Type],$D26,Dermal_Exp[OES],$C26))</f>
        <v>2.5232539408583587E-3</v>
      </c>
      <c r="K26" s="327">
        <f>IF($E26="High-End",SUMIFS(Dermal_Exp[High-End ADD (mg/kg-day)],Dermal_Exp[Worker Type],$D26,Dermal_Exp[OES],$C26),SUMIFS(Dermal_Exp[Central Tendency ADD (mg/kg-day)],Dermal_Exp[Worker Type],$D26,Dermal_Exp[OES],$C26))</f>
        <v>2.3567128961939836E-3</v>
      </c>
      <c r="L26" s="327">
        <f t="shared" si="0"/>
        <v>3.9930963065239891E-3</v>
      </c>
      <c r="M26" s="327">
        <f t="shared" si="1"/>
        <v>2.9282706247842592E-3</v>
      </c>
      <c r="N26" s="327">
        <f t="shared" si="2"/>
        <v>2.7349974702219103E-3</v>
      </c>
    </row>
    <row r="27" spans="2:14" s="27" customFormat="1" ht="12.75" customHeight="1" x14ac:dyDescent="0.35">
      <c r="B27" s="28"/>
      <c r="C27" s="410" t="str" cm="1">
        <f t="array" ref="C27">INDEX('List Values'!$B$2:$B$20,(1+ROUNDDOWN((ROW()-ROW($C$5))*1/6,2)))</f>
        <v>Incorporation into Paints and Coatings</v>
      </c>
      <c r="D27" s="411" t="s">
        <v>74</v>
      </c>
      <c r="E27" s="412" t="s">
        <v>72</v>
      </c>
      <c r="F27" s="273">
        <f>IF(E27="High-End",SUMIFS(Inhalation_Exp[24hr_High-End],Inhalation_Exp[OES],$C27,Inhalation_Exp[Worker Type],$D27),SUMIFS(Inhalation_Exp[24hr_Central Tendency],Inhalation_Exp[OES],$C27,Inhalation_Exp[Worker Type],$D27))</f>
        <v>5.0000000000000001E-4</v>
      </c>
      <c r="G27" s="273">
        <f>IF(E27="High-End",SUMIFS(Inhalation_Exp[Int_High-End],Inhalation_Exp[OES],$C27,Inhalation_Exp[Worker Type],$D27),SUMIFS(Inhalation_Exp[Int_Central Tendency],Inhalation_Exp[OES],$C27,Inhalation_Exp[Worker Type],$D27))</f>
        <v>3.6666666666666667E-4</v>
      </c>
      <c r="H27" s="273">
        <f>IF(E27="High-End",SUMIFS(Inhalation_Exp[ADD_High-End],Inhalation_Exp[OES],$C27,Inhalation_Exp[Worker Type],$D27),SUMIFS(Inhalation_Exp[ADD_Central Tendency],Inhalation_Exp[OES],$C27,Inhalation_Exp[Worker Type],$D27))</f>
        <v>3.4246575342465754E-4</v>
      </c>
      <c r="I27" s="327">
        <f>IF($E27="High-End",SUMIFS(Dermal_Exp[High-End AD (mg/kg-day)],Dermal_Exp[Worker Type],$D27,Dermal_Exp[OES],$C27),SUMIFS(Dermal_Exp[Central Tendency AD (mg/kg-day)],Dermal_Exp[Worker Type],$D27,Dermal_Exp[OES],$C27))</f>
        <v>0</v>
      </c>
      <c r="J27" s="327">
        <f>IF($E27="High-End",SUMIFS(Dermal_Exp[High-End IADD (mg/kg-day)],Dermal_Exp[Worker Type],$D27,Dermal_Exp[OES],$C27),SUMIFS(Dermal_Exp[Central Tendency IADD (mg/kg-day)],Dermal_Exp[Worker Type],$D27,Dermal_Exp[OES],$C27))</f>
        <v>0</v>
      </c>
      <c r="K27" s="327">
        <f>IF($E27="High-End",SUMIFS(Dermal_Exp[High-End ADD (mg/kg-day)],Dermal_Exp[Worker Type],$D27,Dermal_Exp[OES],$C27),SUMIFS(Dermal_Exp[Central Tendency ADD (mg/kg-day)],Dermal_Exp[Worker Type],$D27,Dermal_Exp[OES],$C27))</f>
        <v>0</v>
      </c>
      <c r="L27" s="327">
        <f t="shared" si="0"/>
        <v>5.0000000000000001E-4</v>
      </c>
      <c r="M27" s="327">
        <f t="shared" si="1"/>
        <v>3.6666666666666667E-4</v>
      </c>
      <c r="N27" s="327">
        <f t="shared" si="2"/>
        <v>3.4246575342465754E-4</v>
      </c>
    </row>
    <row r="28" spans="2:14" s="27" customFormat="1" ht="12.75" customHeight="1" x14ac:dyDescent="0.35">
      <c r="B28" s="28"/>
      <c r="C28" s="410" t="str" cm="1">
        <f t="array" ref="C28">INDEX('List Values'!$B$2:$B$20,(1+ROUNDDOWN((ROW()-ROW($C$5))*1/6,2)))</f>
        <v>Incorporation into Paints and Coatings</v>
      </c>
      <c r="D28" s="411" t="s">
        <v>74</v>
      </c>
      <c r="E28" s="412" t="s">
        <v>73</v>
      </c>
      <c r="F28" s="273">
        <f>IF(E28="High-End",SUMIFS(Inhalation_Exp[24hr_High-End],Inhalation_Exp[OES],$C28,Inhalation_Exp[Worker Type],$D28),SUMIFS(Inhalation_Exp[24hr_Central Tendency],Inhalation_Exp[OES],$C28,Inhalation_Exp[Worker Type],$D28))</f>
        <v>5.0000000000000001E-4</v>
      </c>
      <c r="G28" s="273">
        <f>IF(E28="High-End",SUMIFS(Inhalation_Exp[Int_High-End],Inhalation_Exp[OES],$C28,Inhalation_Exp[Worker Type],$D28),SUMIFS(Inhalation_Exp[Int_Central Tendency],Inhalation_Exp[OES],$C28,Inhalation_Exp[Worker Type],$D28))</f>
        <v>3.6666666666666667E-4</v>
      </c>
      <c r="H28" s="273">
        <f>IF(E28="High-End",SUMIFS(Inhalation_Exp[ADD_High-End],Inhalation_Exp[OES],$C28,Inhalation_Exp[Worker Type],$D28),SUMIFS(Inhalation_Exp[ADD_Central Tendency],Inhalation_Exp[OES],$C28,Inhalation_Exp[Worker Type],$D28))</f>
        <v>3.4246575342465754E-4</v>
      </c>
      <c r="I28" s="327">
        <f>IF($E28="High-End",SUMIFS(Dermal_Exp[High-End AD (mg/kg-day)],Dermal_Exp[Worker Type],$D28,Dermal_Exp[OES],$C28),SUMIFS(Dermal_Exp[Central Tendency AD (mg/kg-day)],Dermal_Exp[Worker Type],$D28,Dermal_Exp[OES],$C28))</f>
        <v>0</v>
      </c>
      <c r="J28" s="327">
        <f>IF($E28="High-End",SUMIFS(Dermal_Exp[High-End IADD (mg/kg-day)],Dermal_Exp[Worker Type],$D28,Dermal_Exp[OES],$C28),SUMIFS(Dermal_Exp[Central Tendency IADD (mg/kg-day)],Dermal_Exp[Worker Type],$D28,Dermal_Exp[OES],$C28))</f>
        <v>0</v>
      </c>
      <c r="K28" s="327">
        <f>IF($E28="High-End",SUMIFS(Dermal_Exp[High-End ADD (mg/kg-day)],Dermal_Exp[Worker Type],$D28,Dermal_Exp[OES],$C28),SUMIFS(Dermal_Exp[Central Tendency ADD (mg/kg-day)],Dermal_Exp[Worker Type],$D28,Dermal_Exp[OES],$C28))</f>
        <v>0</v>
      </c>
      <c r="L28" s="327">
        <f t="shared" si="0"/>
        <v>5.0000000000000001E-4</v>
      </c>
      <c r="M28" s="327">
        <f t="shared" si="1"/>
        <v>3.6666666666666667E-4</v>
      </c>
      <c r="N28" s="327">
        <f t="shared" si="2"/>
        <v>3.4246575342465754E-4</v>
      </c>
    </row>
    <row r="29" spans="2:14" s="27" customFormat="1" ht="12.75" customHeight="1" x14ac:dyDescent="0.35">
      <c r="B29" s="28"/>
      <c r="C29" s="410" t="str" cm="1">
        <f t="array" ref="C29">INDEX('List Values'!$B$2:$B$20,(1+ROUNDDOWN((ROW()-ROW($C$5))*1/6,2)))</f>
        <v>Formulation into Pre-Catalyst</v>
      </c>
      <c r="D29" s="411" t="s">
        <v>57</v>
      </c>
      <c r="E29" s="412" t="s">
        <v>72</v>
      </c>
      <c r="F29" s="273">
        <f>IF(E29="High-End",SUMIFS(Inhalation_Exp[24hr_High-End],Inhalation_Exp[OES],$C29,Inhalation_Exp[Worker Type],$D29),SUMIFS(Inhalation_Exp[24hr_Central Tendency],Inhalation_Exp[OES],$C29,Inhalation_Exp[Worker Type],$D29))</f>
        <v>2.2875E-3</v>
      </c>
      <c r="G29" s="273">
        <f>IF(E29="High-End",SUMIFS(Inhalation_Exp[Int_High-End],Inhalation_Exp[OES],$C29,Inhalation_Exp[Worker Type],$D29),SUMIFS(Inhalation_Exp[Int_Central Tendency],Inhalation_Exp[OES],$C29,Inhalation_Exp[Worker Type],$D29))</f>
        <v>1.6775E-3</v>
      </c>
      <c r="H29" s="273">
        <f>IF(E29="High-End",SUMIFS(Inhalation_Exp[ADD_High-End],Inhalation_Exp[OES],$C29,Inhalation_Exp[Worker Type],$D29),SUMIFS(Inhalation_Exp[ADD_Central Tendency],Inhalation_Exp[OES],$C29,Inhalation_Exp[Worker Type],$D29))</f>
        <v>1.5667808219178082E-3</v>
      </c>
      <c r="I29" s="327">
        <f>IF($E29="High-End",SUMIFS(Dermal_Exp[High-End AD (mg/kg-day)],Dermal_Exp[Worker Type],$D29,Dermal_Exp[OES],$C29),SUMIFS(Dermal_Exp[Central Tendency AD (mg/kg-day)],Dermal_Exp[Worker Type],$D29,Dermal_Exp[OES],$C29))</f>
        <v>7.4899999999999993E-3</v>
      </c>
      <c r="J29" s="327">
        <f>IF($E29="High-End",SUMIFS(Dermal_Exp[High-End IADD (mg/kg-day)],Dermal_Exp[Worker Type],$D29,Dermal_Exp[OES],$C29),SUMIFS(Dermal_Exp[Central Tendency IADD (mg/kg-day)],Dermal_Exp[Worker Type],$D29,Dermal_Exp[OES],$C29))</f>
        <v>5.4926666666666657E-3</v>
      </c>
      <c r="K29" s="327">
        <f>IF($E29="High-End",SUMIFS(Dermal_Exp[High-End ADD (mg/kg-day)],Dermal_Exp[Worker Type],$D29,Dermal_Exp[OES],$C29),SUMIFS(Dermal_Exp[Central Tendency ADD (mg/kg-day)],Dermal_Exp[Worker Type],$D29,Dermal_Exp[OES],$C29))</f>
        <v>5.1301369863013691E-3</v>
      </c>
      <c r="L29" s="327">
        <f t="shared" si="0"/>
        <v>9.7774999999999997E-3</v>
      </c>
      <c r="M29" s="327">
        <f t="shared" si="1"/>
        <v>7.1701666666666658E-3</v>
      </c>
      <c r="N29" s="327">
        <f t="shared" si="2"/>
        <v>6.6969178082191775E-3</v>
      </c>
    </row>
    <row r="30" spans="2:14" s="27" customFormat="1" ht="12.75" customHeight="1" x14ac:dyDescent="0.35">
      <c r="B30" s="28"/>
      <c r="C30" s="410" t="str" cm="1">
        <f t="array" ref="C30">INDEX('List Values'!$B$2:$B$20,(1+ROUNDDOWN((ROW()-ROW($C$5))*1/6,2)))</f>
        <v>Formulation into Pre-Catalyst</v>
      </c>
      <c r="D30" s="411" t="s">
        <v>57</v>
      </c>
      <c r="E30" s="412" t="s">
        <v>73</v>
      </c>
      <c r="F30" s="273">
        <f>IF(E30="High-End",SUMIFS(Inhalation_Exp[24hr_High-End],Inhalation_Exp[OES],$C30,Inhalation_Exp[Worker Type],$D30),SUMIFS(Inhalation_Exp[24hr_Central Tendency],Inhalation_Exp[OES],$C30,Inhalation_Exp[Worker Type],$D30))</f>
        <v>5.0000000000000001E-4</v>
      </c>
      <c r="G30" s="273">
        <f>IF(E30="High-End",SUMIFS(Inhalation_Exp[Int_High-End],Inhalation_Exp[OES],$C30,Inhalation_Exp[Worker Type],$D30),SUMIFS(Inhalation_Exp[Int_Central Tendency],Inhalation_Exp[OES],$C30,Inhalation_Exp[Worker Type],$D30))</f>
        <v>3.6666666666666667E-4</v>
      </c>
      <c r="H30" s="273">
        <f>IF(E30="High-End",SUMIFS(Inhalation_Exp[ADD_High-End],Inhalation_Exp[OES],$C30,Inhalation_Exp[Worker Type],$D30),SUMIFS(Inhalation_Exp[ADD_Central Tendency],Inhalation_Exp[OES],$C30,Inhalation_Exp[Worker Type],$D30))</f>
        <v>3.4246575342465754E-4</v>
      </c>
      <c r="I30" s="327">
        <f>IF($E30="High-End",SUMIFS(Dermal_Exp[High-End AD (mg/kg-day)],Dermal_Exp[Worker Type],$D30,Dermal_Exp[OES],$C30),SUMIFS(Dermal_Exp[Central Tendency AD (mg/kg-day)],Dermal_Exp[Worker Type],$D30,Dermal_Exp[OES],$C30))</f>
        <v>3.7449999999999996E-3</v>
      </c>
      <c r="J30" s="327">
        <f>IF($E30="High-End",SUMIFS(Dermal_Exp[High-End IADD (mg/kg-day)],Dermal_Exp[Worker Type],$D30,Dermal_Exp[OES],$C30),SUMIFS(Dermal_Exp[Central Tendency IADD (mg/kg-day)],Dermal_Exp[Worker Type],$D30,Dermal_Exp[OES],$C30))</f>
        <v>2.7463333333333328E-3</v>
      </c>
      <c r="K30" s="327">
        <f>IF($E30="High-End",SUMIFS(Dermal_Exp[High-End ADD (mg/kg-day)],Dermal_Exp[Worker Type],$D30,Dermal_Exp[OES],$C30),SUMIFS(Dermal_Exp[Central Tendency ADD (mg/kg-day)],Dermal_Exp[Worker Type],$D30,Dermal_Exp[OES],$C30))</f>
        <v>2.5650684931506846E-3</v>
      </c>
      <c r="L30" s="327">
        <f t="shared" si="0"/>
        <v>4.2449999999999996E-3</v>
      </c>
      <c r="M30" s="327">
        <f t="shared" si="1"/>
        <v>3.1129999999999994E-3</v>
      </c>
      <c r="N30" s="327">
        <f t="shared" si="2"/>
        <v>2.907534246575342E-3</v>
      </c>
    </row>
    <row r="31" spans="2:14" s="27" customFormat="1" ht="12.75" customHeight="1" x14ac:dyDescent="0.35">
      <c r="B31" s="28"/>
      <c r="C31" s="410" t="str" cm="1">
        <f t="array" ref="C31">INDEX('List Values'!$B$2:$B$20,(1+ROUNDDOWN((ROW()-ROW($C$5))*1/6,2)))</f>
        <v>Formulation into Pre-Catalyst</v>
      </c>
      <c r="D31" s="411" t="s">
        <v>168</v>
      </c>
      <c r="E31" s="412" t="s">
        <v>72</v>
      </c>
      <c r="F31" s="273">
        <f>IF(E31="High-End",SUMIFS(Inhalation_Exp[24hr_High-End],Inhalation_Exp[OES],$C31,Inhalation_Exp[Worker Type],$D31),SUMIFS(Inhalation_Exp[24hr_Central Tendency],Inhalation_Exp[OES],$C31,Inhalation_Exp[Worker Type],$D31))</f>
        <v>2.5267518122195371E-3</v>
      </c>
      <c r="G31" s="273">
        <f>IF(E31="High-End",SUMIFS(Inhalation_Exp[Int_High-End],Inhalation_Exp[OES],$C31,Inhalation_Exp[Worker Type],$D31),SUMIFS(Inhalation_Exp[Int_Central Tendency],Inhalation_Exp[OES],$C31,Inhalation_Exp[Worker Type],$D31))</f>
        <v>1.8529513289609939E-3</v>
      </c>
      <c r="H31" s="273">
        <f>IF(E31="High-End",SUMIFS(Inhalation_Exp[ADD_High-End],Inhalation_Exp[OES],$C31,Inhalation_Exp[Worker Type],$D31),SUMIFS(Inhalation_Exp[ADD_Central Tendency],Inhalation_Exp[OES],$C31,Inhalation_Exp[Worker Type],$D31))</f>
        <v>1.7306519261777651E-3</v>
      </c>
      <c r="I31" s="327">
        <f>IF($E31="High-End",SUMIFS(Dermal_Exp[High-End AD (mg/kg-day)],Dermal_Exp[Worker Type],$D31,Dermal_Exp[OES],$C31),SUMIFS(Dermal_Exp[Central Tendency AD (mg/kg-day)],Dermal_Exp[Worker Type],$D31,Dermal_Exp[OES],$C31))</f>
        <v>6.8816016568864326E-3</v>
      </c>
      <c r="J31" s="327">
        <f>IF($E31="High-End",SUMIFS(Dermal_Exp[High-End IADD (mg/kg-day)],Dermal_Exp[Worker Type],$D31,Dermal_Exp[OES],$C31),SUMIFS(Dermal_Exp[Central Tendency IADD (mg/kg-day)],Dermal_Exp[Worker Type],$D31,Dermal_Exp[OES],$C31))</f>
        <v>5.0465078817167174E-3</v>
      </c>
      <c r="K31" s="327">
        <f>IF($E31="High-End",SUMIFS(Dermal_Exp[High-End ADD (mg/kg-day)],Dermal_Exp[Worker Type],$D31,Dermal_Exp[OES],$C31),SUMIFS(Dermal_Exp[Central Tendency ADD (mg/kg-day)],Dermal_Exp[Worker Type],$D31,Dermal_Exp[OES],$C31))</f>
        <v>4.713425792387968E-3</v>
      </c>
      <c r="L31" s="327">
        <f t="shared" si="0"/>
        <v>9.4083534691059706E-3</v>
      </c>
      <c r="M31" s="327">
        <f t="shared" si="1"/>
        <v>6.8994592106777115E-3</v>
      </c>
      <c r="N31" s="327">
        <f t="shared" si="2"/>
        <v>6.4440777185657333E-3</v>
      </c>
    </row>
    <row r="32" spans="2:14" s="27" customFormat="1" ht="12.75" customHeight="1" x14ac:dyDescent="0.35">
      <c r="B32" s="28"/>
      <c r="C32" s="410" t="str" cm="1">
        <f t="array" ref="C32">INDEX('List Values'!$B$2:$B$20,(1+ROUNDDOWN((ROW()-ROW($C$5))*1/6,2)))</f>
        <v>Formulation into Pre-Catalyst</v>
      </c>
      <c r="D32" s="411" t="s">
        <v>168</v>
      </c>
      <c r="E32" s="412" t="s">
        <v>73</v>
      </c>
      <c r="F32" s="273">
        <f>IF(E32="High-End",SUMIFS(Inhalation_Exp[24hr_High-End],Inhalation_Exp[OES],$C32,Inhalation_Exp[Worker Type],$D32),SUMIFS(Inhalation_Exp[24hr_Central Tendency],Inhalation_Exp[OES],$C32,Inhalation_Exp[Worker Type],$D32))</f>
        <v>5.5229547808077317E-4</v>
      </c>
      <c r="G32" s="273">
        <f>IF(E32="High-End",SUMIFS(Inhalation_Exp[Int_High-End],Inhalation_Exp[OES],$C32,Inhalation_Exp[Worker Type],$D32),SUMIFS(Inhalation_Exp[Int_Central Tendency],Inhalation_Exp[OES],$C32,Inhalation_Exp[Worker Type],$D32))</f>
        <v>4.0501668392590036E-4</v>
      </c>
      <c r="H32" s="273">
        <f>IF(E32="High-End",SUMIFS(Inhalation_Exp[ADD_High-End],Inhalation_Exp[OES],$C32,Inhalation_Exp[Worker Type],$D32),SUMIFS(Inhalation_Exp[ADD_Central Tendency],Inhalation_Exp[OES],$C32,Inhalation_Exp[Worker Type],$D32))</f>
        <v>3.7828457402792686E-4</v>
      </c>
      <c r="I32" s="327">
        <f>IF($E32="High-End",SUMIFS(Dermal_Exp[High-End AD (mg/kg-day)],Dermal_Exp[Worker Type],$D32,Dermal_Exp[OES],$C32),SUMIFS(Dermal_Exp[Central Tendency AD (mg/kg-day)],Dermal_Exp[Worker Type],$D32,Dermal_Exp[OES],$C32))</f>
        <v>3.4408008284432163E-3</v>
      </c>
      <c r="J32" s="327">
        <f>IF($E32="High-End",SUMIFS(Dermal_Exp[High-End IADD (mg/kg-day)],Dermal_Exp[Worker Type],$D32,Dermal_Exp[OES],$C32),SUMIFS(Dermal_Exp[Central Tendency IADD (mg/kg-day)],Dermal_Exp[Worker Type],$D32,Dermal_Exp[OES],$C32))</f>
        <v>2.5232539408583587E-3</v>
      </c>
      <c r="K32" s="327">
        <f>IF($E32="High-End",SUMIFS(Dermal_Exp[High-End ADD (mg/kg-day)],Dermal_Exp[Worker Type],$D32,Dermal_Exp[OES],$C32),SUMIFS(Dermal_Exp[Central Tendency ADD (mg/kg-day)],Dermal_Exp[Worker Type],$D32,Dermal_Exp[OES],$C32))</f>
        <v>2.3567128961939836E-3</v>
      </c>
      <c r="L32" s="327">
        <f t="shared" si="0"/>
        <v>3.9930963065239891E-3</v>
      </c>
      <c r="M32" s="327">
        <f t="shared" si="1"/>
        <v>2.9282706247842592E-3</v>
      </c>
      <c r="N32" s="327">
        <f t="shared" si="2"/>
        <v>2.7349974702219103E-3</v>
      </c>
    </row>
    <row r="33" spans="2:14" s="27" customFormat="1" ht="12.75" customHeight="1" x14ac:dyDescent="0.35">
      <c r="B33" s="28"/>
      <c r="C33" s="410" t="str" cm="1">
        <f t="array" ref="C33">INDEX('List Values'!$B$2:$B$20,(1+ROUNDDOWN((ROW()-ROW($C$5))*1/6,2)))</f>
        <v>Formulation into Pre-Catalyst</v>
      </c>
      <c r="D33" s="411" t="s">
        <v>74</v>
      </c>
      <c r="E33" s="412" t="s">
        <v>72</v>
      </c>
      <c r="F33" s="273">
        <f>IF(E33="High-End",SUMIFS(Inhalation_Exp[24hr_High-End],Inhalation_Exp[OES],$C33,Inhalation_Exp[Worker Type],$D33),SUMIFS(Inhalation_Exp[24hr_Central Tendency],Inhalation_Exp[OES],$C33,Inhalation_Exp[Worker Type],$D33))</f>
        <v>5.0000000000000001E-4</v>
      </c>
      <c r="G33" s="273">
        <f>IF(E33="High-End",SUMIFS(Inhalation_Exp[Int_High-End],Inhalation_Exp[OES],$C33,Inhalation_Exp[Worker Type],$D33),SUMIFS(Inhalation_Exp[Int_Central Tendency],Inhalation_Exp[OES],$C33,Inhalation_Exp[Worker Type],$D33))</f>
        <v>3.6666666666666667E-4</v>
      </c>
      <c r="H33" s="273">
        <f>IF(E33="High-End",SUMIFS(Inhalation_Exp[ADD_High-End],Inhalation_Exp[OES],$C33,Inhalation_Exp[Worker Type],$D33),SUMIFS(Inhalation_Exp[ADD_Central Tendency],Inhalation_Exp[OES],$C33,Inhalation_Exp[Worker Type],$D33))</f>
        <v>3.4246575342465754E-4</v>
      </c>
      <c r="I33" s="327">
        <f>IF($E33="High-End",SUMIFS(Dermal_Exp[High-End AD (mg/kg-day)],Dermal_Exp[Worker Type],$D33,Dermal_Exp[OES],$C33),SUMIFS(Dermal_Exp[Central Tendency AD (mg/kg-day)],Dermal_Exp[Worker Type],$D33,Dermal_Exp[OES],$C33))</f>
        <v>0</v>
      </c>
      <c r="J33" s="327">
        <f>IF($E33="High-End",SUMIFS(Dermal_Exp[High-End IADD (mg/kg-day)],Dermal_Exp[Worker Type],$D33,Dermal_Exp[OES],$C33),SUMIFS(Dermal_Exp[Central Tendency IADD (mg/kg-day)],Dermal_Exp[Worker Type],$D33,Dermal_Exp[OES],$C33))</f>
        <v>0</v>
      </c>
      <c r="K33" s="327">
        <f>IF($E33="High-End",SUMIFS(Dermal_Exp[High-End ADD (mg/kg-day)],Dermal_Exp[Worker Type],$D33,Dermal_Exp[OES],$C33),SUMIFS(Dermal_Exp[Central Tendency ADD (mg/kg-day)],Dermal_Exp[Worker Type],$D33,Dermal_Exp[OES],$C33))</f>
        <v>0</v>
      </c>
      <c r="L33" s="327">
        <f t="shared" si="0"/>
        <v>5.0000000000000001E-4</v>
      </c>
      <c r="M33" s="327">
        <f t="shared" si="1"/>
        <v>3.6666666666666667E-4</v>
      </c>
      <c r="N33" s="327">
        <f t="shared" si="2"/>
        <v>3.4246575342465754E-4</v>
      </c>
    </row>
    <row r="34" spans="2:14" s="27" customFormat="1" ht="12.75" customHeight="1" x14ac:dyDescent="0.35">
      <c r="B34" s="28"/>
      <c r="C34" s="410" t="str" cm="1">
        <f t="array" ref="C34">INDEX('List Values'!$B$2:$B$20,(1+ROUNDDOWN((ROW()-ROW($C$5))*1/6,2)))</f>
        <v>Formulation into Pre-Catalyst</v>
      </c>
      <c r="D34" s="411" t="s">
        <v>74</v>
      </c>
      <c r="E34" s="412" t="s">
        <v>73</v>
      </c>
      <c r="F34" s="273">
        <f>IF(E34="High-End",SUMIFS(Inhalation_Exp[24hr_High-End],Inhalation_Exp[OES],$C34,Inhalation_Exp[Worker Type],$D34),SUMIFS(Inhalation_Exp[24hr_Central Tendency],Inhalation_Exp[OES],$C34,Inhalation_Exp[Worker Type],$D34))</f>
        <v>5.0000000000000001E-4</v>
      </c>
      <c r="G34" s="273">
        <f>IF(E34="High-End",SUMIFS(Inhalation_Exp[Int_High-End],Inhalation_Exp[OES],$C34,Inhalation_Exp[Worker Type],$D34),SUMIFS(Inhalation_Exp[Int_Central Tendency],Inhalation_Exp[OES],$C34,Inhalation_Exp[Worker Type],$D34))</f>
        <v>3.6666666666666667E-4</v>
      </c>
      <c r="H34" s="273">
        <f>IF(E34="High-End",SUMIFS(Inhalation_Exp[ADD_High-End],Inhalation_Exp[OES],$C34,Inhalation_Exp[Worker Type],$D34),SUMIFS(Inhalation_Exp[ADD_Central Tendency],Inhalation_Exp[OES],$C34,Inhalation_Exp[Worker Type],$D34))</f>
        <v>3.4246575342465754E-4</v>
      </c>
      <c r="I34" s="327">
        <f>IF($E34="High-End",SUMIFS(Dermal_Exp[High-End AD (mg/kg-day)],Dermal_Exp[Worker Type],$D34,Dermal_Exp[OES],$C34),SUMIFS(Dermal_Exp[Central Tendency AD (mg/kg-day)],Dermal_Exp[Worker Type],$D34,Dermal_Exp[OES],$C34))</f>
        <v>0</v>
      </c>
      <c r="J34" s="327">
        <f>IF($E34="High-End",SUMIFS(Dermal_Exp[High-End IADD (mg/kg-day)],Dermal_Exp[Worker Type],$D34,Dermal_Exp[OES],$C34),SUMIFS(Dermal_Exp[Central Tendency IADD (mg/kg-day)],Dermal_Exp[Worker Type],$D34,Dermal_Exp[OES],$C34))</f>
        <v>0</v>
      </c>
      <c r="K34" s="327">
        <f>IF($E34="High-End",SUMIFS(Dermal_Exp[High-End ADD (mg/kg-day)],Dermal_Exp[Worker Type],$D34,Dermal_Exp[OES],$C34),SUMIFS(Dermal_Exp[Central Tendency ADD (mg/kg-day)],Dermal_Exp[Worker Type],$D34,Dermal_Exp[OES],$C34))</f>
        <v>0</v>
      </c>
      <c r="L34" s="327">
        <f t="shared" si="0"/>
        <v>5.0000000000000001E-4</v>
      </c>
      <c r="M34" s="327">
        <f t="shared" si="1"/>
        <v>3.6666666666666667E-4</v>
      </c>
      <c r="N34" s="327">
        <f t="shared" si="2"/>
        <v>3.4246575342465754E-4</v>
      </c>
    </row>
    <row r="35" spans="2:14" s="27" customFormat="1" ht="12.75" customHeight="1" x14ac:dyDescent="0.35">
      <c r="B35" s="28"/>
      <c r="C35" s="410" t="str" cm="1">
        <f t="array" ref="C35">INDEX('List Values'!$B$2:$B$20,(1+ROUNDDOWN((ROW()-ROW($C$5))*1/6,2)))</f>
        <v>Intermediate in Polypropylene Manufacturing</v>
      </c>
      <c r="D35" s="411" t="s">
        <v>57</v>
      </c>
      <c r="E35" s="412" t="s">
        <v>72</v>
      </c>
      <c r="F35" s="273">
        <f>IF(E35="High-End",SUMIFS(Inhalation_Exp[24hr_High-End],Inhalation_Exp[OES],$C35,Inhalation_Exp[Worker Type],$D35),SUMIFS(Inhalation_Exp[24hr_Central Tendency],Inhalation_Exp[OES],$C35,Inhalation_Exp[Worker Type],$D35))</f>
        <v>2.2883374999999998E-3</v>
      </c>
      <c r="G35" s="273">
        <f>IF(E35="High-End",SUMIFS(Inhalation_Exp[Int_High-End],Inhalation_Exp[OES],$C35,Inhalation_Exp[Worker Type],$D35),SUMIFS(Inhalation_Exp[Int_Central Tendency],Inhalation_Exp[OES],$C35,Inhalation_Exp[Worker Type],$D35))</f>
        <v>1.6781141666666667E-3</v>
      </c>
      <c r="H35" s="273">
        <f>IF(E35="High-End",SUMIFS(Inhalation_Exp[ADD_High-End],Inhalation_Exp[OES],$C35,Inhalation_Exp[Worker Type],$D35),SUMIFS(Inhalation_Exp[ADD_Central Tendency],Inhalation_Exp[OES],$C35,Inhalation_Exp[Worker Type],$D35))</f>
        <v>1.5673544520547946E-3</v>
      </c>
      <c r="I35" s="327">
        <f>IF($E35="High-End",SUMIFS(Dermal_Exp[High-End AD (mg/kg-day)],Dermal_Exp[Worker Type],$D35,Dermal_Exp[OES],$C35),SUMIFS(Dermal_Exp[Central Tendency AD (mg/kg-day)],Dermal_Exp[Worker Type],$D35,Dermal_Exp[OES],$C35))</f>
        <v>7.4899999999999993E-3</v>
      </c>
      <c r="J35" s="327">
        <f>IF($E35="High-End",SUMIFS(Dermal_Exp[High-End IADD (mg/kg-day)],Dermal_Exp[Worker Type],$D35,Dermal_Exp[OES],$C35),SUMIFS(Dermal_Exp[Central Tendency IADD (mg/kg-day)],Dermal_Exp[Worker Type],$D35,Dermal_Exp[OES],$C35))</f>
        <v>5.4926666666666657E-3</v>
      </c>
      <c r="K35" s="327">
        <f>IF($E35="High-End",SUMIFS(Dermal_Exp[High-End ADD (mg/kg-day)],Dermal_Exp[Worker Type],$D35,Dermal_Exp[OES],$C35),SUMIFS(Dermal_Exp[Central Tendency ADD (mg/kg-day)],Dermal_Exp[Worker Type],$D35,Dermal_Exp[OES],$C35))</f>
        <v>5.1301369863013691E-3</v>
      </c>
      <c r="L35" s="327">
        <f t="shared" si="0"/>
        <v>9.7783374999999995E-3</v>
      </c>
      <c r="M35" s="327">
        <f t="shared" si="1"/>
        <v>7.1707808333333328E-3</v>
      </c>
      <c r="N35" s="327">
        <f t="shared" si="2"/>
        <v>6.6974914383561637E-3</v>
      </c>
    </row>
    <row r="36" spans="2:14" s="27" customFormat="1" ht="12.75" customHeight="1" x14ac:dyDescent="0.35">
      <c r="B36" s="28"/>
      <c r="C36" s="410" t="str" cm="1">
        <f t="array" ref="C36">INDEX('List Values'!$B$2:$B$20,(1+ROUNDDOWN((ROW()-ROW($C$5))*1/6,2)))</f>
        <v>Intermediate in Polypropylene Manufacturing</v>
      </c>
      <c r="D36" s="411" t="s">
        <v>57</v>
      </c>
      <c r="E36" s="412" t="s">
        <v>73</v>
      </c>
      <c r="F36" s="273">
        <f>IF(E36="High-End",SUMIFS(Inhalation_Exp[24hr_High-End],Inhalation_Exp[OES],$C36,Inhalation_Exp[Worker Type],$D36),SUMIFS(Inhalation_Exp[24hr_Central Tendency],Inhalation_Exp[OES],$C36,Inhalation_Exp[Worker Type],$D36))</f>
        <v>5.0007999999999997E-4</v>
      </c>
      <c r="G36" s="273">
        <f>IF(E36="High-End",SUMIFS(Inhalation_Exp[Int_High-End],Inhalation_Exp[OES],$C36,Inhalation_Exp[Worker Type],$D36),SUMIFS(Inhalation_Exp[Int_Central Tendency],Inhalation_Exp[OES],$C36,Inhalation_Exp[Worker Type],$D36))</f>
        <v>3.667253333333333E-4</v>
      </c>
      <c r="H36" s="273">
        <f>IF(E36="High-End",SUMIFS(Inhalation_Exp[ADD_High-End],Inhalation_Exp[OES],$C36,Inhalation_Exp[Worker Type],$D36),SUMIFS(Inhalation_Exp[ADD_Central Tendency],Inhalation_Exp[OES],$C36,Inhalation_Exp[Worker Type],$D36))</f>
        <v>3.4252054794520545E-4</v>
      </c>
      <c r="I36" s="327">
        <f>IF($E36="High-End",SUMIFS(Dermal_Exp[High-End AD (mg/kg-day)],Dermal_Exp[Worker Type],$D36,Dermal_Exp[OES],$C36),SUMIFS(Dermal_Exp[Central Tendency AD (mg/kg-day)],Dermal_Exp[Worker Type],$D36,Dermal_Exp[OES],$C36))</f>
        <v>3.7449999999999996E-3</v>
      </c>
      <c r="J36" s="327">
        <f>IF($E36="High-End",SUMIFS(Dermal_Exp[High-End IADD (mg/kg-day)],Dermal_Exp[Worker Type],$D36,Dermal_Exp[OES],$C36),SUMIFS(Dermal_Exp[Central Tendency IADD (mg/kg-day)],Dermal_Exp[Worker Type],$D36,Dermal_Exp[OES],$C36))</f>
        <v>2.7463333333333328E-3</v>
      </c>
      <c r="K36" s="327">
        <f>IF($E36="High-End",SUMIFS(Dermal_Exp[High-End ADD (mg/kg-day)],Dermal_Exp[Worker Type],$D36,Dermal_Exp[OES],$C36),SUMIFS(Dermal_Exp[Central Tendency ADD (mg/kg-day)],Dermal_Exp[Worker Type],$D36,Dermal_Exp[OES],$C36))</f>
        <v>2.5650684931506846E-3</v>
      </c>
      <c r="L36" s="327">
        <f t="shared" si="0"/>
        <v>4.24508E-3</v>
      </c>
      <c r="M36" s="327">
        <f t="shared" si="1"/>
        <v>3.113058666666666E-3</v>
      </c>
      <c r="N36" s="327">
        <f t="shared" si="2"/>
        <v>2.9075890410958901E-3</v>
      </c>
    </row>
    <row r="37" spans="2:14" s="27" customFormat="1" ht="12.75" customHeight="1" x14ac:dyDescent="0.35">
      <c r="B37" s="28"/>
      <c r="C37" s="410" t="str" cm="1">
        <f t="array" ref="C37">INDEX('List Values'!$B$2:$B$20,(1+ROUNDDOWN((ROW()-ROW($C$5))*1/6,2)))</f>
        <v>Intermediate in Polypropylene Manufacturing</v>
      </c>
      <c r="D37" s="411" t="s">
        <v>168</v>
      </c>
      <c r="E37" s="412" t="s">
        <v>72</v>
      </c>
      <c r="F37" s="273">
        <f>IF(E37="High-End",SUMIFS(Inhalation_Exp[24hr_High-End],Inhalation_Exp[OES],$C37,Inhalation_Exp[Worker Type],$D37),SUMIFS(Inhalation_Exp[24hr_Central Tendency],Inhalation_Exp[OES],$C37,Inhalation_Exp[Worker Type],$D37))</f>
        <v>2.5276769071453219E-3</v>
      </c>
      <c r="G37" s="273">
        <f>IF(E37="High-End",SUMIFS(Inhalation_Exp[Int_High-End],Inhalation_Exp[OES],$C37,Inhalation_Exp[Worker Type],$D37),SUMIFS(Inhalation_Exp[Int_Central Tendency],Inhalation_Exp[OES],$C37,Inhalation_Exp[Worker Type],$D37))</f>
        <v>1.8536297319065693E-3</v>
      </c>
      <c r="H37" s="273">
        <f>IF(E37="High-End",SUMIFS(Inhalation_Exp[ADD_High-End],Inhalation_Exp[OES],$C37,Inhalation_Exp[Worker Type],$D37),SUMIFS(Inhalation_Exp[ADD_Central Tendency],Inhalation_Exp[OES],$C37,Inhalation_Exp[Worker Type],$D37))</f>
        <v>1.7312855528392617E-3</v>
      </c>
      <c r="I37" s="327">
        <f>IF($E37="High-End",SUMIFS(Dermal_Exp[High-End AD (mg/kg-day)],Dermal_Exp[Worker Type],$D37,Dermal_Exp[OES],$C37),SUMIFS(Dermal_Exp[Central Tendency AD (mg/kg-day)],Dermal_Exp[Worker Type],$D37,Dermal_Exp[OES],$C37))</f>
        <v>6.8816016568864326E-3</v>
      </c>
      <c r="J37" s="327">
        <f>IF($E37="High-End",SUMIFS(Dermal_Exp[High-End IADD (mg/kg-day)],Dermal_Exp[Worker Type],$D37,Dermal_Exp[OES],$C37),SUMIFS(Dermal_Exp[Central Tendency IADD (mg/kg-day)],Dermal_Exp[Worker Type],$D37,Dermal_Exp[OES],$C37))</f>
        <v>5.0465078817167174E-3</v>
      </c>
      <c r="K37" s="327">
        <f>IF($E37="High-End",SUMIFS(Dermal_Exp[High-End ADD (mg/kg-day)],Dermal_Exp[Worker Type],$D37,Dermal_Exp[OES],$C37),SUMIFS(Dermal_Exp[Central Tendency ADD (mg/kg-day)],Dermal_Exp[Worker Type],$D37,Dermal_Exp[OES],$C37))</f>
        <v>4.713425792387968E-3</v>
      </c>
      <c r="L37" s="327">
        <f t="shared" ref="L37:L68" si="3">F37+I37</f>
        <v>9.4092785640317554E-3</v>
      </c>
      <c r="M37" s="327">
        <f t="shared" ref="M37:M68" si="4">G37+J37</f>
        <v>6.9001376136232865E-3</v>
      </c>
      <c r="N37" s="327">
        <f t="shared" ref="N37:N68" si="5">H37+K37</f>
        <v>6.4447113452272293E-3</v>
      </c>
    </row>
    <row r="38" spans="2:14" s="27" customFormat="1" ht="12.75" customHeight="1" x14ac:dyDescent="0.35">
      <c r="B38" s="28"/>
      <c r="C38" s="410" t="str" cm="1">
        <f t="array" ref="C38">INDEX('List Values'!$B$2:$B$20,(1+ROUNDDOWN((ROW()-ROW($C$5))*1/6,2)))</f>
        <v>Intermediate in Polypropylene Manufacturing</v>
      </c>
      <c r="D38" s="411" t="s">
        <v>168</v>
      </c>
      <c r="E38" s="412" t="s">
        <v>73</v>
      </c>
      <c r="F38" s="273">
        <f>IF(E38="High-End",SUMIFS(Inhalation_Exp[24hr_High-End],Inhalation_Exp[OES],$C38,Inhalation_Exp[Worker Type],$D38),SUMIFS(Inhalation_Exp[24hr_Central Tendency],Inhalation_Exp[OES],$C38,Inhalation_Exp[Worker Type],$D38))</f>
        <v>5.52383845357266E-4</v>
      </c>
      <c r="G38" s="273">
        <f>IF(E38="High-End",SUMIFS(Inhalation_Exp[Int_High-End],Inhalation_Exp[OES],$C38,Inhalation_Exp[Worker Type],$D38),SUMIFS(Inhalation_Exp[Int_Central Tendency],Inhalation_Exp[OES],$C38,Inhalation_Exp[Worker Type],$D38))</f>
        <v>4.0508148659532838E-4</v>
      </c>
      <c r="H38" s="273">
        <f>IF(E38="High-End",SUMIFS(Inhalation_Exp[ADD_High-End],Inhalation_Exp[OES],$C38,Inhalation_Exp[Worker Type],$D38),SUMIFS(Inhalation_Exp[ADD_Central Tendency],Inhalation_Exp[OES],$C38,Inhalation_Exp[Worker Type],$D38))</f>
        <v>3.7834509955977127E-4</v>
      </c>
      <c r="I38" s="327">
        <f>IF($E38="High-End",SUMIFS(Dermal_Exp[High-End AD (mg/kg-day)],Dermal_Exp[Worker Type],$D38,Dermal_Exp[OES],$C38),SUMIFS(Dermal_Exp[Central Tendency AD (mg/kg-day)],Dermal_Exp[Worker Type],$D38,Dermal_Exp[OES],$C38))</f>
        <v>3.4408008284432163E-3</v>
      </c>
      <c r="J38" s="327">
        <f>IF($E38="High-End",SUMIFS(Dermal_Exp[High-End IADD (mg/kg-day)],Dermal_Exp[Worker Type],$D38,Dermal_Exp[OES],$C38),SUMIFS(Dermal_Exp[Central Tendency IADD (mg/kg-day)],Dermal_Exp[Worker Type],$D38,Dermal_Exp[OES],$C38))</f>
        <v>2.5232539408583587E-3</v>
      </c>
      <c r="K38" s="327">
        <f>IF($E38="High-End",SUMIFS(Dermal_Exp[High-End ADD (mg/kg-day)],Dermal_Exp[Worker Type],$D38,Dermal_Exp[OES],$C38),SUMIFS(Dermal_Exp[Central Tendency ADD (mg/kg-day)],Dermal_Exp[Worker Type],$D38,Dermal_Exp[OES],$C38))</f>
        <v>2.3567128961939836E-3</v>
      </c>
      <c r="L38" s="327">
        <f t="shared" si="3"/>
        <v>3.9931846738004827E-3</v>
      </c>
      <c r="M38" s="327">
        <f t="shared" si="4"/>
        <v>2.9283354274536873E-3</v>
      </c>
      <c r="N38" s="327">
        <f t="shared" si="5"/>
        <v>2.735057995753755E-3</v>
      </c>
    </row>
    <row r="39" spans="2:14" s="27" customFormat="1" ht="12.75" customHeight="1" x14ac:dyDescent="0.35">
      <c r="B39" s="28"/>
      <c r="C39" s="410" t="str" cm="1">
        <f t="array" ref="C39">INDEX('List Values'!$B$2:$B$20,(1+ROUNDDOWN((ROW()-ROW($C$5))*1/6,2)))</f>
        <v>Intermediate in Polypropylene Manufacturing</v>
      </c>
      <c r="D39" s="411" t="s">
        <v>74</v>
      </c>
      <c r="E39" s="412" t="s">
        <v>72</v>
      </c>
      <c r="F39" s="273">
        <f>IF(E39="High-End",SUMIFS(Inhalation_Exp[24hr_High-End],Inhalation_Exp[OES],$C39,Inhalation_Exp[Worker Type],$D39),SUMIFS(Inhalation_Exp[24hr_Central Tendency],Inhalation_Exp[OES],$C39,Inhalation_Exp[Worker Type],$D39))</f>
        <v>5.0007999999999997E-4</v>
      </c>
      <c r="G39" s="273">
        <f>IF(E39="High-End",SUMIFS(Inhalation_Exp[Int_High-End],Inhalation_Exp[OES],$C39,Inhalation_Exp[Worker Type],$D39),SUMIFS(Inhalation_Exp[Int_Central Tendency],Inhalation_Exp[OES],$C39,Inhalation_Exp[Worker Type],$D39))</f>
        <v>3.667253333333333E-4</v>
      </c>
      <c r="H39" s="273">
        <f>IF(E39="High-End",SUMIFS(Inhalation_Exp[ADD_High-End],Inhalation_Exp[OES],$C39,Inhalation_Exp[Worker Type],$D39),SUMIFS(Inhalation_Exp[ADD_Central Tendency],Inhalation_Exp[OES],$C39,Inhalation_Exp[Worker Type],$D39))</f>
        <v>3.4252054794520545E-4</v>
      </c>
      <c r="I39" s="327">
        <f>IF($E39="High-End",SUMIFS(Dermal_Exp[High-End AD (mg/kg-day)],Dermal_Exp[Worker Type],$D39,Dermal_Exp[OES],$C39),SUMIFS(Dermal_Exp[Central Tendency AD (mg/kg-day)],Dermal_Exp[Worker Type],$D39,Dermal_Exp[OES],$C39))</f>
        <v>3.7449999999999996E-3</v>
      </c>
      <c r="J39" s="327">
        <f>IF($E39="High-End",SUMIFS(Dermal_Exp[High-End IADD (mg/kg-day)],Dermal_Exp[Worker Type],$D39,Dermal_Exp[OES],$C39),SUMIFS(Dermal_Exp[Central Tendency IADD (mg/kg-day)],Dermal_Exp[Worker Type],$D39,Dermal_Exp[OES],$C39))</f>
        <v>2.7463333333333328E-3</v>
      </c>
      <c r="K39" s="327">
        <f>IF($E39="High-End",SUMIFS(Dermal_Exp[High-End ADD (mg/kg-day)],Dermal_Exp[Worker Type],$D39,Dermal_Exp[OES],$C39),SUMIFS(Dermal_Exp[Central Tendency ADD (mg/kg-day)],Dermal_Exp[Worker Type],$D39,Dermal_Exp[OES],$C39))</f>
        <v>2.5650684931506846E-3</v>
      </c>
      <c r="L39" s="327">
        <f t="shared" si="3"/>
        <v>4.24508E-3</v>
      </c>
      <c r="M39" s="327">
        <f t="shared" si="4"/>
        <v>3.113058666666666E-3</v>
      </c>
      <c r="N39" s="327">
        <f t="shared" si="5"/>
        <v>2.9075890410958901E-3</v>
      </c>
    </row>
    <row r="40" spans="2:14" s="27" customFormat="1" ht="12.75" customHeight="1" x14ac:dyDescent="0.35">
      <c r="B40" s="28"/>
      <c r="C40" s="410" t="str" cm="1">
        <f t="array" ref="C40">INDEX('List Values'!$B$2:$B$20,(1+ROUNDDOWN((ROW()-ROW($C$5))*1/6,2)))</f>
        <v>Intermediate in Polypropylene Manufacturing</v>
      </c>
      <c r="D40" s="411" t="s">
        <v>74</v>
      </c>
      <c r="E40" s="412" t="s">
        <v>73</v>
      </c>
      <c r="F40" s="273">
        <f>IF(E40="High-End",SUMIFS(Inhalation_Exp[24hr_High-End],Inhalation_Exp[OES],$C40,Inhalation_Exp[Worker Type],$D40),SUMIFS(Inhalation_Exp[24hr_Central Tendency],Inhalation_Exp[OES],$C40,Inhalation_Exp[Worker Type],$D40))</f>
        <v>5.0007999999999997E-4</v>
      </c>
      <c r="G40" s="273">
        <f>IF(E40="High-End",SUMIFS(Inhalation_Exp[Int_High-End],Inhalation_Exp[OES],$C40,Inhalation_Exp[Worker Type],$D40),SUMIFS(Inhalation_Exp[Int_Central Tendency],Inhalation_Exp[OES],$C40,Inhalation_Exp[Worker Type],$D40))</f>
        <v>3.667253333333333E-4</v>
      </c>
      <c r="H40" s="273">
        <f>IF(E40="High-End",SUMIFS(Inhalation_Exp[ADD_High-End],Inhalation_Exp[OES],$C40,Inhalation_Exp[Worker Type],$D40),SUMIFS(Inhalation_Exp[ADD_Central Tendency],Inhalation_Exp[OES],$C40,Inhalation_Exp[Worker Type],$D40))</f>
        <v>3.4252054794520545E-4</v>
      </c>
      <c r="I40" s="327">
        <f>IF($E40="High-End",SUMIFS(Dermal_Exp[High-End AD (mg/kg-day)],Dermal_Exp[Worker Type],$D40,Dermal_Exp[OES],$C40),SUMIFS(Dermal_Exp[Central Tendency AD (mg/kg-day)],Dermal_Exp[Worker Type],$D40,Dermal_Exp[OES],$C40))</f>
        <v>1.8724999999999998E-3</v>
      </c>
      <c r="J40" s="327">
        <f>IF($E40="High-End",SUMIFS(Dermal_Exp[High-End IADD (mg/kg-day)],Dermal_Exp[Worker Type],$D40,Dermal_Exp[OES],$C40),SUMIFS(Dermal_Exp[Central Tendency IADD (mg/kg-day)],Dermal_Exp[Worker Type],$D40,Dermal_Exp[OES],$C40))</f>
        <v>1.3731666666666664E-3</v>
      </c>
      <c r="K40" s="327">
        <f>IF($E40="High-End",SUMIFS(Dermal_Exp[High-End ADD (mg/kg-day)],Dermal_Exp[Worker Type],$D40,Dermal_Exp[OES],$C40),SUMIFS(Dermal_Exp[Central Tendency ADD (mg/kg-day)],Dermal_Exp[Worker Type],$D40,Dermal_Exp[OES],$C40))</f>
        <v>1.2825342465753423E-3</v>
      </c>
      <c r="L40" s="327">
        <f t="shared" si="3"/>
        <v>2.37258E-3</v>
      </c>
      <c r="M40" s="327">
        <f t="shared" si="4"/>
        <v>1.7398919999999998E-3</v>
      </c>
      <c r="N40" s="327">
        <f t="shared" si="5"/>
        <v>1.6250547945205478E-3</v>
      </c>
    </row>
    <row r="41" spans="2:14" s="27" customFormat="1" ht="12.75" customHeight="1" x14ac:dyDescent="0.35">
      <c r="B41" s="28"/>
      <c r="C41" s="410" t="str" cm="1">
        <f t="array" ref="C41">INDEX('List Values'!$B$2:$B$20,(1+ROUNDDOWN((ROW()-ROW($C$5))*1/6,2)))</f>
        <v>Plastic Compounding</v>
      </c>
      <c r="D41" s="411" t="s">
        <v>57</v>
      </c>
      <c r="E41" s="412" t="s">
        <v>72</v>
      </c>
      <c r="F41" s="273">
        <f>IF(E41="High-End",SUMIFS(Inhalation_Exp[24hr_High-End],Inhalation_Exp[OES],$C41,Inhalation_Exp[Worker Type],$D41),SUMIFS(Inhalation_Exp[24hr_Central Tendency],Inhalation_Exp[OES],$C41,Inhalation_Exp[Worker Type],$D41))</f>
        <v>2.6250000000000002E-3</v>
      </c>
      <c r="G41" s="273">
        <f>IF(E41="High-End",SUMIFS(Inhalation_Exp[Int_High-End],Inhalation_Exp[OES],$C41,Inhalation_Exp[Worker Type],$D41),SUMIFS(Inhalation_Exp[Int_Central Tendency],Inhalation_Exp[OES],$C41,Inhalation_Exp[Worker Type],$D41))</f>
        <v>1.9250000000000001E-3</v>
      </c>
      <c r="H41" s="273">
        <f>IF(E41="High-End",SUMIFS(Inhalation_Exp[ADD_High-End],Inhalation_Exp[OES],$C41,Inhalation_Exp[Worker Type],$D41),SUMIFS(Inhalation_Exp[ADD_Central Tendency],Inhalation_Exp[OES],$C41,Inhalation_Exp[Worker Type],$D41))</f>
        <v>1.797945205479452E-3</v>
      </c>
      <c r="I41" s="327">
        <f>IF($E41="High-End",SUMIFS(Dermal_Exp[High-End AD (mg/kg-day)],Dermal_Exp[Worker Type],$D41,Dermal_Exp[OES],$C41),SUMIFS(Dermal_Exp[Central Tendency AD (mg/kg-day)],Dermal_Exp[Worker Type],$D41,Dermal_Exp[OES],$C41))</f>
        <v>7.4899999999999993E-3</v>
      </c>
      <c r="J41" s="327">
        <f>IF($E41="High-End",SUMIFS(Dermal_Exp[High-End IADD (mg/kg-day)],Dermal_Exp[Worker Type],$D41,Dermal_Exp[OES],$C41),SUMIFS(Dermal_Exp[Central Tendency IADD (mg/kg-day)],Dermal_Exp[Worker Type],$D41,Dermal_Exp[OES],$C41))</f>
        <v>5.4926666666666657E-3</v>
      </c>
      <c r="K41" s="327">
        <f>IF($E41="High-End",SUMIFS(Dermal_Exp[High-End ADD (mg/kg-day)],Dermal_Exp[Worker Type],$D41,Dermal_Exp[OES],$C41),SUMIFS(Dermal_Exp[Central Tendency ADD (mg/kg-day)],Dermal_Exp[Worker Type],$D41,Dermal_Exp[OES],$C41))</f>
        <v>5.1301369863013691E-3</v>
      </c>
      <c r="L41" s="327">
        <f t="shared" si="3"/>
        <v>1.0114999999999999E-2</v>
      </c>
      <c r="M41" s="327">
        <f t="shared" si="4"/>
        <v>7.4176666666666662E-3</v>
      </c>
      <c r="N41" s="327">
        <f t="shared" si="5"/>
        <v>6.9280821917808207E-3</v>
      </c>
    </row>
    <row r="42" spans="2:14" s="27" customFormat="1" ht="12.75" customHeight="1" x14ac:dyDescent="0.35">
      <c r="B42" s="28"/>
      <c r="C42" s="410" t="str" cm="1">
        <f t="array" ref="C42">INDEX('List Values'!$B$2:$B$20,(1+ROUNDDOWN((ROW()-ROW($C$5))*1/6,2)))</f>
        <v>Plastic Compounding</v>
      </c>
      <c r="D42" s="411" t="s">
        <v>57</v>
      </c>
      <c r="E42" s="412" t="s">
        <v>73</v>
      </c>
      <c r="F42" s="273">
        <f>IF(E42="High-End",SUMIFS(Inhalation_Exp[24hr_High-End],Inhalation_Exp[OES],$C42,Inhalation_Exp[Worker Type],$D42),SUMIFS(Inhalation_Exp[24hr_Central Tendency],Inhalation_Exp[OES],$C42,Inhalation_Exp[Worker Type],$D42))</f>
        <v>5.2424999999999998E-4</v>
      </c>
      <c r="G42" s="273">
        <f>IF(E42="High-End",SUMIFS(Inhalation_Exp[Int_High-End],Inhalation_Exp[OES],$C42,Inhalation_Exp[Worker Type],$D42),SUMIFS(Inhalation_Exp[Int_Central Tendency],Inhalation_Exp[OES],$C42,Inhalation_Exp[Worker Type],$D42))</f>
        <v>3.8444999999999994E-4</v>
      </c>
      <c r="H42" s="273">
        <f>IF(E42="High-End",SUMIFS(Inhalation_Exp[ADD_High-End],Inhalation_Exp[OES],$C42,Inhalation_Exp[Worker Type],$D42),SUMIFS(Inhalation_Exp[ADD_Central Tendency],Inhalation_Exp[OES],$C42,Inhalation_Exp[Worker Type],$D42))</f>
        <v>3.2029520547945198E-4</v>
      </c>
      <c r="I42" s="327">
        <f>IF($E42="High-End",SUMIFS(Dermal_Exp[High-End AD (mg/kg-day)],Dermal_Exp[Worker Type],$D42,Dermal_Exp[OES],$C42),SUMIFS(Dermal_Exp[Central Tendency AD (mg/kg-day)],Dermal_Exp[Worker Type],$D42,Dermal_Exp[OES],$C42))</f>
        <v>3.7449999999999996E-3</v>
      </c>
      <c r="J42" s="327">
        <f>IF($E42="High-End",SUMIFS(Dermal_Exp[High-End IADD (mg/kg-day)],Dermal_Exp[Worker Type],$D42,Dermal_Exp[OES],$C42),SUMIFS(Dermal_Exp[Central Tendency IADD (mg/kg-day)],Dermal_Exp[Worker Type],$D42,Dermal_Exp[OES],$C42))</f>
        <v>2.7463333333333328E-3</v>
      </c>
      <c r="K42" s="327">
        <f>IF($E42="High-End",SUMIFS(Dermal_Exp[High-End ADD (mg/kg-day)],Dermal_Exp[Worker Type],$D42,Dermal_Exp[OES],$C42),SUMIFS(Dermal_Exp[Central Tendency ADD (mg/kg-day)],Dermal_Exp[Worker Type],$D42,Dermal_Exp[OES],$C42))</f>
        <v>2.2880410958904108E-3</v>
      </c>
      <c r="L42" s="327">
        <f t="shared" si="3"/>
        <v>4.2692499999999996E-3</v>
      </c>
      <c r="M42" s="327">
        <f t="shared" si="4"/>
        <v>3.130783333333333E-3</v>
      </c>
      <c r="N42" s="327">
        <f t="shared" si="5"/>
        <v>2.6083363013698628E-3</v>
      </c>
    </row>
    <row r="43" spans="2:14" s="27" customFormat="1" ht="12.75" customHeight="1" x14ac:dyDescent="0.35">
      <c r="B43" s="28"/>
      <c r="C43" s="410" t="str" cm="1">
        <f t="array" ref="C43">INDEX('List Values'!$B$2:$B$20,(1+ROUNDDOWN((ROW()-ROW($C$5))*1/6,2)))</f>
        <v>Plastic Compounding</v>
      </c>
      <c r="D43" s="411" t="s">
        <v>168</v>
      </c>
      <c r="E43" s="412" t="s">
        <v>72</v>
      </c>
      <c r="F43" s="273">
        <f>IF(E43="High-End",SUMIFS(Inhalation_Exp[24hr_High-End],Inhalation_Exp[OES],$C43,Inhalation_Exp[Worker Type],$D43),SUMIFS(Inhalation_Exp[24hr_Central Tendency],Inhalation_Exp[OES],$C43,Inhalation_Exp[Worker Type],$D43))</f>
        <v>2.8995512599240591E-3</v>
      </c>
      <c r="G43" s="273">
        <f>IF(E43="High-End",SUMIFS(Inhalation_Exp[Int_High-End],Inhalation_Exp[OES],$C43,Inhalation_Exp[Worker Type],$D43),SUMIFS(Inhalation_Exp[Int_Central Tendency],Inhalation_Exp[OES],$C43,Inhalation_Exp[Worker Type],$D43))</f>
        <v>2.1263375906109766E-3</v>
      </c>
      <c r="H43" s="273">
        <f>IF(E43="High-End",SUMIFS(Inhalation_Exp[ADD_High-End],Inhalation_Exp[OES],$C43,Inhalation_Exp[Worker Type],$D43),SUMIFS(Inhalation_Exp[ADD_Central Tendency],Inhalation_Exp[OES],$C43,Inhalation_Exp[Worker Type],$D43))</f>
        <v>1.985994013646616E-3</v>
      </c>
      <c r="I43" s="327">
        <f>IF($E43="High-End",SUMIFS(Dermal_Exp[High-End AD (mg/kg-day)],Dermal_Exp[Worker Type],$D43,Dermal_Exp[OES],$C43),SUMIFS(Dermal_Exp[Central Tendency AD (mg/kg-day)],Dermal_Exp[Worker Type],$D43,Dermal_Exp[OES],$C43))</f>
        <v>6.8816016568864326E-3</v>
      </c>
      <c r="J43" s="327">
        <f>IF($E43="High-End",SUMIFS(Dermal_Exp[High-End IADD (mg/kg-day)],Dermal_Exp[Worker Type],$D43,Dermal_Exp[OES],$C43),SUMIFS(Dermal_Exp[Central Tendency IADD (mg/kg-day)],Dermal_Exp[Worker Type],$D43,Dermal_Exp[OES],$C43))</f>
        <v>5.0465078817167174E-3</v>
      </c>
      <c r="K43" s="327">
        <f>IF($E43="High-End",SUMIFS(Dermal_Exp[High-End ADD (mg/kg-day)],Dermal_Exp[Worker Type],$D43,Dermal_Exp[OES],$C43),SUMIFS(Dermal_Exp[Central Tendency ADD (mg/kg-day)],Dermal_Exp[Worker Type],$D43,Dermal_Exp[OES],$C43))</f>
        <v>4.713425792387968E-3</v>
      </c>
      <c r="L43" s="327">
        <f t="shared" si="3"/>
        <v>9.7811529168104917E-3</v>
      </c>
      <c r="M43" s="327">
        <f t="shared" si="4"/>
        <v>7.1728454723276941E-3</v>
      </c>
      <c r="N43" s="327">
        <f t="shared" si="5"/>
        <v>6.6994198060345844E-3</v>
      </c>
    </row>
    <row r="44" spans="2:14" s="27" customFormat="1" ht="12.75" customHeight="1" x14ac:dyDescent="0.35">
      <c r="B44" s="28"/>
      <c r="C44" s="410" t="str" cm="1">
        <f t="array" ref="C44">INDEX('List Values'!$B$2:$B$20,(1+ROUNDDOWN((ROW()-ROW($C$5))*1/6,2)))</f>
        <v>Plastic Compounding</v>
      </c>
      <c r="D44" s="411" t="s">
        <v>168</v>
      </c>
      <c r="E44" s="412" t="s">
        <v>73</v>
      </c>
      <c r="F44" s="273">
        <f>IF(E44="High-End",SUMIFS(Inhalation_Exp[24hr_High-End],Inhalation_Exp[OES],$C44,Inhalation_Exp[Worker Type],$D44),SUMIFS(Inhalation_Exp[24hr_Central Tendency],Inhalation_Exp[OES],$C44,Inhalation_Exp[Worker Type],$D44))</f>
        <v>5.7908180876769058E-4</v>
      </c>
      <c r="G44" s="273">
        <f>IF(E44="High-End",SUMIFS(Inhalation_Exp[Int_High-End],Inhalation_Exp[OES],$C44,Inhalation_Exp[Worker Type],$D44),SUMIFS(Inhalation_Exp[Int_Central Tendency],Inhalation_Exp[OES],$C44,Inhalation_Exp[Worker Type],$D44))</f>
        <v>4.2465999309630644E-4</v>
      </c>
      <c r="H44" s="273">
        <f>IF(E44="High-End",SUMIFS(Inhalation_Exp[ADD_High-End],Inhalation_Exp[OES],$C44,Inhalation_Exp[Worker Type],$D44),SUMIFS(Inhalation_Exp[ADD_Central Tendency],Inhalation_Exp[OES],$C44,Inhalation_Exp[Worker Type],$D44))</f>
        <v>3.5379518727450678E-4</v>
      </c>
      <c r="I44" s="327">
        <f>IF($E44="High-End",SUMIFS(Dermal_Exp[High-End AD (mg/kg-day)],Dermal_Exp[Worker Type],$D44,Dermal_Exp[OES],$C44),SUMIFS(Dermal_Exp[Central Tendency AD (mg/kg-day)],Dermal_Exp[Worker Type],$D44,Dermal_Exp[OES],$C44))</f>
        <v>3.4408008284432163E-3</v>
      </c>
      <c r="J44" s="327">
        <f>IF($E44="High-End",SUMIFS(Dermal_Exp[High-End IADD (mg/kg-day)],Dermal_Exp[Worker Type],$D44,Dermal_Exp[OES],$C44),SUMIFS(Dermal_Exp[Central Tendency IADD (mg/kg-day)],Dermal_Exp[Worker Type],$D44,Dermal_Exp[OES],$C44))</f>
        <v>2.5232539408583587E-3</v>
      </c>
      <c r="K44" s="327">
        <f>IF($E44="High-End",SUMIFS(Dermal_Exp[High-End ADD (mg/kg-day)],Dermal_Exp[Worker Type],$D44,Dermal_Exp[OES],$C44),SUMIFS(Dermal_Exp[Central Tendency ADD (mg/kg-day)],Dermal_Exp[Worker Type],$D44,Dermal_Exp[OES],$C44))</f>
        <v>2.1021879034050337E-3</v>
      </c>
      <c r="L44" s="327">
        <f t="shared" si="3"/>
        <v>4.0198826372109071E-3</v>
      </c>
      <c r="M44" s="327">
        <f t="shared" si="4"/>
        <v>2.9479139339546653E-3</v>
      </c>
      <c r="N44" s="327">
        <f t="shared" si="5"/>
        <v>2.4559830906795404E-3</v>
      </c>
    </row>
    <row r="45" spans="2:14" s="27" customFormat="1" ht="12.75" customHeight="1" x14ac:dyDescent="0.35">
      <c r="B45" s="28"/>
      <c r="C45" s="410" t="str" cm="1">
        <f t="array" ref="C45">INDEX('List Values'!$B$2:$B$20,(1+ROUNDDOWN((ROW()-ROW($C$5))*1/6,2)))</f>
        <v>Plastic Compounding</v>
      </c>
      <c r="D45" s="411" t="s">
        <v>74</v>
      </c>
      <c r="E45" s="412" t="s">
        <v>72</v>
      </c>
      <c r="F45" s="273">
        <f>IF(E45="High-End",SUMIFS(Inhalation_Exp[24hr_High-End],Inhalation_Exp[OES],$C45,Inhalation_Exp[Worker Type],$D45),SUMIFS(Inhalation_Exp[24hr_Central Tendency],Inhalation_Exp[OES],$C45,Inhalation_Exp[Worker Type],$D45))</f>
        <v>5.2424999999999998E-4</v>
      </c>
      <c r="G45" s="273">
        <f>IF(E45="High-End",SUMIFS(Inhalation_Exp[Int_High-End],Inhalation_Exp[OES],$C45,Inhalation_Exp[Worker Type],$D45),SUMIFS(Inhalation_Exp[Int_Central Tendency],Inhalation_Exp[OES],$C45,Inhalation_Exp[Worker Type],$D45))</f>
        <v>3.8444999999999994E-4</v>
      </c>
      <c r="H45" s="273">
        <f>IF(E45="High-End",SUMIFS(Inhalation_Exp[ADD_High-End],Inhalation_Exp[OES],$C45,Inhalation_Exp[Worker Type],$D45),SUMIFS(Inhalation_Exp[ADD_Central Tendency],Inhalation_Exp[OES],$C45,Inhalation_Exp[Worker Type],$D45))</f>
        <v>3.5907534246575339E-4</v>
      </c>
      <c r="I45" s="327">
        <f>IF($E45="High-End",SUMIFS(Dermal_Exp[High-End AD (mg/kg-day)],Dermal_Exp[Worker Type],$D45,Dermal_Exp[OES],$C45),SUMIFS(Dermal_Exp[Central Tendency AD (mg/kg-day)],Dermal_Exp[Worker Type],$D45,Dermal_Exp[OES],$C45))</f>
        <v>3.7449999999999996E-3</v>
      </c>
      <c r="J45" s="327">
        <f>IF($E45="High-End",SUMIFS(Dermal_Exp[High-End IADD (mg/kg-day)],Dermal_Exp[Worker Type],$D45,Dermal_Exp[OES],$C45),SUMIFS(Dermal_Exp[Central Tendency IADD (mg/kg-day)],Dermal_Exp[Worker Type],$D45,Dermal_Exp[OES],$C45))</f>
        <v>2.7463333333333328E-3</v>
      </c>
      <c r="K45" s="327">
        <f>IF($E45="High-End",SUMIFS(Dermal_Exp[High-End ADD (mg/kg-day)],Dermal_Exp[Worker Type],$D45,Dermal_Exp[OES],$C45),SUMIFS(Dermal_Exp[Central Tendency ADD (mg/kg-day)],Dermal_Exp[Worker Type],$D45,Dermal_Exp[OES],$C45))</f>
        <v>2.5650684931506846E-3</v>
      </c>
      <c r="L45" s="327">
        <f t="shared" si="3"/>
        <v>4.2692499999999996E-3</v>
      </c>
      <c r="M45" s="327">
        <f t="shared" si="4"/>
        <v>3.130783333333333E-3</v>
      </c>
      <c r="N45" s="327">
        <f t="shared" si="5"/>
        <v>2.9241438356164377E-3</v>
      </c>
    </row>
    <row r="46" spans="2:14" s="27" customFormat="1" ht="12.75" customHeight="1" x14ac:dyDescent="0.35">
      <c r="B46" s="28"/>
      <c r="C46" s="410" t="str" cm="1">
        <f t="array" ref="C46">INDEX('List Values'!$B$2:$B$20,(1+ROUNDDOWN((ROW()-ROW($C$5))*1/6,2)))</f>
        <v>Plastic Compounding</v>
      </c>
      <c r="D46" s="411" t="s">
        <v>74</v>
      </c>
      <c r="E46" s="412" t="s">
        <v>73</v>
      </c>
      <c r="F46" s="273">
        <f>IF(E46="High-End",SUMIFS(Inhalation_Exp[24hr_High-End],Inhalation_Exp[OES],$C46,Inhalation_Exp[Worker Type],$D46),SUMIFS(Inhalation_Exp[24hr_Central Tendency],Inhalation_Exp[OES],$C46,Inhalation_Exp[Worker Type],$D46))</f>
        <v>5.2424999999999998E-4</v>
      </c>
      <c r="G46" s="273">
        <f>IF(E46="High-End",SUMIFS(Inhalation_Exp[Int_High-End],Inhalation_Exp[OES],$C46,Inhalation_Exp[Worker Type],$D46),SUMIFS(Inhalation_Exp[Int_Central Tendency],Inhalation_Exp[OES],$C46,Inhalation_Exp[Worker Type],$D46))</f>
        <v>3.8444999999999994E-4</v>
      </c>
      <c r="H46" s="273">
        <f>IF(E46="High-End",SUMIFS(Inhalation_Exp[ADD_High-End],Inhalation_Exp[OES],$C46,Inhalation_Exp[Worker Type],$D46),SUMIFS(Inhalation_Exp[ADD_Central Tendency],Inhalation_Exp[OES],$C46,Inhalation_Exp[Worker Type],$D46))</f>
        <v>3.2029520547945198E-4</v>
      </c>
      <c r="I46" s="327">
        <f>IF($E46="High-End",SUMIFS(Dermal_Exp[High-End AD (mg/kg-day)],Dermal_Exp[Worker Type],$D46,Dermal_Exp[OES],$C46),SUMIFS(Dermal_Exp[Central Tendency AD (mg/kg-day)],Dermal_Exp[Worker Type],$D46,Dermal_Exp[OES],$C46))</f>
        <v>1.8724999999999998E-3</v>
      </c>
      <c r="J46" s="327">
        <f>IF($E46="High-End",SUMIFS(Dermal_Exp[High-End IADD (mg/kg-day)],Dermal_Exp[Worker Type],$D46,Dermal_Exp[OES],$C46),SUMIFS(Dermal_Exp[Central Tendency IADD (mg/kg-day)],Dermal_Exp[Worker Type],$D46,Dermal_Exp[OES],$C46))</f>
        <v>1.3731666666666664E-3</v>
      </c>
      <c r="K46" s="327">
        <f>IF($E46="High-End",SUMIFS(Dermal_Exp[High-End ADD (mg/kg-day)],Dermal_Exp[Worker Type],$D46,Dermal_Exp[OES],$C46),SUMIFS(Dermal_Exp[Central Tendency ADD (mg/kg-day)],Dermal_Exp[Worker Type],$D46,Dermal_Exp[OES],$C46))</f>
        <v>1.1440205479452054E-3</v>
      </c>
      <c r="L46" s="327">
        <f t="shared" si="3"/>
        <v>2.3967499999999996E-3</v>
      </c>
      <c r="M46" s="327">
        <f t="shared" si="4"/>
        <v>1.7576166666666664E-3</v>
      </c>
      <c r="N46" s="327">
        <f t="shared" si="5"/>
        <v>1.4643157534246574E-3</v>
      </c>
    </row>
    <row r="47" spans="2:14" s="27" customFormat="1" ht="12.75" customHeight="1" x14ac:dyDescent="0.35">
      <c r="B47" s="28"/>
      <c r="C47" s="410" t="str" cm="1">
        <f t="array" ref="C47">INDEX('List Values'!$B$2:$B$20,(1+ROUNDDOWN((ROW()-ROW($C$5))*1/6,2)))</f>
        <v>Plastics Converting</v>
      </c>
      <c r="D47" s="411" t="s">
        <v>57</v>
      </c>
      <c r="E47" s="412" t="s">
        <v>72</v>
      </c>
      <c r="F47" s="273">
        <f>IF(E47="High-End",SUMIFS(Inhalation_Exp[24hr_High-End],Inhalation_Exp[OES],$C47,Inhalation_Exp[Worker Type],$D47),SUMIFS(Inhalation_Exp[24hr_Central Tendency],Inhalation_Exp[OES],$C47,Inhalation_Exp[Worker Type],$D47))</f>
        <v>4.6037499999999995E-2</v>
      </c>
      <c r="G47" s="273">
        <f>IF(E47="High-End",SUMIFS(Inhalation_Exp[Int_High-End],Inhalation_Exp[OES],$C47,Inhalation_Exp[Worker Type],$D47),SUMIFS(Inhalation_Exp[Int_Central Tendency],Inhalation_Exp[OES],$C47,Inhalation_Exp[Worker Type],$D47))</f>
        <v>3.376083333333333E-2</v>
      </c>
      <c r="H47" s="273">
        <f>IF(E47="High-End",SUMIFS(Inhalation_Exp[ADD_High-End],Inhalation_Exp[OES],$C47,Inhalation_Exp[Worker Type],$D47),SUMIFS(Inhalation_Exp[ADD_Central Tendency],Inhalation_Exp[OES],$C47,Inhalation_Exp[Worker Type],$D47))</f>
        <v>3.1532534246575337E-2</v>
      </c>
      <c r="I47" s="327">
        <f>IF($E47="High-End",SUMIFS(Dermal_Exp[High-End AD (mg/kg-day)],Dermal_Exp[Worker Type],$D47,Dermal_Exp[OES],$C47),SUMIFS(Dermal_Exp[Central Tendency AD (mg/kg-day)],Dermal_Exp[Worker Type],$D47,Dermal_Exp[OES],$C47))</f>
        <v>7.4899999999999993E-3</v>
      </c>
      <c r="J47" s="327">
        <f>IF($E47="High-End",SUMIFS(Dermal_Exp[High-End IADD (mg/kg-day)],Dermal_Exp[Worker Type],$D47,Dermal_Exp[OES],$C47),SUMIFS(Dermal_Exp[Central Tendency IADD (mg/kg-day)],Dermal_Exp[Worker Type],$D47,Dermal_Exp[OES],$C47))</f>
        <v>5.4926666666666657E-3</v>
      </c>
      <c r="K47" s="327">
        <f>IF($E47="High-End",SUMIFS(Dermal_Exp[High-End ADD (mg/kg-day)],Dermal_Exp[Worker Type],$D47,Dermal_Exp[OES],$C47),SUMIFS(Dermal_Exp[Central Tendency ADD (mg/kg-day)],Dermal_Exp[Worker Type],$D47,Dermal_Exp[OES],$C47))</f>
        <v>5.1301369863013691E-3</v>
      </c>
      <c r="L47" s="327">
        <f t="shared" si="3"/>
        <v>5.3527499999999992E-2</v>
      </c>
      <c r="M47" s="327">
        <f t="shared" si="4"/>
        <v>3.9253499999999997E-2</v>
      </c>
      <c r="N47" s="327">
        <f t="shared" si="5"/>
        <v>3.6662671232876705E-2</v>
      </c>
    </row>
    <row r="48" spans="2:14" s="27" customFormat="1" ht="12.75" customHeight="1" x14ac:dyDescent="0.35">
      <c r="B48" s="28"/>
      <c r="C48" s="410" t="str" cm="1">
        <f t="array" ref="C48">INDEX('List Values'!$B$2:$B$20,(1+ROUNDDOWN((ROW()-ROW($C$5))*1/6,2)))</f>
        <v>Plastics Converting</v>
      </c>
      <c r="D48" s="411" t="s">
        <v>57</v>
      </c>
      <c r="E48" s="412" t="s">
        <v>73</v>
      </c>
      <c r="F48" s="273">
        <f>IF(E48="High-End",SUMIFS(Inhalation_Exp[24hr_High-End],Inhalation_Exp[OES],$C48,Inhalation_Exp[Worker Type],$D48),SUMIFS(Inhalation_Exp[24hr_Central Tendency],Inhalation_Exp[OES],$C48,Inhalation_Exp[Worker Type],$D48))</f>
        <v>2.6250000000000002E-3</v>
      </c>
      <c r="G48" s="273">
        <f>IF(E48="High-End",SUMIFS(Inhalation_Exp[Int_High-End],Inhalation_Exp[OES],$C48,Inhalation_Exp[Worker Type],$D48),SUMIFS(Inhalation_Exp[Int_Central Tendency],Inhalation_Exp[OES],$C48,Inhalation_Exp[Worker Type],$D48))</f>
        <v>1.9250000000000001E-3</v>
      </c>
      <c r="H48" s="273">
        <f>IF(E48="High-End",SUMIFS(Inhalation_Exp[ADD_High-End],Inhalation_Exp[OES],$C48,Inhalation_Exp[Worker Type],$D48),SUMIFS(Inhalation_Exp[ADD_Central Tendency],Inhalation_Exp[OES],$C48,Inhalation_Exp[Worker Type],$D48))</f>
        <v>1.5750000000000002E-3</v>
      </c>
      <c r="I48" s="327">
        <f>IF($E48="High-End",SUMIFS(Dermal_Exp[High-End AD (mg/kg-day)],Dermal_Exp[Worker Type],$D48,Dermal_Exp[OES],$C48),SUMIFS(Dermal_Exp[Central Tendency AD (mg/kg-day)],Dermal_Exp[Worker Type],$D48,Dermal_Exp[OES],$C48))</f>
        <v>3.7449999999999996E-3</v>
      </c>
      <c r="J48" s="327">
        <f>IF($E48="High-End",SUMIFS(Dermal_Exp[High-End IADD (mg/kg-day)],Dermal_Exp[Worker Type],$D48,Dermal_Exp[OES],$C48),SUMIFS(Dermal_Exp[Central Tendency IADD (mg/kg-day)],Dermal_Exp[Worker Type],$D48,Dermal_Exp[OES],$C48))</f>
        <v>2.7463333333333328E-3</v>
      </c>
      <c r="K48" s="327">
        <f>IF($E48="High-End",SUMIFS(Dermal_Exp[High-End ADD (mg/kg-day)],Dermal_Exp[Worker Type],$D48,Dermal_Exp[OES],$C48),SUMIFS(Dermal_Exp[Central Tendency ADD (mg/kg-day)],Dermal_Exp[Worker Type],$D48,Dermal_Exp[OES],$C48))</f>
        <v>2.2469999999999999E-3</v>
      </c>
      <c r="L48" s="327">
        <f t="shared" si="3"/>
        <v>6.3699999999999998E-3</v>
      </c>
      <c r="M48" s="327">
        <f t="shared" si="4"/>
        <v>4.6713333333333329E-3</v>
      </c>
      <c r="N48" s="327">
        <f t="shared" si="5"/>
        <v>3.8219999999999999E-3</v>
      </c>
    </row>
    <row r="49" spans="2:14" s="27" customFormat="1" x14ac:dyDescent="0.35">
      <c r="B49" s="28"/>
      <c r="C49" s="410" t="str" cm="1">
        <f t="array" ref="C49">INDEX('List Values'!$B$2:$B$20,(1+ROUNDDOWN((ROW()-ROW($C$5))*1/6,2)))</f>
        <v>Plastics Converting</v>
      </c>
      <c r="D49" s="411" t="s">
        <v>168</v>
      </c>
      <c r="E49" s="412" t="s">
        <v>72</v>
      </c>
      <c r="F49" s="273">
        <f>IF(E49="High-End",SUMIFS(Inhalation_Exp[24hr_High-End],Inhalation_Exp[OES],$C49,Inhalation_Exp[Worker Type],$D49),SUMIFS(Inhalation_Exp[24hr_Central Tendency],Inhalation_Exp[OES],$C49,Inhalation_Exp[Worker Type],$D49))</f>
        <v>5.0852606144287181E-2</v>
      </c>
      <c r="G49" s="273">
        <f>IF(E49="High-End",SUMIFS(Inhalation_Exp[Int_High-End],Inhalation_Exp[OES],$C49,Inhalation_Exp[Worker Type],$D49),SUMIFS(Inhalation_Exp[Int_Central Tendency],Inhalation_Exp[OES],$C49,Inhalation_Exp[Worker Type],$D49))</f>
        <v>3.7291911172477273E-2</v>
      </c>
      <c r="H49" s="273">
        <f>IF(E49="High-End",SUMIFS(Inhalation_Exp[ADD_High-End],Inhalation_Exp[OES],$C49,Inhalation_Exp[Worker Type],$D49),SUMIFS(Inhalation_Exp[ADD_Central Tendency],Inhalation_Exp[OES],$C49,Inhalation_Exp[Worker Type],$D49))</f>
        <v>3.4830552153621352E-2</v>
      </c>
      <c r="I49" s="327">
        <f>IF($E49="High-End",SUMIFS(Dermal_Exp[High-End AD (mg/kg-day)],Dermal_Exp[Worker Type],$D49,Dermal_Exp[OES],$C49),SUMIFS(Dermal_Exp[Central Tendency AD (mg/kg-day)],Dermal_Exp[Worker Type],$D49,Dermal_Exp[OES],$C49))</f>
        <v>6.8816016568864326E-3</v>
      </c>
      <c r="J49" s="327">
        <f>IF($E49="High-End",SUMIFS(Dermal_Exp[High-End IADD (mg/kg-day)],Dermal_Exp[Worker Type],$D49,Dermal_Exp[OES],$C49),SUMIFS(Dermal_Exp[Central Tendency IADD (mg/kg-day)],Dermal_Exp[Worker Type],$D49,Dermal_Exp[OES],$C49))</f>
        <v>5.0465078817167174E-3</v>
      </c>
      <c r="K49" s="327">
        <f>IF($E49="High-End",SUMIFS(Dermal_Exp[High-End ADD (mg/kg-day)],Dermal_Exp[Worker Type],$D49,Dermal_Exp[OES],$C49),SUMIFS(Dermal_Exp[Central Tendency ADD (mg/kg-day)],Dermal_Exp[Worker Type],$D49,Dermal_Exp[OES],$C49))</f>
        <v>4.713425792387968E-3</v>
      </c>
      <c r="L49" s="327">
        <f t="shared" si="3"/>
        <v>5.7734207801173616E-2</v>
      </c>
      <c r="M49" s="327">
        <f t="shared" si="4"/>
        <v>4.2338419054193992E-2</v>
      </c>
      <c r="N49" s="327">
        <f t="shared" si="5"/>
        <v>3.954397794600932E-2</v>
      </c>
    </row>
    <row r="50" spans="2:14" s="27" customFormat="1" x14ac:dyDescent="0.35">
      <c r="B50" s="28"/>
      <c r="C50" s="410" t="str" cm="1">
        <f t="array" ref="C50">INDEX('List Values'!$B$2:$B$20,(1+ROUNDDOWN((ROW()-ROW($C$5))*1/6,2)))</f>
        <v>Plastics Converting</v>
      </c>
      <c r="D50" s="411" t="s">
        <v>168</v>
      </c>
      <c r="E50" s="412" t="s">
        <v>73</v>
      </c>
      <c r="F50" s="273">
        <f>IF(E50="High-End",SUMIFS(Inhalation_Exp[24hr_High-End],Inhalation_Exp[OES],$C50,Inhalation_Exp[Worker Type],$D50),SUMIFS(Inhalation_Exp[24hr_Central Tendency],Inhalation_Exp[OES],$C50,Inhalation_Exp[Worker Type],$D50))</f>
        <v>2.8995512599240591E-3</v>
      </c>
      <c r="G50" s="273">
        <f>IF(E50="High-End",SUMIFS(Inhalation_Exp[Int_High-End],Inhalation_Exp[OES],$C50,Inhalation_Exp[Worker Type],$D50),SUMIFS(Inhalation_Exp[Int_Central Tendency],Inhalation_Exp[OES],$C50,Inhalation_Exp[Worker Type],$D50))</f>
        <v>2.1263375906109766E-3</v>
      </c>
      <c r="H50" s="273">
        <f>IF(E50="High-End",SUMIFS(Inhalation_Exp[ADD_High-End],Inhalation_Exp[OES],$C50,Inhalation_Exp[Worker Type],$D50),SUMIFS(Inhalation_Exp[ADD_Central Tendency],Inhalation_Exp[OES],$C50,Inhalation_Exp[Worker Type],$D50))</f>
        <v>1.7397307559544352E-3</v>
      </c>
      <c r="I50" s="327">
        <f>IF($E50="High-End",SUMIFS(Dermal_Exp[High-End AD (mg/kg-day)],Dermal_Exp[Worker Type],$D50,Dermal_Exp[OES],$C50),SUMIFS(Dermal_Exp[Central Tendency AD (mg/kg-day)],Dermal_Exp[Worker Type],$D50,Dermal_Exp[OES],$C50))</f>
        <v>3.4408008284432163E-3</v>
      </c>
      <c r="J50" s="327">
        <f>IF($E50="High-End",SUMIFS(Dermal_Exp[High-End IADD (mg/kg-day)],Dermal_Exp[Worker Type],$D50,Dermal_Exp[OES],$C50),SUMIFS(Dermal_Exp[Central Tendency IADD (mg/kg-day)],Dermal_Exp[Worker Type],$D50,Dermal_Exp[OES],$C50))</f>
        <v>2.5232539408583587E-3</v>
      </c>
      <c r="K50" s="327">
        <f>IF($E50="High-End",SUMIFS(Dermal_Exp[High-End ADD (mg/kg-day)],Dermal_Exp[Worker Type],$D50,Dermal_Exp[OES],$C50),SUMIFS(Dermal_Exp[Central Tendency ADD (mg/kg-day)],Dermal_Exp[Worker Type],$D50,Dermal_Exp[OES],$C50))</f>
        <v>2.0644804970659301E-3</v>
      </c>
      <c r="L50" s="327">
        <f t="shared" si="3"/>
        <v>6.3403520883672758E-3</v>
      </c>
      <c r="M50" s="327">
        <f t="shared" si="4"/>
        <v>4.6495915314693353E-3</v>
      </c>
      <c r="N50" s="327">
        <f t="shared" si="5"/>
        <v>3.8042112530203651E-3</v>
      </c>
    </row>
    <row r="51" spans="2:14" s="27" customFormat="1" x14ac:dyDescent="0.35">
      <c r="B51" s="28"/>
      <c r="C51" s="410" t="str" cm="1">
        <f t="array" ref="C51">INDEX('List Values'!$B$2:$B$20,(1+ROUNDDOWN((ROW()-ROW($C$5))*1/6,2)))</f>
        <v>Plastics Converting</v>
      </c>
      <c r="D51" s="411" t="s">
        <v>74</v>
      </c>
      <c r="E51" s="412" t="s">
        <v>72</v>
      </c>
      <c r="F51" s="273">
        <f>IF(E51="High-End",SUMIFS(Inhalation_Exp[24hr_High-End],Inhalation_Exp[OES],$C51,Inhalation_Exp[Worker Type],$D51),SUMIFS(Inhalation_Exp[24hr_Central Tendency],Inhalation_Exp[OES],$C51,Inhalation_Exp[Worker Type],$D51))</f>
        <v>2.6250000000000002E-3</v>
      </c>
      <c r="G51" s="273">
        <f>IF(E51="High-End",SUMIFS(Inhalation_Exp[Int_High-End],Inhalation_Exp[OES],$C51,Inhalation_Exp[Worker Type],$D51),SUMIFS(Inhalation_Exp[Int_Central Tendency],Inhalation_Exp[OES],$C51,Inhalation_Exp[Worker Type],$D51))</f>
        <v>1.9250000000000001E-3</v>
      </c>
      <c r="H51" s="273">
        <f>IF(E51="High-End",SUMIFS(Inhalation_Exp[ADD_High-End],Inhalation_Exp[OES],$C51,Inhalation_Exp[Worker Type],$D51),SUMIFS(Inhalation_Exp[ADD_Central Tendency],Inhalation_Exp[OES],$C51,Inhalation_Exp[Worker Type],$D51))</f>
        <v>1.797945205479452E-3</v>
      </c>
      <c r="I51" s="327">
        <f>IF($E51="High-End",SUMIFS(Dermal_Exp[High-End AD (mg/kg-day)],Dermal_Exp[Worker Type],$D51,Dermal_Exp[OES],$C51),SUMIFS(Dermal_Exp[Central Tendency AD (mg/kg-day)],Dermal_Exp[Worker Type],$D51,Dermal_Exp[OES],$C51))</f>
        <v>3.7449999999999996E-3</v>
      </c>
      <c r="J51" s="327">
        <f>IF($E51="High-End",SUMIFS(Dermal_Exp[High-End IADD (mg/kg-day)],Dermal_Exp[Worker Type],$D51,Dermal_Exp[OES],$C51),SUMIFS(Dermal_Exp[Central Tendency IADD (mg/kg-day)],Dermal_Exp[Worker Type],$D51,Dermal_Exp[OES],$C51))</f>
        <v>2.7463333333333328E-3</v>
      </c>
      <c r="K51" s="327">
        <f>IF($E51="High-End",SUMIFS(Dermal_Exp[High-End ADD (mg/kg-day)],Dermal_Exp[Worker Type],$D51,Dermal_Exp[OES],$C51),SUMIFS(Dermal_Exp[Central Tendency ADD (mg/kg-day)],Dermal_Exp[Worker Type],$D51,Dermal_Exp[OES],$C51))</f>
        <v>2.5650684931506846E-3</v>
      </c>
      <c r="L51" s="327">
        <f t="shared" si="3"/>
        <v>6.3699999999999998E-3</v>
      </c>
      <c r="M51" s="327">
        <f t="shared" si="4"/>
        <v>4.6713333333333329E-3</v>
      </c>
      <c r="N51" s="327">
        <f t="shared" si="5"/>
        <v>4.363013698630137E-3</v>
      </c>
    </row>
    <row r="52" spans="2:14" s="27" customFormat="1" x14ac:dyDescent="0.35">
      <c r="B52" s="28"/>
      <c r="C52" s="410" t="str" cm="1">
        <f t="array" ref="C52">INDEX('List Values'!$B$2:$B$20,(1+ROUNDDOWN((ROW()-ROW($C$5))*1/6,2)))</f>
        <v>Plastics Converting</v>
      </c>
      <c r="D52" s="411" t="s">
        <v>74</v>
      </c>
      <c r="E52" s="412" t="s">
        <v>73</v>
      </c>
      <c r="F52" s="273">
        <f>IF(E52="High-End",SUMIFS(Inhalation_Exp[24hr_High-End],Inhalation_Exp[OES],$C52,Inhalation_Exp[Worker Type],$D52),SUMIFS(Inhalation_Exp[24hr_Central Tendency],Inhalation_Exp[OES],$C52,Inhalation_Exp[Worker Type],$D52))</f>
        <v>2.6250000000000002E-3</v>
      </c>
      <c r="G52" s="273">
        <f>IF(E52="High-End",SUMIFS(Inhalation_Exp[Int_High-End],Inhalation_Exp[OES],$C52,Inhalation_Exp[Worker Type],$D52),SUMIFS(Inhalation_Exp[Int_Central Tendency],Inhalation_Exp[OES],$C52,Inhalation_Exp[Worker Type],$D52))</f>
        <v>1.9250000000000001E-3</v>
      </c>
      <c r="H52" s="273">
        <f>IF(E52="High-End",SUMIFS(Inhalation_Exp[ADD_High-End],Inhalation_Exp[OES],$C52,Inhalation_Exp[Worker Type],$D52),SUMIFS(Inhalation_Exp[ADD_Central Tendency],Inhalation_Exp[OES],$C52,Inhalation_Exp[Worker Type],$D52))</f>
        <v>1.5750000000000002E-3</v>
      </c>
      <c r="I52" s="327">
        <f>IF($E52="High-End",SUMIFS(Dermal_Exp[High-End AD (mg/kg-day)],Dermal_Exp[Worker Type],$D52,Dermal_Exp[OES],$C52),SUMIFS(Dermal_Exp[Central Tendency AD (mg/kg-day)],Dermal_Exp[Worker Type],$D52,Dermal_Exp[OES],$C52))</f>
        <v>1.8724999999999998E-3</v>
      </c>
      <c r="J52" s="327">
        <f>IF($E52="High-End",SUMIFS(Dermal_Exp[High-End IADD (mg/kg-day)],Dermal_Exp[Worker Type],$D52,Dermal_Exp[OES],$C52),SUMIFS(Dermal_Exp[Central Tendency IADD (mg/kg-day)],Dermal_Exp[Worker Type],$D52,Dermal_Exp[OES],$C52))</f>
        <v>1.3731666666666664E-3</v>
      </c>
      <c r="K52" s="327">
        <f>IF($E52="High-End",SUMIFS(Dermal_Exp[High-End ADD (mg/kg-day)],Dermal_Exp[Worker Type],$D52,Dermal_Exp[OES],$C52),SUMIFS(Dermal_Exp[Central Tendency ADD (mg/kg-day)],Dermal_Exp[Worker Type],$D52,Dermal_Exp[OES],$C52))</f>
        <v>1.1234999999999999E-3</v>
      </c>
      <c r="L52" s="327">
        <f t="shared" si="3"/>
        <v>4.4974999999999998E-3</v>
      </c>
      <c r="M52" s="327">
        <f t="shared" si="4"/>
        <v>3.2981666666666663E-3</v>
      </c>
      <c r="N52" s="327">
        <f t="shared" si="5"/>
        <v>2.6985000000000004E-3</v>
      </c>
    </row>
    <row r="53" spans="2:14" s="27" customFormat="1" x14ac:dyDescent="0.35">
      <c r="B53" s="28"/>
      <c r="C53" s="410" t="str" cm="1">
        <f t="array" ref="C53">INDEX('List Values'!$B$2:$B$20,(1+ROUNDDOWN((ROW()-ROW($C$5))*1/6,2)))</f>
        <v>Rubber Compounding</v>
      </c>
      <c r="D53" s="411" t="s">
        <v>57</v>
      </c>
      <c r="E53" s="412" t="s">
        <v>72</v>
      </c>
      <c r="F53" s="273">
        <f>IF(E53="High-End",SUMIFS(Inhalation_Exp[24hr_High-End],Inhalation_Exp[OES],$C53,Inhalation_Exp[Worker Type],$D53),SUMIFS(Inhalation_Exp[24hr_Central Tendency],Inhalation_Exp[OES],$C53,Inhalation_Exp[Worker Type],$D53))</f>
        <v>0.1272875</v>
      </c>
      <c r="G53" s="273">
        <f>IF(E53="High-End",SUMIFS(Inhalation_Exp[Int_High-End],Inhalation_Exp[OES],$C53,Inhalation_Exp[Worker Type],$D53),SUMIFS(Inhalation_Exp[Int_Central Tendency],Inhalation_Exp[OES],$C53,Inhalation_Exp[Worker Type],$D53))</f>
        <v>9.3344166666666659E-2</v>
      </c>
      <c r="H53" s="273">
        <f>IF(E53="High-End",SUMIFS(Inhalation_Exp[ADD_High-End],Inhalation_Exp[OES],$C53,Inhalation_Exp[Worker Type],$D53),SUMIFS(Inhalation_Exp[ADD_Central Tendency],Inhalation_Exp[OES],$C53,Inhalation_Exp[Worker Type],$D53))</f>
        <v>8.7183219178082194E-2</v>
      </c>
      <c r="I53" s="327">
        <f>IF($E53="High-End",SUMIFS(Dermal_Exp[High-End AD (mg/kg-day)],Dermal_Exp[Worker Type],$D53,Dermal_Exp[OES],$C53),SUMIFS(Dermal_Exp[Central Tendency AD (mg/kg-day)],Dermal_Exp[Worker Type],$D53,Dermal_Exp[OES],$C53))</f>
        <v>7.4899999999999993E-3</v>
      </c>
      <c r="J53" s="327">
        <f>IF($E53="High-End",SUMIFS(Dermal_Exp[High-End IADD (mg/kg-day)],Dermal_Exp[Worker Type],$D53,Dermal_Exp[OES],$C53),SUMIFS(Dermal_Exp[Central Tendency IADD (mg/kg-day)],Dermal_Exp[Worker Type],$D53,Dermal_Exp[OES],$C53))</f>
        <v>5.4926666666666657E-3</v>
      </c>
      <c r="K53" s="327">
        <f>IF($E53="High-End",SUMIFS(Dermal_Exp[High-End ADD (mg/kg-day)],Dermal_Exp[Worker Type],$D53,Dermal_Exp[OES],$C53),SUMIFS(Dermal_Exp[Central Tendency ADD (mg/kg-day)],Dermal_Exp[Worker Type],$D53,Dermal_Exp[OES],$C53))</f>
        <v>5.1301369863013691E-3</v>
      </c>
      <c r="L53" s="327">
        <f t="shared" si="3"/>
        <v>0.13477749999999999</v>
      </c>
      <c r="M53" s="327">
        <f t="shared" si="4"/>
        <v>9.8836833333333318E-2</v>
      </c>
      <c r="N53" s="327">
        <f t="shared" si="5"/>
        <v>9.2313356164383562E-2</v>
      </c>
    </row>
    <row r="54" spans="2:14" s="27" customFormat="1" x14ac:dyDescent="0.35">
      <c r="B54" s="28"/>
      <c r="C54" s="410" t="str" cm="1">
        <f t="array" ref="C54">INDEX('List Values'!$B$2:$B$20,(1+ROUNDDOWN((ROW()-ROW($C$5))*1/6,2)))</f>
        <v>Rubber Compounding</v>
      </c>
      <c r="D54" s="411" t="s">
        <v>57</v>
      </c>
      <c r="E54" s="412" t="s">
        <v>73</v>
      </c>
      <c r="F54" s="273">
        <f>IF(E54="High-End",SUMIFS(Inhalation_Exp[24hr_High-End],Inhalation_Exp[OES],$C54,Inhalation_Exp[Worker Type],$D54),SUMIFS(Inhalation_Exp[24hr_Central Tendency],Inhalation_Exp[OES],$C54,Inhalation_Exp[Worker Type],$D54))</f>
        <v>1.2500000000000001E-2</v>
      </c>
      <c r="G54" s="273">
        <f>IF(E54="High-End",SUMIFS(Inhalation_Exp[Int_High-End],Inhalation_Exp[OES],$C54,Inhalation_Exp[Worker Type],$D54),SUMIFS(Inhalation_Exp[Int_Central Tendency],Inhalation_Exp[OES],$C54,Inhalation_Exp[Worker Type],$D54))</f>
        <v>9.1666666666666667E-3</v>
      </c>
      <c r="H54" s="273">
        <f>IF(E54="High-End",SUMIFS(Inhalation_Exp[ADD_High-End],Inhalation_Exp[OES],$C54,Inhalation_Exp[Worker Type],$D54),SUMIFS(Inhalation_Exp[ADD_Central Tendency],Inhalation_Exp[OES],$C54,Inhalation_Exp[Worker Type],$D54))</f>
        <v>8.0136986301369874E-3</v>
      </c>
      <c r="I54" s="327">
        <f>IF($E54="High-End",SUMIFS(Dermal_Exp[High-End AD (mg/kg-day)],Dermal_Exp[Worker Type],$D54,Dermal_Exp[OES],$C54),SUMIFS(Dermal_Exp[Central Tendency AD (mg/kg-day)],Dermal_Exp[Worker Type],$D54,Dermal_Exp[OES],$C54))</f>
        <v>3.7449999999999996E-3</v>
      </c>
      <c r="J54" s="327">
        <f>IF($E54="High-End",SUMIFS(Dermal_Exp[High-End IADD (mg/kg-day)],Dermal_Exp[Worker Type],$D54,Dermal_Exp[OES],$C54),SUMIFS(Dermal_Exp[Central Tendency IADD (mg/kg-day)],Dermal_Exp[Worker Type],$D54,Dermal_Exp[OES],$C54))</f>
        <v>2.7463333333333328E-3</v>
      </c>
      <c r="K54" s="327">
        <f>IF($E54="High-End",SUMIFS(Dermal_Exp[High-End ADD (mg/kg-day)],Dermal_Exp[Worker Type],$D54,Dermal_Exp[OES],$C54),SUMIFS(Dermal_Exp[Central Tendency ADD (mg/kg-day)],Dermal_Exp[Worker Type],$D54,Dermal_Exp[OES],$C54))</f>
        <v>2.4009041095890411E-3</v>
      </c>
      <c r="L54" s="327">
        <f t="shared" si="3"/>
        <v>1.6244999999999999E-2</v>
      </c>
      <c r="M54" s="327">
        <f t="shared" si="4"/>
        <v>1.1913E-2</v>
      </c>
      <c r="N54" s="327">
        <f t="shared" si="5"/>
        <v>1.0414602739726029E-2</v>
      </c>
    </row>
    <row r="55" spans="2:14" s="27" customFormat="1" x14ac:dyDescent="0.35">
      <c r="B55" s="28"/>
      <c r="C55" s="410" t="str" cm="1">
        <f t="array" ref="C55">INDEX('List Values'!$B$2:$B$20,(1+ROUNDDOWN((ROW()-ROW($C$5))*1/6,2)))</f>
        <v>Rubber Compounding</v>
      </c>
      <c r="D55" s="411" t="s">
        <v>168</v>
      </c>
      <c r="E55" s="412" t="s">
        <v>72</v>
      </c>
      <c r="F55" s="273">
        <f>IF(E55="High-End",SUMIFS(Inhalation_Exp[24hr_High-End],Inhalation_Exp[OES],$C55,Inhalation_Exp[Worker Type],$D55),SUMIFS(Inhalation_Exp[24hr_Central Tendency],Inhalation_Exp[OES],$C55,Inhalation_Exp[Worker Type],$D55))</f>
        <v>0.14060062133241283</v>
      </c>
      <c r="G55" s="273">
        <f>IF(E55="High-End",SUMIFS(Inhalation_Exp[Int_High-End],Inhalation_Exp[OES],$C55,Inhalation_Exp[Worker Type],$D55),SUMIFS(Inhalation_Exp[Int_Central Tendency],Inhalation_Exp[OES],$C55,Inhalation_Exp[Worker Type],$D55))</f>
        <v>0.10310712231043608</v>
      </c>
      <c r="H55" s="273">
        <f>IF(E55="High-End",SUMIFS(Inhalation_Exp[ADD_High-End],Inhalation_Exp[OES],$C55,Inhalation_Exp[Worker Type],$D55),SUMIFS(Inhalation_Exp[ADD_Central Tendency],Inhalation_Exp[OES],$C55,Inhalation_Exp[Worker Type],$D55))</f>
        <v>9.6301795433159476E-2</v>
      </c>
      <c r="I55" s="327">
        <f>IF($E55="High-End",SUMIFS(Dermal_Exp[High-End AD (mg/kg-day)],Dermal_Exp[Worker Type],$D55,Dermal_Exp[OES],$C55),SUMIFS(Dermal_Exp[Central Tendency AD (mg/kg-day)],Dermal_Exp[Worker Type],$D55,Dermal_Exp[OES],$C55))</f>
        <v>6.8816016568864326E-3</v>
      </c>
      <c r="J55" s="327">
        <f>IF($E55="High-End",SUMIFS(Dermal_Exp[High-End IADD (mg/kg-day)],Dermal_Exp[Worker Type],$D55,Dermal_Exp[OES],$C55),SUMIFS(Dermal_Exp[Central Tendency IADD (mg/kg-day)],Dermal_Exp[Worker Type],$D55,Dermal_Exp[OES],$C55))</f>
        <v>5.0465078817167174E-3</v>
      </c>
      <c r="K55" s="327">
        <f>IF($E55="High-End",SUMIFS(Dermal_Exp[High-End ADD (mg/kg-day)],Dermal_Exp[Worker Type],$D55,Dermal_Exp[OES],$C55),SUMIFS(Dermal_Exp[Central Tendency ADD (mg/kg-day)],Dermal_Exp[Worker Type],$D55,Dermal_Exp[OES],$C55))</f>
        <v>4.713425792387968E-3</v>
      </c>
      <c r="L55" s="327">
        <f t="shared" si="3"/>
        <v>0.14748222298929925</v>
      </c>
      <c r="M55" s="327">
        <f t="shared" si="4"/>
        <v>0.10815363019215279</v>
      </c>
      <c r="N55" s="327">
        <f t="shared" si="5"/>
        <v>0.10101522122554744</v>
      </c>
    </row>
    <row r="56" spans="2:14" s="27" customFormat="1" x14ac:dyDescent="0.35">
      <c r="B56" s="28"/>
      <c r="C56" s="410" t="str" cm="1">
        <f t="array" ref="C56">INDEX('List Values'!$B$2:$B$20,(1+ROUNDDOWN((ROW()-ROW($C$5))*1/6,2)))</f>
        <v>Rubber Compounding</v>
      </c>
      <c r="D56" s="411" t="s">
        <v>168</v>
      </c>
      <c r="E56" s="412" t="s">
        <v>73</v>
      </c>
      <c r="F56" s="273">
        <f>IF(E56="High-End",SUMIFS(Inhalation_Exp[24hr_High-End],Inhalation_Exp[OES],$C56,Inhalation_Exp[Worker Type],$D56),SUMIFS(Inhalation_Exp[24hr_Central Tendency],Inhalation_Exp[OES],$C56,Inhalation_Exp[Worker Type],$D56))</f>
        <v>1.3807386952019328E-2</v>
      </c>
      <c r="G56" s="273">
        <f>IF(E56="High-End",SUMIFS(Inhalation_Exp[Int_High-End],Inhalation_Exp[OES],$C56,Inhalation_Exp[Worker Type],$D56),SUMIFS(Inhalation_Exp[Int_Central Tendency],Inhalation_Exp[OES],$C56,Inhalation_Exp[Worker Type],$D56))</f>
        <v>1.0125417098147507E-2</v>
      </c>
      <c r="H56" s="273">
        <f>IF(E56="High-End",SUMIFS(Inhalation_Exp[ADD_High-End],Inhalation_Exp[OES],$C56,Inhalation_Exp[Worker Type],$D56),SUMIFS(Inhalation_Exp[ADD_Central Tendency],Inhalation_Exp[OES],$C56,Inhalation_Exp[Worker Type],$D56))</f>
        <v>8.8518590322534882E-3</v>
      </c>
      <c r="I56" s="327">
        <f>IF($E56="High-End",SUMIFS(Dermal_Exp[High-End AD (mg/kg-day)],Dermal_Exp[Worker Type],$D56,Dermal_Exp[OES],$C56),SUMIFS(Dermal_Exp[Central Tendency AD (mg/kg-day)],Dermal_Exp[Worker Type],$D56,Dermal_Exp[OES],$C56))</f>
        <v>3.4408008284432163E-3</v>
      </c>
      <c r="J56" s="327">
        <f>IF($E56="High-End",SUMIFS(Dermal_Exp[High-End IADD (mg/kg-day)],Dermal_Exp[Worker Type],$D56,Dermal_Exp[OES],$C56),SUMIFS(Dermal_Exp[Central Tendency IADD (mg/kg-day)],Dermal_Exp[Worker Type],$D56,Dermal_Exp[OES],$C56))</f>
        <v>2.5232539408583587E-3</v>
      </c>
      <c r="K56" s="327">
        <f>IF($E56="High-End",SUMIFS(Dermal_Exp[High-End ADD (mg/kg-day)],Dermal_Exp[Worker Type],$D56,Dermal_Exp[OES],$C56),SUMIFS(Dermal_Exp[Central Tendency ADD (mg/kg-day)],Dermal_Exp[Worker Type],$D56,Dermal_Exp[OES],$C56))</f>
        <v>2.205883270837569E-3</v>
      </c>
      <c r="L56" s="327">
        <f t="shared" si="3"/>
        <v>1.7248187780462543E-2</v>
      </c>
      <c r="M56" s="327">
        <f t="shared" si="4"/>
        <v>1.2648671039005865E-2</v>
      </c>
      <c r="N56" s="327">
        <f t="shared" si="5"/>
        <v>1.1057742303091058E-2</v>
      </c>
    </row>
    <row r="57" spans="2:14" s="27" customFormat="1" x14ac:dyDescent="0.35">
      <c r="B57" s="28"/>
      <c r="C57" s="410" t="str" cm="1">
        <f t="array" ref="C57">INDEX('List Values'!$B$2:$B$20,(1+ROUNDDOWN((ROW()-ROW($C$5))*1/6,2)))</f>
        <v>Rubber Compounding</v>
      </c>
      <c r="D57" s="411" t="s">
        <v>74</v>
      </c>
      <c r="E57" s="412" t="s">
        <v>72</v>
      </c>
      <c r="F57" s="273">
        <f>IF(E57="High-End",SUMIFS(Inhalation_Exp[24hr_High-End],Inhalation_Exp[OES],$C57,Inhalation_Exp[Worker Type],$D57),SUMIFS(Inhalation_Exp[24hr_Central Tendency],Inhalation_Exp[OES],$C57,Inhalation_Exp[Worker Type],$D57))</f>
        <v>1.2500000000000001E-2</v>
      </c>
      <c r="G57" s="273">
        <f>IF(E57="High-End",SUMIFS(Inhalation_Exp[Int_High-End],Inhalation_Exp[OES],$C57,Inhalation_Exp[Worker Type],$D57),SUMIFS(Inhalation_Exp[Int_Central Tendency],Inhalation_Exp[OES],$C57,Inhalation_Exp[Worker Type],$D57))</f>
        <v>9.1666666666666667E-3</v>
      </c>
      <c r="H57" s="273">
        <f>IF(E57="High-End",SUMIFS(Inhalation_Exp[ADD_High-End],Inhalation_Exp[OES],$C57,Inhalation_Exp[Worker Type],$D57),SUMIFS(Inhalation_Exp[ADD_Central Tendency],Inhalation_Exp[OES],$C57,Inhalation_Exp[Worker Type],$D57))</f>
        <v>8.5616438356164379E-3</v>
      </c>
      <c r="I57" s="327">
        <f>IF($E57="High-End",SUMIFS(Dermal_Exp[High-End AD (mg/kg-day)],Dermal_Exp[Worker Type],$D57,Dermal_Exp[OES],$C57),SUMIFS(Dermal_Exp[Central Tendency AD (mg/kg-day)],Dermal_Exp[Worker Type],$D57,Dermal_Exp[OES],$C57))</f>
        <v>3.7449999999999996E-3</v>
      </c>
      <c r="J57" s="327">
        <f>IF($E57="High-End",SUMIFS(Dermal_Exp[High-End IADD (mg/kg-day)],Dermal_Exp[Worker Type],$D57,Dermal_Exp[OES],$C57),SUMIFS(Dermal_Exp[Central Tendency IADD (mg/kg-day)],Dermal_Exp[Worker Type],$D57,Dermal_Exp[OES],$C57))</f>
        <v>2.7463333333333328E-3</v>
      </c>
      <c r="K57" s="327">
        <f>IF($E57="High-End",SUMIFS(Dermal_Exp[High-End ADD (mg/kg-day)],Dermal_Exp[Worker Type],$D57,Dermal_Exp[OES],$C57),SUMIFS(Dermal_Exp[Central Tendency ADD (mg/kg-day)],Dermal_Exp[Worker Type],$D57,Dermal_Exp[OES],$C57))</f>
        <v>2.5650684931506846E-3</v>
      </c>
      <c r="L57" s="327">
        <f t="shared" si="3"/>
        <v>1.6244999999999999E-2</v>
      </c>
      <c r="M57" s="327">
        <f t="shared" si="4"/>
        <v>1.1913E-2</v>
      </c>
      <c r="N57" s="327">
        <f t="shared" si="5"/>
        <v>1.1126712328767122E-2</v>
      </c>
    </row>
    <row r="58" spans="2:14" s="27" customFormat="1" x14ac:dyDescent="0.35">
      <c r="B58" s="28"/>
      <c r="C58" s="410" t="str" cm="1">
        <f t="array" ref="C58">INDEX('List Values'!$B$2:$B$20,(1+ROUNDDOWN((ROW()-ROW($C$5))*1/6,2)))</f>
        <v>Rubber Compounding</v>
      </c>
      <c r="D58" s="411" t="s">
        <v>74</v>
      </c>
      <c r="E58" s="412" t="s">
        <v>73</v>
      </c>
      <c r="F58" s="273">
        <f>IF(E58="High-End",SUMIFS(Inhalation_Exp[24hr_High-End],Inhalation_Exp[OES],$C58,Inhalation_Exp[Worker Type],$D58),SUMIFS(Inhalation_Exp[24hr_Central Tendency],Inhalation_Exp[OES],$C58,Inhalation_Exp[Worker Type],$D58))</f>
        <v>1.2500000000000001E-2</v>
      </c>
      <c r="G58" s="273">
        <f>IF(E58="High-End",SUMIFS(Inhalation_Exp[Int_High-End],Inhalation_Exp[OES],$C58,Inhalation_Exp[Worker Type],$D58),SUMIFS(Inhalation_Exp[Int_Central Tendency],Inhalation_Exp[OES],$C58,Inhalation_Exp[Worker Type],$D58))</f>
        <v>9.1666666666666667E-3</v>
      </c>
      <c r="H58" s="273">
        <f>IF(E58="High-End",SUMIFS(Inhalation_Exp[ADD_High-End],Inhalation_Exp[OES],$C58,Inhalation_Exp[Worker Type],$D58),SUMIFS(Inhalation_Exp[ADD_Central Tendency],Inhalation_Exp[OES],$C58,Inhalation_Exp[Worker Type],$D58))</f>
        <v>8.0136986301369874E-3</v>
      </c>
      <c r="I58" s="327">
        <f>IF($E58="High-End",SUMIFS(Dermal_Exp[High-End AD (mg/kg-day)],Dermal_Exp[Worker Type],$D58,Dermal_Exp[OES],$C58),SUMIFS(Dermal_Exp[Central Tendency AD (mg/kg-day)],Dermal_Exp[Worker Type],$D58,Dermal_Exp[OES],$C58))</f>
        <v>1.8724999999999998E-3</v>
      </c>
      <c r="J58" s="327">
        <f>IF($E58="High-End",SUMIFS(Dermal_Exp[High-End IADD (mg/kg-day)],Dermal_Exp[Worker Type],$D58,Dermal_Exp[OES],$C58),SUMIFS(Dermal_Exp[Central Tendency IADD (mg/kg-day)],Dermal_Exp[Worker Type],$D58,Dermal_Exp[OES],$C58))</f>
        <v>1.3731666666666664E-3</v>
      </c>
      <c r="K58" s="327">
        <f>IF($E58="High-End",SUMIFS(Dermal_Exp[High-End ADD (mg/kg-day)],Dermal_Exp[Worker Type],$D58,Dermal_Exp[OES],$C58),SUMIFS(Dermal_Exp[Central Tendency ADD (mg/kg-day)],Dermal_Exp[Worker Type],$D58,Dermal_Exp[OES],$C58))</f>
        <v>1.2004520547945206E-3</v>
      </c>
      <c r="L58" s="327">
        <f t="shared" si="3"/>
        <v>1.43725E-2</v>
      </c>
      <c r="M58" s="327">
        <f t="shared" si="4"/>
        <v>1.0539833333333333E-2</v>
      </c>
      <c r="N58" s="327">
        <f t="shared" si="5"/>
        <v>9.2141506849315082E-3</v>
      </c>
    </row>
    <row r="59" spans="2:14" s="27" customFormat="1" x14ac:dyDescent="0.35">
      <c r="B59" s="28"/>
      <c r="C59" s="410" t="str" cm="1">
        <f t="array" ref="C59">INDEX('List Values'!$B$2:$B$20,(1+ROUNDDOWN((ROW()-ROW($C$5))*1/6,2)))</f>
        <v>Rubber Converting</v>
      </c>
      <c r="D59" s="411" t="s">
        <v>57</v>
      </c>
      <c r="E59" s="412" t="s">
        <v>72</v>
      </c>
      <c r="F59" s="273">
        <f>IF(E59="High-End",SUMIFS(Inhalation_Exp[24hr_High-End],Inhalation_Exp[OES],$C59,Inhalation_Exp[Worker Type],$D59),SUMIFS(Inhalation_Exp[24hr_Central Tendency],Inhalation_Exp[OES],$C59,Inhalation_Exp[Worker Type],$D59))</f>
        <v>0.11978749999999998</v>
      </c>
      <c r="G59" s="273">
        <f>IF(E59="High-End",SUMIFS(Inhalation_Exp[Int_High-End],Inhalation_Exp[OES],$C59,Inhalation_Exp[Worker Type],$D59),SUMIFS(Inhalation_Exp[Int_Central Tendency],Inhalation_Exp[OES],$C59,Inhalation_Exp[Worker Type],$D59))</f>
        <v>8.7844166666666654E-2</v>
      </c>
      <c r="H59" s="273">
        <f>IF(E59="High-End",SUMIFS(Inhalation_Exp[ADD_High-End],Inhalation_Exp[OES],$C59,Inhalation_Exp[Worker Type],$D59),SUMIFS(Inhalation_Exp[ADD_Central Tendency],Inhalation_Exp[OES],$C59,Inhalation_Exp[Worker Type],$D59))</f>
        <v>8.2046232876712311E-2</v>
      </c>
      <c r="I59" s="327">
        <f>IF($E59="High-End",SUMIFS(Dermal_Exp[High-End AD (mg/kg-day)],Dermal_Exp[Worker Type],$D59,Dermal_Exp[OES],$C59),SUMIFS(Dermal_Exp[Central Tendency AD (mg/kg-day)],Dermal_Exp[Worker Type],$D59,Dermal_Exp[OES],$C59))</f>
        <v>7.4899999999999993E-3</v>
      </c>
      <c r="J59" s="327">
        <f>IF($E59="High-End",SUMIFS(Dermal_Exp[High-End IADD (mg/kg-day)],Dermal_Exp[Worker Type],$D59,Dermal_Exp[OES],$C59),SUMIFS(Dermal_Exp[Central Tendency IADD (mg/kg-day)],Dermal_Exp[Worker Type],$D59,Dermal_Exp[OES],$C59))</f>
        <v>5.4926666666666657E-3</v>
      </c>
      <c r="K59" s="327">
        <f>IF($E59="High-End",SUMIFS(Dermal_Exp[High-End ADD (mg/kg-day)],Dermal_Exp[Worker Type],$D59,Dermal_Exp[OES],$C59),SUMIFS(Dermal_Exp[Central Tendency ADD (mg/kg-day)],Dermal_Exp[Worker Type],$D59,Dermal_Exp[OES],$C59))</f>
        <v>5.1301369863013691E-3</v>
      </c>
      <c r="L59" s="327">
        <f t="shared" si="3"/>
        <v>0.12727749999999999</v>
      </c>
      <c r="M59" s="327">
        <f t="shared" si="4"/>
        <v>9.3336833333333313E-2</v>
      </c>
      <c r="N59" s="327">
        <f t="shared" si="5"/>
        <v>8.7176369863013678E-2</v>
      </c>
    </row>
    <row r="60" spans="2:14" s="27" customFormat="1" x14ac:dyDescent="0.35">
      <c r="B60" s="28"/>
      <c r="C60" s="410" t="str" cm="1">
        <f t="array" ref="C60">INDEX('List Values'!$B$2:$B$20,(1+ROUNDDOWN((ROW()-ROW($C$5))*1/6,2)))</f>
        <v>Rubber Converting</v>
      </c>
      <c r="D60" s="411" t="s">
        <v>57</v>
      </c>
      <c r="E60" s="412" t="s">
        <v>73</v>
      </c>
      <c r="F60" s="273">
        <f>IF(E60="High-End",SUMIFS(Inhalation_Exp[24hr_High-End],Inhalation_Exp[OES],$C60,Inhalation_Exp[Worker Type],$D60),SUMIFS(Inhalation_Exp[24hr_Central Tendency],Inhalation_Exp[OES],$C60,Inhalation_Exp[Worker Type],$D60))</f>
        <v>6.2500000000000003E-3</v>
      </c>
      <c r="G60" s="273">
        <f>IF(E60="High-End",SUMIFS(Inhalation_Exp[Int_High-End],Inhalation_Exp[OES],$C60,Inhalation_Exp[Worker Type],$D60),SUMIFS(Inhalation_Exp[Int_Central Tendency],Inhalation_Exp[OES],$C60,Inhalation_Exp[Worker Type],$D60))</f>
        <v>4.5833333333333334E-3</v>
      </c>
      <c r="H60" s="273">
        <f>IF(E60="High-End",SUMIFS(Inhalation_Exp[ADD_High-End],Inhalation_Exp[OES],$C60,Inhalation_Exp[Worker Type],$D60),SUMIFS(Inhalation_Exp[ADD_Central Tendency],Inhalation_Exp[OES],$C60,Inhalation_Exp[Worker Type],$D60))</f>
        <v>3.7500000000000003E-3</v>
      </c>
      <c r="I60" s="327">
        <f>IF($E60="High-End",SUMIFS(Dermal_Exp[High-End AD (mg/kg-day)],Dermal_Exp[Worker Type],$D60,Dermal_Exp[OES],$C60),SUMIFS(Dermal_Exp[Central Tendency AD (mg/kg-day)],Dermal_Exp[Worker Type],$D60,Dermal_Exp[OES],$C60))</f>
        <v>3.7449999999999996E-3</v>
      </c>
      <c r="J60" s="327">
        <f>IF($E60="High-End",SUMIFS(Dermal_Exp[High-End IADD (mg/kg-day)],Dermal_Exp[Worker Type],$D60,Dermal_Exp[OES],$C60),SUMIFS(Dermal_Exp[Central Tendency IADD (mg/kg-day)],Dermal_Exp[Worker Type],$D60,Dermal_Exp[OES],$C60))</f>
        <v>2.7463333333333328E-3</v>
      </c>
      <c r="K60" s="327">
        <f>IF($E60="High-End",SUMIFS(Dermal_Exp[High-End ADD (mg/kg-day)],Dermal_Exp[Worker Type],$D60,Dermal_Exp[OES],$C60),SUMIFS(Dermal_Exp[Central Tendency ADD (mg/kg-day)],Dermal_Exp[Worker Type],$D60,Dermal_Exp[OES],$C60))</f>
        <v>2.2469999999999999E-3</v>
      </c>
      <c r="L60" s="327">
        <f t="shared" si="3"/>
        <v>9.9950000000000004E-3</v>
      </c>
      <c r="M60" s="327">
        <f t="shared" si="4"/>
        <v>7.3296666666666666E-3</v>
      </c>
      <c r="N60" s="327">
        <f t="shared" si="5"/>
        <v>5.9970000000000006E-3</v>
      </c>
    </row>
    <row r="61" spans="2:14" s="27" customFormat="1" x14ac:dyDescent="0.35">
      <c r="B61" s="28"/>
      <c r="C61" s="410" t="str" cm="1">
        <f t="array" ref="C61">INDEX('List Values'!$B$2:$B$20,(1+ROUNDDOWN((ROW()-ROW($C$5))*1/6,2)))</f>
        <v>Rubber Converting</v>
      </c>
      <c r="D61" s="411" t="s">
        <v>168</v>
      </c>
      <c r="E61" s="412" t="s">
        <v>72</v>
      </c>
      <c r="F61" s="273">
        <f>IF(E61="High-End",SUMIFS(Inhalation_Exp[24hr_High-End],Inhalation_Exp[OES],$C61,Inhalation_Exp[Worker Type],$D61),SUMIFS(Inhalation_Exp[24hr_Central Tendency],Inhalation_Exp[OES],$C61,Inhalation_Exp[Worker Type],$D61))</f>
        <v>0.13231618916120119</v>
      </c>
      <c r="G61" s="273">
        <f>IF(E61="High-End",SUMIFS(Inhalation_Exp[Int_High-End],Inhalation_Exp[OES],$C61,Inhalation_Exp[Worker Type],$D61),SUMIFS(Inhalation_Exp[Int_Central Tendency],Inhalation_Exp[OES],$C61,Inhalation_Exp[Worker Type],$D61))</f>
        <v>9.7031872051547535E-2</v>
      </c>
      <c r="H61" s="273">
        <f>IF(E61="High-End",SUMIFS(Inhalation_Exp[ADD_High-End],Inhalation_Exp[OES],$C61,Inhalation_Exp[Worker Type],$D61),SUMIFS(Inhalation_Exp[ADD_Central Tendency],Inhalation_Exp[OES],$C61,Inhalation_Exp[Worker Type],$D61))</f>
        <v>9.0627526822740542E-2</v>
      </c>
      <c r="I61" s="327">
        <f>IF($E61="High-End",SUMIFS(Dermal_Exp[High-End AD (mg/kg-day)],Dermal_Exp[Worker Type],$D61,Dermal_Exp[OES],$C61),SUMIFS(Dermal_Exp[Central Tendency AD (mg/kg-day)],Dermal_Exp[Worker Type],$D61,Dermal_Exp[OES],$C61))</f>
        <v>6.8816016568864326E-3</v>
      </c>
      <c r="J61" s="327">
        <f>IF($E61="High-End",SUMIFS(Dermal_Exp[High-End IADD (mg/kg-day)],Dermal_Exp[Worker Type],$D61,Dermal_Exp[OES],$C61),SUMIFS(Dermal_Exp[Central Tendency IADD (mg/kg-day)],Dermal_Exp[Worker Type],$D61,Dermal_Exp[OES],$C61))</f>
        <v>5.0465078817167174E-3</v>
      </c>
      <c r="K61" s="327">
        <f>IF($E61="High-End",SUMIFS(Dermal_Exp[High-End ADD (mg/kg-day)],Dermal_Exp[Worker Type],$D61,Dermal_Exp[OES],$C61),SUMIFS(Dermal_Exp[Central Tendency ADD (mg/kg-day)],Dermal_Exp[Worker Type],$D61,Dermal_Exp[OES],$C61))</f>
        <v>4.713425792387968E-3</v>
      </c>
      <c r="L61" s="327">
        <f t="shared" si="3"/>
        <v>0.13919779081808761</v>
      </c>
      <c r="M61" s="327">
        <f t="shared" si="4"/>
        <v>0.10207837993326425</v>
      </c>
      <c r="N61" s="327">
        <f t="shared" si="5"/>
        <v>9.534095261512851E-2</v>
      </c>
    </row>
    <row r="62" spans="2:14" s="27" customFormat="1" x14ac:dyDescent="0.35">
      <c r="B62" s="28"/>
      <c r="C62" s="410" t="str" cm="1">
        <f t="array" ref="C62">INDEX('List Values'!$B$2:$B$20,(1+ROUNDDOWN((ROW()-ROW($C$5))*1/6,2)))</f>
        <v>Rubber Converting</v>
      </c>
      <c r="D62" s="411" t="s">
        <v>168</v>
      </c>
      <c r="E62" s="412" t="s">
        <v>73</v>
      </c>
      <c r="F62" s="273">
        <f>IF(E62="High-End",SUMIFS(Inhalation_Exp[24hr_High-End],Inhalation_Exp[OES],$C62,Inhalation_Exp[Worker Type],$D62),SUMIFS(Inhalation_Exp[24hr_Central Tendency],Inhalation_Exp[OES],$C62,Inhalation_Exp[Worker Type],$D62))</f>
        <v>6.9036934760096638E-3</v>
      </c>
      <c r="G62" s="273">
        <f>IF(E62="High-End",SUMIFS(Inhalation_Exp[Int_High-End],Inhalation_Exp[OES],$C62,Inhalation_Exp[Worker Type],$D62),SUMIFS(Inhalation_Exp[Int_Central Tendency],Inhalation_Exp[OES],$C62,Inhalation_Exp[Worker Type],$D62))</f>
        <v>5.0627085490737534E-3</v>
      </c>
      <c r="H62" s="273">
        <f>IF(E62="High-End",SUMIFS(Inhalation_Exp[ADD_High-End],Inhalation_Exp[OES],$C62,Inhalation_Exp[Worker Type],$D62),SUMIFS(Inhalation_Exp[ADD_Central Tendency],Inhalation_Exp[OES],$C62,Inhalation_Exp[Worker Type],$D62))</f>
        <v>4.1422160856057983E-3</v>
      </c>
      <c r="I62" s="327">
        <f>IF($E62="High-End",SUMIFS(Dermal_Exp[High-End AD (mg/kg-day)],Dermal_Exp[Worker Type],$D62,Dermal_Exp[OES],$C62),SUMIFS(Dermal_Exp[Central Tendency AD (mg/kg-day)],Dermal_Exp[Worker Type],$D62,Dermal_Exp[OES],$C62))</f>
        <v>3.4408008284432163E-3</v>
      </c>
      <c r="J62" s="327">
        <f>IF($E62="High-End",SUMIFS(Dermal_Exp[High-End IADD (mg/kg-day)],Dermal_Exp[Worker Type],$D62,Dermal_Exp[OES],$C62),SUMIFS(Dermal_Exp[Central Tendency IADD (mg/kg-day)],Dermal_Exp[Worker Type],$D62,Dermal_Exp[OES],$C62))</f>
        <v>2.5232539408583587E-3</v>
      </c>
      <c r="K62" s="327">
        <f>IF($E62="High-End",SUMIFS(Dermal_Exp[High-End ADD (mg/kg-day)],Dermal_Exp[Worker Type],$D62,Dermal_Exp[OES],$C62),SUMIFS(Dermal_Exp[Central Tendency ADD (mg/kg-day)],Dermal_Exp[Worker Type],$D62,Dermal_Exp[OES],$C62))</f>
        <v>2.0644804970659301E-3</v>
      </c>
      <c r="L62" s="327">
        <f t="shared" si="3"/>
        <v>1.0344494304452881E-2</v>
      </c>
      <c r="M62" s="327">
        <f t="shared" si="4"/>
        <v>7.5859624899321122E-3</v>
      </c>
      <c r="N62" s="327">
        <f t="shared" si="5"/>
        <v>6.206696582671728E-3</v>
      </c>
    </row>
    <row r="63" spans="2:14" s="27" customFormat="1" x14ac:dyDescent="0.35">
      <c r="B63" s="28"/>
      <c r="C63" s="410" t="str" cm="1">
        <f t="array" ref="C63">INDEX('List Values'!$B$2:$B$20,(1+ROUNDDOWN((ROW()-ROW($C$5))*1/6,2)))</f>
        <v>Rubber Converting</v>
      </c>
      <c r="D63" s="411" t="s">
        <v>74</v>
      </c>
      <c r="E63" s="412" t="s">
        <v>72</v>
      </c>
      <c r="F63" s="273">
        <f>IF(E63="High-End",SUMIFS(Inhalation_Exp[24hr_High-End],Inhalation_Exp[OES],$C63,Inhalation_Exp[Worker Type],$D63),SUMIFS(Inhalation_Exp[24hr_Central Tendency],Inhalation_Exp[OES],$C63,Inhalation_Exp[Worker Type],$D63))</f>
        <v>6.2500000000000003E-3</v>
      </c>
      <c r="G63" s="273">
        <f>IF(E63="High-End",SUMIFS(Inhalation_Exp[Int_High-End],Inhalation_Exp[OES],$C63,Inhalation_Exp[Worker Type],$D63),SUMIFS(Inhalation_Exp[Int_Central Tendency],Inhalation_Exp[OES],$C63,Inhalation_Exp[Worker Type],$D63))</f>
        <v>4.5833333333333334E-3</v>
      </c>
      <c r="H63" s="273">
        <f>IF(E63="High-End",SUMIFS(Inhalation_Exp[ADD_High-End],Inhalation_Exp[OES],$C63,Inhalation_Exp[Worker Type],$D63),SUMIFS(Inhalation_Exp[ADD_Central Tendency],Inhalation_Exp[OES],$C63,Inhalation_Exp[Worker Type],$D63))</f>
        <v>4.2808219178082189E-3</v>
      </c>
      <c r="I63" s="327">
        <f>IF($E63="High-End",SUMIFS(Dermal_Exp[High-End AD (mg/kg-day)],Dermal_Exp[Worker Type],$D63,Dermal_Exp[OES],$C63),SUMIFS(Dermal_Exp[Central Tendency AD (mg/kg-day)],Dermal_Exp[Worker Type],$D63,Dermal_Exp[OES],$C63))</f>
        <v>3.7449999999999996E-3</v>
      </c>
      <c r="J63" s="327">
        <f>IF($E63="High-End",SUMIFS(Dermal_Exp[High-End IADD (mg/kg-day)],Dermal_Exp[Worker Type],$D63,Dermal_Exp[OES],$C63),SUMIFS(Dermal_Exp[Central Tendency IADD (mg/kg-day)],Dermal_Exp[Worker Type],$D63,Dermal_Exp[OES],$C63))</f>
        <v>2.7463333333333328E-3</v>
      </c>
      <c r="K63" s="327">
        <f>IF($E63="High-End",SUMIFS(Dermal_Exp[High-End ADD (mg/kg-day)],Dermal_Exp[Worker Type],$D63,Dermal_Exp[OES],$C63),SUMIFS(Dermal_Exp[Central Tendency ADD (mg/kg-day)],Dermal_Exp[Worker Type],$D63,Dermal_Exp[OES],$C63))</f>
        <v>2.5650684931506846E-3</v>
      </c>
      <c r="L63" s="327">
        <f t="shared" si="3"/>
        <v>9.9950000000000004E-3</v>
      </c>
      <c r="M63" s="327">
        <f t="shared" si="4"/>
        <v>7.3296666666666666E-3</v>
      </c>
      <c r="N63" s="327">
        <f t="shared" si="5"/>
        <v>6.8458904109589035E-3</v>
      </c>
    </row>
    <row r="64" spans="2:14" s="27" customFormat="1" x14ac:dyDescent="0.35">
      <c r="B64" s="28"/>
      <c r="C64" s="410" t="str" cm="1">
        <f t="array" ref="C64">INDEX('List Values'!$B$2:$B$20,(1+ROUNDDOWN((ROW()-ROW($C$5))*1/6,2)))</f>
        <v>Rubber Converting</v>
      </c>
      <c r="D64" s="411" t="s">
        <v>74</v>
      </c>
      <c r="E64" s="412" t="s">
        <v>73</v>
      </c>
      <c r="F64" s="273">
        <f>IF(E64="High-End",SUMIFS(Inhalation_Exp[24hr_High-End],Inhalation_Exp[OES],$C64,Inhalation_Exp[Worker Type],$D64),SUMIFS(Inhalation_Exp[24hr_Central Tendency],Inhalation_Exp[OES],$C64,Inhalation_Exp[Worker Type],$D64))</f>
        <v>6.2500000000000003E-3</v>
      </c>
      <c r="G64" s="273">
        <f>IF(E64="High-End",SUMIFS(Inhalation_Exp[Int_High-End],Inhalation_Exp[OES],$C64,Inhalation_Exp[Worker Type],$D64),SUMIFS(Inhalation_Exp[Int_Central Tendency],Inhalation_Exp[OES],$C64,Inhalation_Exp[Worker Type],$D64))</f>
        <v>4.5833333333333334E-3</v>
      </c>
      <c r="H64" s="273">
        <f>IF(E64="High-End",SUMIFS(Inhalation_Exp[ADD_High-End],Inhalation_Exp[OES],$C64,Inhalation_Exp[Worker Type],$D64),SUMIFS(Inhalation_Exp[ADD_Central Tendency],Inhalation_Exp[OES],$C64,Inhalation_Exp[Worker Type],$D64))</f>
        <v>3.7500000000000003E-3</v>
      </c>
      <c r="I64" s="327">
        <f>IF($E64="High-End",SUMIFS(Dermal_Exp[High-End AD (mg/kg-day)],Dermal_Exp[Worker Type],$D64,Dermal_Exp[OES],$C64),SUMIFS(Dermal_Exp[Central Tendency AD (mg/kg-day)],Dermal_Exp[Worker Type],$D64,Dermal_Exp[OES],$C64))</f>
        <v>1.8724999999999998E-3</v>
      </c>
      <c r="J64" s="327">
        <f>IF($E64="High-End",SUMIFS(Dermal_Exp[High-End IADD (mg/kg-day)],Dermal_Exp[Worker Type],$D64,Dermal_Exp[OES],$C64),SUMIFS(Dermal_Exp[Central Tendency IADD (mg/kg-day)],Dermal_Exp[Worker Type],$D64,Dermal_Exp[OES],$C64))</f>
        <v>1.3731666666666664E-3</v>
      </c>
      <c r="K64" s="327">
        <f>IF($E64="High-End",SUMIFS(Dermal_Exp[High-End ADD (mg/kg-day)],Dermal_Exp[Worker Type],$D64,Dermal_Exp[OES],$C64),SUMIFS(Dermal_Exp[Central Tendency ADD (mg/kg-day)],Dermal_Exp[Worker Type],$D64,Dermal_Exp[OES],$C64))</f>
        <v>1.1234999999999999E-3</v>
      </c>
      <c r="L64" s="327">
        <f t="shared" si="3"/>
        <v>8.1224999999999995E-3</v>
      </c>
      <c r="M64" s="327">
        <f t="shared" si="4"/>
        <v>5.9565E-3</v>
      </c>
      <c r="N64" s="327">
        <f t="shared" si="5"/>
        <v>4.8735000000000002E-3</v>
      </c>
    </row>
    <row r="65" spans="2:14" s="27" customFormat="1" x14ac:dyDescent="0.35">
      <c r="B65" s="28"/>
      <c r="C65" s="410" t="str" cm="1">
        <f t="array" ref="C65">INDEX('List Values'!$B$2:$B$20,(1+ROUNDDOWN((ROW()-ROW($C$5))*1/6,2)))</f>
        <v>Application of paints and coatings - Spray application</v>
      </c>
      <c r="D65" s="411" t="s">
        <v>57</v>
      </c>
      <c r="E65" s="412" t="s">
        <v>72</v>
      </c>
      <c r="F65" s="273">
        <f>IF(E65="High-End",SUMIFS(Inhalation_Exp[24hr_High-End],Inhalation_Exp[OES],$C65,Inhalation_Exp[Worker Type],$D65),SUMIFS(Inhalation_Exp[24hr_Central Tendency],Inhalation_Exp[OES],$C65,Inhalation_Exp[Worker Type],$D65))</f>
        <v>2.7625000000000002</v>
      </c>
      <c r="G65" s="273">
        <f>IF(E65="High-End",SUMIFS(Inhalation_Exp[Int_High-End],Inhalation_Exp[OES],$C65,Inhalation_Exp[Worker Type],$D65),SUMIFS(Inhalation_Exp[Int_Central Tendency],Inhalation_Exp[OES],$C65,Inhalation_Exp[Worker Type],$D65))</f>
        <v>2.0258333333333334</v>
      </c>
      <c r="H65" s="273">
        <f>IF(E65="High-End",SUMIFS(Inhalation_Exp[ADD_High-End],Inhalation_Exp[OES],$C65,Inhalation_Exp[Worker Type],$D65),SUMIFS(Inhalation_Exp[ADD_Central Tendency],Inhalation_Exp[OES],$C65,Inhalation_Exp[Worker Type],$D65))</f>
        <v>1.8921232876712328</v>
      </c>
      <c r="I65" s="327">
        <f>IF($E65="High-End",SUMIFS(Dermal_Exp[High-End AD (mg/kg-day)],Dermal_Exp[Worker Type],$D65,Dermal_Exp[OES],$C65),SUMIFS(Dermal_Exp[Central Tendency AD (mg/kg-day)],Dermal_Exp[Worker Type],$D65,Dermal_Exp[OES],$C65))</f>
        <v>7.4899999999999993E-3</v>
      </c>
      <c r="J65" s="327">
        <f>IF($E65="High-End",SUMIFS(Dermal_Exp[High-End IADD (mg/kg-day)],Dermal_Exp[Worker Type],$D65,Dermal_Exp[OES],$C65),SUMIFS(Dermal_Exp[Central Tendency IADD (mg/kg-day)],Dermal_Exp[Worker Type],$D65,Dermal_Exp[OES],$C65))</f>
        <v>5.4926666666666657E-3</v>
      </c>
      <c r="K65" s="327">
        <f>IF($E65="High-End",SUMIFS(Dermal_Exp[High-End ADD (mg/kg-day)],Dermal_Exp[Worker Type],$D65,Dermal_Exp[OES],$C65),SUMIFS(Dermal_Exp[Central Tendency ADD (mg/kg-day)],Dermal_Exp[Worker Type],$D65,Dermal_Exp[OES],$C65))</f>
        <v>5.1301369863013691E-3</v>
      </c>
      <c r="L65" s="327">
        <f t="shared" si="3"/>
        <v>2.7699900000000004</v>
      </c>
      <c r="M65" s="327">
        <f t="shared" si="4"/>
        <v>2.031326</v>
      </c>
      <c r="N65" s="327">
        <f t="shared" si="5"/>
        <v>1.8972534246575341</v>
      </c>
    </row>
    <row r="66" spans="2:14" s="27" customFormat="1" x14ac:dyDescent="0.35">
      <c r="B66" s="28"/>
      <c r="C66" s="410" t="str" cm="1">
        <f t="array" ref="C66">INDEX('List Values'!$B$2:$B$20,(1+ROUNDDOWN((ROW()-ROW($C$5))*1/6,2)))</f>
        <v>Application of paints and coatings - Spray application</v>
      </c>
      <c r="D66" s="411" t="s">
        <v>57</v>
      </c>
      <c r="E66" s="412" t="s">
        <v>73</v>
      </c>
      <c r="F66" s="273">
        <f>IF(E66="High-End",SUMIFS(Inhalation_Exp[24hr_High-End],Inhalation_Exp[OES],$C66,Inhalation_Exp[Worker Type],$D66),SUMIFS(Inhalation_Exp[24hr_Central Tendency],Inhalation_Exp[OES],$C66,Inhalation_Exp[Worker Type],$D66))</f>
        <v>4.2250000000000003E-2</v>
      </c>
      <c r="G66" s="273">
        <f>IF(E66="High-End",SUMIFS(Inhalation_Exp[Int_High-End],Inhalation_Exp[OES],$C66,Inhalation_Exp[Worker Type],$D66),SUMIFS(Inhalation_Exp[Int_Central Tendency],Inhalation_Exp[OES],$C66,Inhalation_Exp[Worker Type],$D66))</f>
        <v>3.0983333333333338E-2</v>
      </c>
      <c r="H66" s="273">
        <f>IF(E66="High-End",SUMIFS(Inhalation_Exp[ADD_High-End],Inhalation_Exp[OES],$C66,Inhalation_Exp[Worker Type],$D66),SUMIFS(Inhalation_Exp[ADD_Central Tendency],Inhalation_Exp[OES],$C66,Inhalation_Exp[Worker Type],$D66))</f>
        <v>2.8938356164383561E-2</v>
      </c>
      <c r="I66" s="327">
        <f>IF($E66="High-End",SUMIFS(Dermal_Exp[High-End AD (mg/kg-day)],Dermal_Exp[Worker Type],$D66,Dermal_Exp[OES],$C66),SUMIFS(Dermal_Exp[Central Tendency AD (mg/kg-day)],Dermal_Exp[Worker Type],$D66,Dermal_Exp[OES],$C66))</f>
        <v>3.7449999999999996E-3</v>
      </c>
      <c r="J66" s="327">
        <f>IF($E66="High-End",SUMIFS(Dermal_Exp[High-End IADD (mg/kg-day)],Dermal_Exp[Worker Type],$D66,Dermal_Exp[OES],$C66),SUMIFS(Dermal_Exp[Central Tendency IADD (mg/kg-day)],Dermal_Exp[Worker Type],$D66,Dermal_Exp[OES],$C66))</f>
        <v>2.7463333333333328E-3</v>
      </c>
      <c r="K66" s="327">
        <f>IF($E66="High-End",SUMIFS(Dermal_Exp[High-End ADD (mg/kg-day)],Dermal_Exp[Worker Type],$D66,Dermal_Exp[OES],$C66),SUMIFS(Dermal_Exp[Central Tendency ADD (mg/kg-day)],Dermal_Exp[Worker Type],$D66,Dermal_Exp[OES],$C66))</f>
        <v>2.5650684931506846E-3</v>
      </c>
      <c r="L66" s="327">
        <f t="shared" si="3"/>
        <v>4.5995000000000001E-2</v>
      </c>
      <c r="M66" s="327">
        <f t="shared" si="4"/>
        <v>3.3729666666666672E-2</v>
      </c>
      <c r="N66" s="327">
        <f t="shared" si="5"/>
        <v>3.1503424657534244E-2</v>
      </c>
    </row>
    <row r="67" spans="2:14" s="27" customFormat="1" x14ac:dyDescent="0.35">
      <c r="B67" s="28"/>
      <c r="C67" s="410" t="str" cm="1">
        <f t="array" ref="C67">INDEX('List Values'!$B$2:$B$20,(1+ROUNDDOWN((ROW()-ROW($C$5))*1/6,2)))</f>
        <v>Application of paints and coatings - Spray application</v>
      </c>
      <c r="D67" s="411" t="s">
        <v>168</v>
      </c>
      <c r="E67" s="412" t="s">
        <v>72</v>
      </c>
      <c r="F67" s="273">
        <f>IF(E67="High-End",SUMIFS(Inhalation_Exp[24hr_High-End],Inhalation_Exp[OES],$C67,Inhalation_Exp[Worker Type],$D67),SUMIFS(Inhalation_Exp[24hr_Central Tendency],Inhalation_Exp[OES],$C67,Inhalation_Exp[Worker Type],$D67))</f>
        <v>3.0514325163962717</v>
      </c>
      <c r="G67" s="273">
        <f>IF(E67="High-End",SUMIFS(Inhalation_Exp[Int_High-End],Inhalation_Exp[OES],$C67,Inhalation_Exp[Worker Type],$D67),SUMIFS(Inhalation_Exp[Int_Central Tendency],Inhalation_Exp[OES],$C67,Inhalation_Exp[Worker Type],$D67))</f>
        <v>2.2377171786905992</v>
      </c>
      <c r="H67" s="273">
        <f>IF(E67="High-End",SUMIFS(Inhalation_Exp[ADD_High-End],Inhalation_Exp[OES],$C67,Inhalation_Exp[Worker Type],$D67),SUMIFS(Inhalation_Exp[ADD_Central Tendency],Inhalation_Exp[OES],$C67,Inhalation_Exp[Worker Type],$D67))</f>
        <v>2.0900222715042958</v>
      </c>
      <c r="I67" s="327">
        <f>IF($E67="High-End",SUMIFS(Dermal_Exp[High-End AD (mg/kg-day)],Dermal_Exp[Worker Type],$D67,Dermal_Exp[OES],$C67),SUMIFS(Dermal_Exp[Central Tendency AD (mg/kg-day)],Dermal_Exp[Worker Type],$D67,Dermal_Exp[OES],$C67))</f>
        <v>6.8816016568864326E-3</v>
      </c>
      <c r="J67" s="327">
        <f>IF($E67="High-End",SUMIFS(Dermal_Exp[High-End IADD (mg/kg-day)],Dermal_Exp[Worker Type],$D67,Dermal_Exp[OES],$C67),SUMIFS(Dermal_Exp[Central Tendency IADD (mg/kg-day)],Dermal_Exp[Worker Type],$D67,Dermal_Exp[OES],$C67))</f>
        <v>5.0465078817167174E-3</v>
      </c>
      <c r="K67" s="327">
        <f>IF($E67="High-End",SUMIFS(Dermal_Exp[High-End ADD (mg/kg-day)],Dermal_Exp[Worker Type],$D67,Dermal_Exp[OES],$C67),SUMIFS(Dermal_Exp[Central Tendency ADD (mg/kg-day)],Dermal_Exp[Worker Type],$D67,Dermal_Exp[OES],$C67))</f>
        <v>4.713425792387968E-3</v>
      </c>
      <c r="L67" s="327">
        <f t="shared" si="3"/>
        <v>3.0583141180531581</v>
      </c>
      <c r="M67" s="327">
        <f t="shared" si="4"/>
        <v>2.242763686572316</v>
      </c>
      <c r="N67" s="327">
        <f t="shared" si="5"/>
        <v>2.0947356972966835</v>
      </c>
    </row>
    <row r="68" spans="2:14" s="27" customFormat="1" x14ac:dyDescent="0.35">
      <c r="B68" s="28"/>
      <c r="C68" s="410" t="str" cm="1">
        <f t="array" ref="C68">INDEX('List Values'!$B$2:$B$20,(1+ROUNDDOWN((ROW()-ROW($C$5))*1/6,2)))</f>
        <v>Application of paints and coatings - Spray application</v>
      </c>
      <c r="D68" s="411" t="s">
        <v>168</v>
      </c>
      <c r="E68" s="412" t="s">
        <v>73</v>
      </c>
      <c r="F68" s="273">
        <f>IF(E68="High-End",SUMIFS(Inhalation_Exp[24hr_High-End],Inhalation_Exp[OES],$C68,Inhalation_Exp[Worker Type],$D68),SUMIFS(Inhalation_Exp[24hr_Central Tendency],Inhalation_Exp[OES],$C68,Inhalation_Exp[Worker Type],$D68))</f>
        <v>4.6668967897825334E-2</v>
      </c>
      <c r="G68" s="273">
        <f>IF(E68="High-End",SUMIFS(Inhalation_Exp[Int_High-End],Inhalation_Exp[OES],$C68,Inhalation_Exp[Worker Type],$D68),SUMIFS(Inhalation_Exp[Int_Central Tendency],Inhalation_Exp[OES],$C68,Inhalation_Exp[Worker Type],$D68))</f>
        <v>3.4223909791738581E-2</v>
      </c>
      <c r="H68" s="273">
        <f>IF(E68="High-End",SUMIFS(Inhalation_Exp[ADD_High-End],Inhalation_Exp[OES],$C68,Inhalation_Exp[Worker Type],$D68),SUMIFS(Inhalation_Exp[ADD_Central Tendency],Inhalation_Exp[OES],$C68,Inhalation_Exp[Worker Type],$D68))</f>
        <v>3.196504650535982E-2</v>
      </c>
      <c r="I68" s="327">
        <f>IF($E68="High-End",SUMIFS(Dermal_Exp[High-End AD (mg/kg-day)],Dermal_Exp[Worker Type],$D68,Dermal_Exp[OES],$C68),SUMIFS(Dermal_Exp[Central Tendency AD (mg/kg-day)],Dermal_Exp[Worker Type],$D68,Dermal_Exp[OES],$C68))</f>
        <v>3.4408008284432163E-3</v>
      </c>
      <c r="J68" s="327">
        <f>IF($E68="High-End",SUMIFS(Dermal_Exp[High-End IADD (mg/kg-day)],Dermal_Exp[Worker Type],$D68,Dermal_Exp[OES],$C68),SUMIFS(Dermal_Exp[Central Tendency IADD (mg/kg-day)],Dermal_Exp[Worker Type],$D68,Dermal_Exp[OES],$C68))</f>
        <v>2.5232539408583587E-3</v>
      </c>
      <c r="K68" s="327">
        <f>IF($E68="High-End",SUMIFS(Dermal_Exp[High-End ADD (mg/kg-day)],Dermal_Exp[Worker Type],$D68,Dermal_Exp[OES],$C68),SUMIFS(Dermal_Exp[Central Tendency ADD (mg/kg-day)],Dermal_Exp[Worker Type],$D68,Dermal_Exp[OES],$C68))</f>
        <v>2.3567128961939836E-3</v>
      </c>
      <c r="L68" s="327">
        <f t="shared" si="3"/>
        <v>5.0109768726268551E-2</v>
      </c>
      <c r="M68" s="327">
        <f t="shared" si="4"/>
        <v>3.6747163732596941E-2</v>
      </c>
      <c r="N68" s="327">
        <f t="shared" si="5"/>
        <v>3.4321759401553804E-2</v>
      </c>
    </row>
    <row r="69" spans="2:14" s="27" customFormat="1" x14ac:dyDescent="0.35">
      <c r="B69" s="28"/>
      <c r="C69" s="410" t="str" cm="1">
        <f t="array" ref="C69">INDEX('List Values'!$B$2:$B$20,(1+ROUNDDOWN((ROW()-ROW($C$5))*1/6,2)))</f>
        <v>Application of paints and coatings - Spray application</v>
      </c>
      <c r="D69" s="411" t="s">
        <v>74</v>
      </c>
      <c r="E69" s="412" t="s">
        <v>72</v>
      </c>
      <c r="F69" s="273">
        <f>IF(E69="High-End",SUMIFS(Inhalation_Exp[24hr_High-End],Inhalation_Exp[OES],$C69,Inhalation_Exp[Worker Type],$D69),SUMIFS(Inhalation_Exp[24hr_Central Tendency],Inhalation_Exp[OES],$C69,Inhalation_Exp[Worker Type],$D69))</f>
        <v>4.2250000000000003E-2</v>
      </c>
      <c r="G69" s="273">
        <f>IF(E69="High-End",SUMIFS(Inhalation_Exp[Int_High-End],Inhalation_Exp[OES],$C69,Inhalation_Exp[Worker Type],$D69),SUMIFS(Inhalation_Exp[Int_Central Tendency],Inhalation_Exp[OES],$C69,Inhalation_Exp[Worker Type],$D69))</f>
        <v>3.0983333333333338E-2</v>
      </c>
      <c r="H69" s="273">
        <f>IF(E69="High-End",SUMIFS(Inhalation_Exp[ADD_High-End],Inhalation_Exp[OES],$C69,Inhalation_Exp[Worker Type],$D69),SUMIFS(Inhalation_Exp[ADD_Central Tendency],Inhalation_Exp[OES],$C69,Inhalation_Exp[Worker Type],$D69))</f>
        <v>2.8938356164383561E-2</v>
      </c>
      <c r="I69" s="327">
        <f>IF($E69="High-End",SUMIFS(Dermal_Exp[High-End AD (mg/kg-day)],Dermal_Exp[Worker Type],$D69,Dermal_Exp[OES],$C69),SUMIFS(Dermal_Exp[Central Tendency AD (mg/kg-day)],Dermal_Exp[Worker Type],$D69,Dermal_Exp[OES],$C69))</f>
        <v>3.7449999999999996E-3</v>
      </c>
      <c r="J69" s="327">
        <f>IF($E69="High-End",SUMIFS(Dermal_Exp[High-End IADD (mg/kg-day)],Dermal_Exp[Worker Type],$D69,Dermal_Exp[OES],$C69),SUMIFS(Dermal_Exp[Central Tendency IADD (mg/kg-day)],Dermal_Exp[Worker Type],$D69,Dermal_Exp[OES],$C69))</f>
        <v>2.7463333333333328E-3</v>
      </c>
      <c r="K69" s="327">
        <f>IF($E69="High-End",SUMIFS(Dermal_Exp[High-End ADD (mg/kg-day)],Dermal_Exp[Worker Type],$D69,Dermal_Exp[OES],$C69),SUMIFS(Dermal_Exp[Central Tendency ADD (mg/kg-day)],Dermal_Exp[Worker Type],$D69,Dermal_Exp[OES],$C69))</f>
        <v>2.5650684931506846E-3</v>
      </c>
      <c r="L69" s="327">
        <f t="shared" ref="L69:L100" si="6">F69+I69</f>
        <v>4.5995000000000001E-2</v>
      </c>
      <c r="M69" s="327">
        <f t="shared" ref="M69:M100" si="7">G69+J69</f>
        <v>3.3729666666666672E-2</v>
      </c>
      <c r="N69" s="327">
        <f t="shared" ref="N69:N100" si="8">H69+K69</f>
        <v>3.1503424657534244E-2</v>
      </c>
    </row>
    <row r="70" spans="2:14" s="27" customFormat="1" x14ac:dyDescent="0.35">
      <c r="B70" s="28"/>
      <c r="C70" s="410" t="str" cm="1">
        <f t="array" ref="C70">INDEX('List Values'!$B$2:$B$20,(1+ROUNDDOWN((ROW()-ROW($C$5))*1/6,2)))</f>
        <v>Application of paints and coatings - Spray application</v>
      </c>
      <c r="D70" s="411" t="s">
        <v>74</v>
      </c>
      <c r="E70" s="412" t="s">
        <v>73</v>
      </c>
      <c r="F70" s="273">
        <f>IF(E70="High-End",SUMIFS(Inhalation_Exp[24hr_High-End],Inhalation_Exp[OES],$C70,Inhalation_Exp[Worker Type],$D70),SUMIFS(Inhalation_Exp[24hr_Central Tendency],Inhalation_Exp[OES],$C70,Inhalation_Exp[Worker Type],$D70))</f>
        <v>4.2250000000000003E-2</v>
      </c>
      <c r="G70" s="273">
        <f>IF(E70="High-End",SUMIFS(Inhalation_Exp[Int_High-End],Inhalation_Exp[OES],$C70,Inhalation_Exp[Worker Type],$D70),SUMIFS(Inhalation_Exp[Int_Central Tendency],Inhalation_Exp[OES],$C70,Inhalation_Exp[Worker Type],$D70))</f>
        <v>3.0983333333333338E-2</v>
      </c>
      <c r="H70" s="273">
        <f>IF(E70="High-End",SUMIFS(Inhalation_Exp[ADD_High-End],Inhalation_Exp[OES],$C70,Inhalation_Exp[Worker Type],$D70),SUMIFS(Inhalation_Exp[ADD_Central Tendency],Inhalation_Exp[OES],$C70,Inhalation_Exp[Worker Type],$D70))</f>
        <v>2.8938356164383561E-2</v>
      </c>
      <c r="I70" s="327">
        <f>IF($E70="High-End",SUMIFS(Dermal_Exp[High-End AD (mg/kg-day)],Dermal_Exp[Worker Type],$D70,Dermal_Exp[OES],$C70),SUMIFS(Dermal_Exp[Central Tendency AD (mg/kg-day)],Dermal_Exp[Worker Type],$D70,Dermal_Exp[OES],$C70))</f>
        <v>1.8724999999999998E-3</v>
      </c>
      <c r="J70" s="327">
        <f>IF($E70="High-End",SUMIFS(Dermal_Exp[High-End IADD (mg/kg-day)],Dermal_Exp[Worker Type],$D70,Dermal_Exp[OES],$C70),SUMIFS(Dermal_Exp[Central Tendency IADD (mg/kg-day)],Dermal_Exp[Worker Type],$D70,Dermal_Exp[OES],$C70))</f>
        <v>1.3731666666666664E-3</v>
      </c>
      <c r="K70" s="327">
        <f>IF($E70="High-End",SUMIFS(Dermal_Exp[High-End ADD (mg/kg-day)],Dermal_Exp[Worker Type],$D70,Dermal_Exp[OES],$C70),SUMIFS(Dermal_Exp[Central Tendency ADD (mg/kg-day)],Dermal_Exp[Worker Type],$D70,Dermal_Exp[OES],$C70))</f>
        <v>1.2825342465753423E-3</v>
      </c>
      <c r="L70" s="327">
        <f t="shared" si="6"/>
        <v>4.4122500000000002E-2</v>
      </c>
      <c r="M70" s="327">
        <f t="shared" si="7"/>
        <v>3.2356500000000003E-2</v>
      </c>
      <c r="N70" s="327">
        <f t="shared" si="8"/>
        <v>3.0220890410958903E-2</v>
      </c>
    </row>
    <row r="71" spans="2:14" s="27" customFormat="1" x14ac:dyDescent="0.35">
      <c r="B71" s="28"/>
      <c r="C71" s="410" t="str" cm="1">
        <f t="array" ref="C71">INDEX('List Values'!$B$2:$B$20,(1+ROUNDDOWN((ROW()-ROW($C$5))*1/6,2)))</f>
        <v>Application of paints and coatings - Non spray application</v>
      </c>
      <c r="D71" s="411" t="s">
        <v>57</v>
      </c>
      <c r="E71" s="412" t="s">
        <v>72</v>
      </c>
      <c r="F71" s="273">
        <f>IF(E71="High-End",SUMIFS(Inhalation_Exp[24hr_High-End],Inhalation_Exp[OES],$C71,Inhalation_Exp[Worker Type],$D71),SUMIFS(Inhalation_Exp[24hr_Central Tendency],Inhalation_Exp[OES],$C71,Inhalation_Exp[Worker Type],$D71))</f>
        <v>2.2875E-3</v>
      </c>
      <c r="G71" s="273">
        <f>IF(E71="High-End",SUMIFS(Inhalation_Exp[Int_High-End],Inhalation_Exp[OES],$C71,Inhalation_Exp[Worker Type],$D71),SUMIFS(Inhalation_Exp[Int_Central Tendency],Inhalation_Exp[OES],$C71,Inhalation_Exp[Worker Type],$D71))</f>
        <v>1.6775E-3</v>
      </c>
      <c r="H71" s="273">
        <f>IF(E71="High-End",SUMIFS(Inhalation_Exp[ADD_High-End],Inhalation_Exp[OES],$C71,Inhalation_Exp[Worker Type],$D71),SUMIFS(Inhalation_Exp[ADD_Central Tendency],Inhalation_Exp[OES],$C71,Inhalation_Exp[Worker Type],$D71))</f>
        <v>1.5667808219178082E-3</v>
      </c>
      <c r="I71" s="327">
        <f>IF($E71="High-End",SUMIFS(Dermal_Exp[High-End AD (mg/kg-day)],Dermal_Exp[Worker Type],$D71,Dermal_Exp[OES],$C71),SUMIFS(Dermal_Exp[Central Tendency AD (mg/kg-day)],Dermal_Exp[Worker Type],$D71,Dermal_Exp[OES],$C71))</f>
        <v>7.4899999999999993E-3</v>
      </c>
      <c r="J71" s="327">
        <f>IF($E71="High-End",SUMIFS(Dermal_Exp[High-End IADD (mg/kg-day)],Dermal_Exp[Worker Type],$D71,Dermal_Exp[OES],$C71),SUMIFS(Dermal_Exp[Central Tendency IADD (mg/kg-day)],Dermal_Exp[Worker Type],$D71,Dermal_Exp[OES],$C71))</f>
        <v>5.4926666666666657E-3</v>
      </c>
      <c r="K71" s="327">
        <f>IF($E71="High-End",SUMIFS(Dermal_Exp[High-End ADD (mg/kg-day)],Dermal_Exp[Worker Type],$D71,Dermal_Exp[OES],$C71),SUMIFS(Dermal_Exp[Central Tendency ADD (mg/kg-day)],Dermal_Exp[Worker Type],$D71,Dermal_Exp[OES],$C71))</f>
        <v>5.1301369863013691E-3</v>
      </c>
      <c r="L71" s="327">
        <f t="shared" si="6"/>
        <v>9.7774999999999997E-3</v>
      </c>
      <c r="M71" s="327">
        <f t="shared" si="7"/>
        <v>7.1701666666666658E-3</v>
      </c>
      <c r="N71" s="327">
        <f t="shared" si="8"/>
        <v>6.6969178082191775E-3</v>
      </c>
    </row>
    <row r="72" spans="2:14" s="27" customFormat="1" x14ac:dyDescent="0.35">
      <c r="B72" s="28"/>
      <c r="C72" s="410" t="str" cm="1">
        <f t="array" ref="C72">INDEX('List Values'!$B$2:$B$20,(1+ROUNDDOWN((ROW()-ROW($C$5))*1/6,2)))</f>
        <v>Application of paints and coatings - Non spray application</v>
      </c>
      <c r="D72" s="411" t="s">
        <v>57</v>
      </c>
      <c r="E72" s="412" t="s">
        <v>73</v>
      </c>
      <c r="F72" s="273">
        <f>IF(E72="High-End",SUMIFS(Inhalation_Exp[24hr_High-End],Inhalation_Exp[OES],$C72,Inhalation_Exp[Worker Type],$D72),SUMIFS(Inhalation_Exp[24hr_Central Tendency],Inhalation_Exp[OES],$C72,Inhalation_Exp[Worker Type],$D72))</f>
        <v>5.0000000000000001E-4</v>
      </c>
      <c r="G72" s="273">
        <f>IF(E72="High-End",SUMIFS(Inhalation_Exp[Int_High-End],Inhalation_Exp[OES],$C72,Inhalation_Exp[Worker Type],$D72),SUMIFS(Inhalation_Exp[Int_Central Tendency],Inhalation_Exp[OES],$C72,Inhalation_Exp[Worker Type],$D72))</f>
        <v>3.6666666666666667E-4</v>
      </c>
      <c r="H72" s="273">
        <f>IF(E72="High-End",SUMIFS(Inhalation_Exp[ADD_High-End],Inhalation_Exp[OES],$C72,Inhalation_Exp[Worker Type],$D72),SUMIFS(Inhalation_Exp[ADD_Central Tendency],Inhalation_Exp[OES],$C72,Inhalation_Exp[Worker Type],$D72))</f>
        <v>3.4246575342465754E-4</v>
      </c>
      <c r="I72" s="327">
        <f>IF($E72="High-End",SUMIFS(Dermal_Exp[High-End AD (mg/kg-day)],Dermal_Exp[Worker Type],$D72,Dermal_Exp[OES],$C72),SUMIFS(Dermal_Exp[Central Tendency AD (mg/kg-day)],Dermal_Exp[Worker Type],$D72,Dermal_Exp[OES],$C72))</f>
        <v>3.7449999999999996E-3</v>
      </c>
      <c r="J72" s="327">
        <f>IF($E72="High-End",SUMIFS(Dermal_Exp[High-End IADD (mg/kg-day)],Dermal_Exp[Worker Type],$D72,Dermal_Exp[OES],$C72),SUMIFS(Dermal_Exp[Central Tendency IADD (mg/kg-day)],Dermal_Exp[Worker Type],$D72,Dermal_Exp[OES],$C72))</f>
        <v>2.7463333333333328E-3</v>
      </c>
      <c r="K72" s="327">
        <f>IF($E72="High-End",SUMIFS(Dermal_Exp[High-End ADD (mg/kg-day)],Dermal_Exp[Worker Type],$D72,Dermal_Exp[OES],$C72),SUMIFS(Dermal_Exp[Central Tendency ADD (mg/kg-day)],Dermal_Exp[Worker Type],$D72,Dermal_Exp[OES],$C72))</f>
        <v>2.5650684931506846E-3</v>
      </c>
      <c r="L72" s="327">
        <f t="shared" si="6"/>
        <v>4.2449999999999996E-3</v>
      </c>
      <c r="M72" s="327">
        <f t="shared" si="7"/>
        <v>3.1129999999999994E-3</v>
      </c>
      <c r="N72" s="327">
        <f t="shared" si="8"/>
        <v>2.907534246575342E-3</v>
      </c>
    </row>
    <row r="73" spans="2:14" s="27" customFormat="1" x14ac:dyDescent="0.35">
      <c r="B73" s="28"/>
      <c r="C73" s="410" t="str" cm="1">
        <f t="array" ref="C73">INDEX('List Values'!$B$2:$B$20,(1+ROUNDDOWN((ROW()-ROW($C$5))*1/6,2)))</f>
        <v>Application of paints and coatings - Non spray application</v>
      </c>
      <c r="D73" s="411" t="s">
        <v>168</v>
      </c>
      <c r="E73" s="412" t="s">
        <v>72</v>
      </c>
      <c r="F73" s="273">
        <f>IF(E73="High-End",SUMIFS(Inhalation_Exp[24hr_High-End],Inhalation_Exp[OES],$C73,Inhalation_Exp[Worker Type],$D73),SUMIFS(Inhalation_Exp[24hr_Central Tendency],Inhalation_Exp[OES],$C73,Inhalation_Exp[Worker Type],$D73))</f>
        <v>2.5267518122195371E-3</v>
      </c>
      <c r="G73" s="273">
        <f>IF(E73="High-End",SUMIFS(Inhalation_Exp[Int_High-End],Inhalation_Exp[OES],$C73,Inhalation_Exp[Worker Type],$D73),SUMIFS(Inhalation_Exp[Int_Central Tendency],Inhalation_Exp[OES],$C73,Inhalation_Exp[Worker Type],$D73))</f>
        <v>1.8529513289609939E-3</v>
      </c>
      <c r="H73" s="273">
        <f>IF(E73="High-End",SUMIFS(Inhalation_Exp[ADD_High-End],Inhalation_Exp[OES],$C73,Inhalation_Exp[Worker Type],$D73),SUMIFS(Inhalation_Exp[ADD_Central Tendency],Inhalation_Exp[OES],$C73,Inhalation_Exp[Worker Type],$D73))</f>
        <v>1.7306519261777651E-3</v>
      </c>
      <c r="I73" s="327">
        <f>IF($E73="High-End",SUMIFS(Dermal_Exp[High-End AD (mg/kg-day)],Dermal_Exp[Worker Type],$D73,Dermal_Exp[OES],$C73),SUMIFS(Dermal_Exp[Central Tendency AD (mg/kg-day)],Dermal_Exp[Worker Type],$D73,Dermal_Exp[OES],$C73))</f>
        <v>6.8816016568864326E-3</v>
      </c>
      <c r="J73" s="327">
        <f>IF($E73="High-End",SUMIFS(Dermal_Exp[High-End IADD (mg/kg-day)],Dermal_Exp[Worker Type],$D73,Dermal_Exp[OES],$C73),SUMIFS(Dermal_Exp[Central Tendency IADD (mg/kg-day)],Dermal_Exp[Worker Type],$D73,Dermal_Exp[OES],$C73))</f>
        <v>5.0465078817167174E-3</v>
      </c>
      <c r="K73" s="327">
        <f>IF($E73="High-End",SUMIFS(Dermal_Exp[High-End ADD (mg/kg-day)],Dermal_Exp[Worker Type],$D73,Dermal_Exp[OES],$C73),SUMIFS(Dermal_Exp[Central Tendency ADD (mg/kg-day)],Dermal_Exp[Worker Type],$D73,Dermal_Exp[OES],$C73))</f>
        <v>4.713425792387968E-3</v>
      </c>
      <c r="L73" s="327">
        <f t="shared" si="6"/>
        <v>9.4083534691059706E-3</v>
      </c>
      <c r="M73" s="327">
        <f t="shared" si="7"/>
        <v>6.8994592106777115E-3</v>
      </c>
      <c r="N73" s="327">
        <f t="shared" si="8"/>
        <v>6.4440777185657333E-3</v>
      </c>
    </row>
    <row r="74" spans="2:14" s="27" customFormat="1" x14ac:dyDescent="0.35">
      <c r="B74" s="28"/>
      <c r="C74" s="410" t="str" cm="1">
        <f t="array" ref="C74">INDEX('List Values'!$B$2:$B$20,(1+ROUNDDOWN((ROW()-ROW($C$5))*1/6,2)))</f>
        <v>Application of paints and coatings - Non spray application</v>
      </c>
      <c r="D74" s="411" t="s">
        <v>168</v>
      </c>
      <c r="E74" s="412" t="s">
        <v>73</v>
      </c>
      <c r="F74" s="273">
        <f>IF(E74="High-End",SUMIFS(Inhalation_Exp[24hr_High-End],Inhalation_Exp[OES],$C74,Inhalation_Exp[Worker Type],$D74),SUMIFS(Inhalation_Exp[24hr_Central Tendency],Inhalation_Exp[OES],$C74,Inhalation_Exp[Worker Type],$D74))</f>
        <v>5.5229547808077317E-4</v>
      </c>
      <c r="G74" s="273">
        <f>IF(E74="High-End",SUMIFS(Inhalation_Exp[Int_High-End],Inhalation_Exp[OES],$C74,Inhalation_Exp[Worker Type],$D74),SUMIFS(Inhalation_Exp[Int_Central Tendency],Inhalation_Exp[OES],$C74,Inhalation_Exp[Worker Type],$D74))</f>
        <v>4.0501668392590036E-4</v>
      </c>
      <c r="H74" s="273">
        <f>IF(E74="High-End",SUMIFS(Inhalation_Exp[ADD_High-End],Inhalation_Exp[OES],$C74,Inhalation_Exp[Worker Type],$D74),SUMIFS(Inhalation_Exp[ADD_Central Tendency],Inhalation_Exp[OES],$C74,Inhalation_Exp[Worker Type],$D74))</f>
        <v>3.7828457402792686E-4</v>
      </c>
      <c r="I74" s="327">
        <f>IF($E74="High-End",SUMIFS(Dermal_Exp[High-End AD (mg/kg-day)],Dermal_Exp[Worker Type],$D74,Dermal_Exp[OES],$C74),SUMIFS(Dermal_Exp[Central Tendency AD (mg/kg-day)],Dermal_Exp[Worker Type],$D74,Dermal_Exp[OES],$C74))</f>
        <v>3.4408008284432163E-3</v>
      </c>
      <c r="J74" s="327">
        <f>IF($E74="High-End",SUMIFS(Dermal_Exp[High-End IADD (mg/kg-day)],Dermal_Exp[Worker Type],$D74,Dermal_Exp[OES],$C74),SUMIFS(Dermal_Exp[Central Tendency IADD (mg/kg-day)],Dermal_Exp[Worker Type],$D74,Dermal_Exp[OES],$C74))</f>
        <v>2.5232539408583587E-3</v>
      </c>
      <c r="K74" s="327">
        <f>IF($E74="High-End",SUMIFS(Dermal_Exp[High-End ADD (mg/kg-day)],Dermal_Exp[Worker Type],$D74,Dermal_Exp[OES],$C74),SUMIFS(Dermal_Exp[Central Tendency ADD (mg/kg-day)],Dermal_Exp[Worker Type],$D74,Dermal_Exp[OES],$C74))</f>
        <v>2.3567128961939836E-3</v>
      </c>
      <c r="L74" s="327">
        <f t="shared" si="6"/>
        <v>3.9930963065239891E-3</v>
      </c>
      <c r="M74" s="327">
        <f t="shared" si="7"/>
        <v>2.9282706247842592E-3</v>
      </c>
      <c r="N74" s="327">
        <f t="shared" si="8"/>
        <v>2.7349974702219103E-3</v>
      </c>
    </row>
    <row r="75" spans="2:14" s="27" customFormat="1" x14ac:dyDescent="0.35">
      <c r="B75" s="28"/>
      <c r="C75" s="410" t="str" cm="1">
        <f t="array" ref="C75">INDEX('List Values'!$B$2:$B$20,(1+ROUNDDOWN((ROW()-ROW($C$5))*1/6,2)))</f>
        <v>Application of paints and coatings - Non spray application</v>
      </c>
      <c r="D75" s="411" t="s">
        <v>74</v>
      </c>
      <c r="E75" s="412" t="s">
        <v>72</v>
      </c>
      <c r="F75" s="273">
        <f>IF(E75="High-End",SUMIFS(Inhalation_Exp[24hr_High-End],Inhalation_Exp[OES],$C75,Inhalation_Exp[Worker Type],$D75),SUMIFS(Inhalation_Exp[24hr_Central Tendency],Inhalation_Exp[OES],$C75,Inhalation_Exp[Worker Type],$D75))</f>
        <v>5.0000000000000001E-4</v>
      </c>
      <c r="G75" s="273">
        <f>IF(E75="High-End",SUMIFS(Inhalation_Exp[Int_High-End],Inhalation_Exp[OES],$C75,Inhalation_Exp[Worker Type],$D75),SUMIFS(Inhalation_Exp[Int_Central Tendency],Inhalation_Exp[OES],$C75,Inhalation_Exp[Worker Type],$D75))</f>
        <v>3.6666666666666667E-4</v>
      </c>
      <c r="H75" s="273">
        <f>IF(E75="High-End",SUMIFS(Inhalation_Exp[ADD_High-End],Inhalation_Exp[OES],$C75,Inhalation_Exp[Worker Type],$D75),SUMIFS(Inhalation_Exp[ADD_Central Tendency],Inhalation_Exp[OES],$C75,Inhalation_Exp[Worker Type],$D75))</f>
        <v>3.4246575342465754E-4</v>
      </c>
      <c r="I75" s="327">
        <f>IF($E75="High-End",SUMIFS(Dermal_Exp[High-End AD (mg/kg-day)],Dermal_Exp[Worker Type],$D75,Dermal_Exp[OES],$C75),SUMIFS(Dermal_Exp[Central Tendency AD (mg/kg-day)],Dermal_Exp[Worker Type],$D75,Dermal_Exp[OES],$C75))</f>
        <v>0</v>
      </c>
      <c r="J75" s="327">
        <f>IF($E75="High-End",SUMIFS(Dermal_Exp[High-End IADD (mg/kg-day)],Dermal_Exp[Worker Type],$D75,Dermal_Exp[OES],$C75),SUMIFS(Dermal_Exp[Central Tendency IADD (mg/kg-day)],Dermal_Exp[Worker Type],$D75,Dermal_Exp[OES],$C75))</f>
        <v>0</v>
      </c>
      <c r="K75" s="327">
        <f>IF($E75="High-End",SUMIFS(Dermal_Exp[High-End ADD (mg/kg-day)],Dermal_Exp[Worker Type],$D75,Dermal_Exp[OES],$C75),SUMIFS(Dermal_Exp[Central Tendency ADD (mg/kg-day)],Dermal_Exp[Worker Type],$D75,Dermal_Exp[OES],$C75))</f>
        <v>0</v>
      </c>
      <c r="L75" s="327">
        <f t="shared" si="6"/>
        <v>5.0000000000000001E-4</v>
      </c>
      <c r="M75" s="327">
        <f t="shared" si="7"/>
        <v>3.6666666666666667E-4</v>
      </c>
      <c r="N75" s="327">
        <f t="shared" si="8"/>
        <v>3.4246575342465754E-4</v>
      </c>
    </row>
    <row r="76" spans="2:14" s="27" customFormat="1" x14ac:dyDescent="0.35">
      <c r="B76" s="28"/>
      <c r="C76" s="410" t="str" cm="1">
        <f t="array" ref="C76">INDEX('List Values'!$B$2:$B$20,(1+ROUNDDOWN((ROW()-ROW($C$5))*1/6,2)))</f>
        <v>Application of paints and coatings - Non spray application</v>
      </c>
      <c r="D76" s="411" t="s">
        <v>74</v>
      </c>
      <c r="E76" s="412" t="s">
        <v>73</v>
      </c>
      <c r="F76" s="273">
        <f>IF(E76="High-End",SUMIFS(Inhalation_Exp[24hr_High-End],Inhalation_Exp[OES],$C76,Inhalation_Exp[Worker Type],$D76),SUMIFS(Inhalation_Exp[24hr_Central Tendency],Inhalation_Exp[OES],$C76,Inhalation_Exp[Worker Type],$D76))</f>
        <v>5.0000000000000001E-4</v>
      </c>
      <c r="G76" s="273">
        <f>IF(E76="High-End",SUMIFS(Inhalation_Exp[Int_High-End],Inhalation_Exp[OES],$C76,Inhalation_Exp[Worker Type],$D76),SUMIFS(Inhalation_Exp[Int_Central Tendency],Inhalation_Exp[OES],$C76,Inhalation_Exp[Worker Type],$D76))</f>
        <v>3.6666666666666667E-4</v>
      </c>
      <c r="H76" s="273">
        <f>IF(E76="High-End",SUMIFS(Inhalation_Exp[ADD_High-End],Inhalation_Exp[OES],$C76,Inhalation_Exp[Worker Type],$D76),SUMIFS(Inhalation_Exp[ADD_Central Tendency],Inhalation_Exp[OES],$C76,Inhalation_Exp[Worker Type],$D76))</f>
        <v>3.4246575342465754E-4</v>
      </c>
      <c r="I76" s="327">
        <f>IF($E76="High-End",SUMIFS(Dermal_Exp[High-End AD (mg/kg-day)],Dermal_Exp[Worker Type],$D76,Dermal_Exp[OES],$C76),SUMIFS(Dermal_Exp[Central Tendency AD (mg/kg-day)],Dermal_Exp[Worker Type],$D76,Dermal_Exp[OES],$C76))</f>
        <v>0</v>
      </c>
      <c r="J76" s="327">
        <f>IF($E76="High-End",SUMIFS(Dermal_Exp[High-End IADD (mg/kg-day)],Dermal_Exp[Worker Type],$D76,Dermal_Exp[OES],$C76),SUMIFS(Dermal_Exp[Central Tendency IADD (mg/kg-day)],Dermal_Exp[Worker Type],$D76,Dermal_Exp[OES],$C76))</f>
        <v>0</v>
      </c>
      <c r="K76" s="327">
        <f>IF($E76="High-End",SUMIFS(Dermal_Exp[High-End ADD (mg/kg-day)],Dermal_Exp[Worker Type],$D76,Dermal_Exp[OES],$C76),SUMIFS(Dermal_Exp[Central Tendency ADD (mg/kg-day)],Dermal_Exp[Worker Type],$D76,Dermal_Exp[OES],$C76))</f>
        <v>0</v>
      </c>
      <c r="L76" s="327">
        <f t="shared" si="6"/>
        <v>5.0000000000000001E-4</v>
      </c>
      <c r="M76" s="327">
        <f t="shared" si="7"/>
        <v>3.6666666666666667E-4</v>
      </c>
      <c r="N76" s="327">
        <f t="shared" si="8"/>
        <v>3.4246575342465754E-4</v>
      </c>
    </row>
    <row r="77" spans="2:14" s="27" customFormat="1" x14ac:dyDescent="0.35">
      <c r="B77" s="28"/>
      <c r="C77" s="410" t="str" cm="1">
        <f t="array" ref="C77">INDEX('List Values'!$B$2:$B$20,(1+ROUNDDOWN((ROW()-ROW($C$5))*1/6,2)))</f>
        <v>Application of Adhesives and Sealants - Spray application</v>
      </c>
      <c r="D77" s="411" t="s">
        <v>57</v>
      </c>
      <c r="E77" s="412" t="s">
        <v>72</v>
      </c>
      <c r="F77" s="273">
        <f>IF(E77="High-End",SUMIFS(Inhalation_Exp[24hr_High-End],Inhalation_Exp[OES],$C77,Inhalation_Exp[Worker Type],$D77),SUMIFS(Inhalation_Exp[24hr_Central Tendency],Inhalation_Exp[OES],$C77,Inhalation_Exp[Worker Type],$D77))</f>
        <v>2.7625000000000002</v>
      </c>
      <c r="G77" s="273">
        <f>IF(E77="High-End",SUMIFS(Inhalation_Exp[Int_High-End],Inhalation_Exp[OES],$C77,Inhalation_Exp[Worker Type],$D77),SUMIFS(Inhalation_Exp[Int_Central Tendency],Inhalation_Exp[OES],$C77,Inhalation_Exp[Worker Type],$D77))</f>
        <v>2.0258333333333334</v>
      </c>
      <c r="H77" s="273">
        <f>IF(E77="High-End",SUMIFS(Inhalation_Exp[ADD_High-End],Inhalation_Exp[OES],$C77,Inhalation_Exp[Worker Type],$D77),SUMIFS(Inhalation_Exp[ADD_Central Tendency],Inhalation_Exp[OES],$C77,Inhalation_Exp[Worker Type],$D77))</f>
        <v>1.8921232876712328</v>
      </c>
      <c r="I77" s="327">
        <f>IF($E77="High-End",SUMIFS(Dermal_Exp[High-End AD (mg/kg-day)],Dermal_Exp[Worker Type],$D77,Dermal_Exp[OES],$C77),SUMIFS(Dermal_Exp[Central Tendency AD (mg/kg-day)],Dermal_Exp[Worker Type],$D77,Dermal_Exp[OES],$C77))</f>
        <v>7.4899999999999993E-3</v>
      </c>
      <c r="J77" s="327">
        <f>IF($E77="High-End",SUMIFS(Dermal_Exp[High-End IADD (mg/kg-day)],Dermal_Exp[Worker Type],$D77,Dermal_Exp[OES],$C77),SUMIFS(Dermal_Exp[Central Tendency IADD (mg/kg-day)],Dermal_Exp[Worker Type],$D77,Dermal_Exp[OES],$C77))</f>
        <v>5.4926666666666657E-3</v>
      </c>
      <c r="K77" s="327">
        <f>IF($E77="High-End",SUMIFS(Dermal_Exp[High-End ADD (mg/kg-day)],Dermal_Exp[Worker Type],$D77,Dermal_Exp[OES],$C77),SUMIFS(Dermal_Exp[Central Tendency ADD (mg/kg-day)],Dermal_Exp[Worker Type],$D77,Dermal_Exp[OES],$C77))</f>
        <v>5.1301369863013691E-3</v>
      </c>
      <c r="L77" s="327">
        <f t="shared" si="6"/>
        <v>2.7699900000000004</v>
      </c>
      <c r="M77" s="327">
        <f t="shared" si="7"/>
        <v>2.031326</v>
      </c>
      <c r="N77" s="327">
        <f t="shared" si="8"/>
        <v>1.8972534246575341</v>
      </c>
    </row>
    <row r="78" spans="2:14" s="27" customFormat="1" x14ac:dyDescent="0.35">
      <c r="B78" s="28"/>
      <c r="C78" s="410" t="str" cm="1">
        <f t="array" ref="C78">INDEX('List Values'!$B$2:$B$20,(1+ROUNDDOWN((ROW()-ROW($C$5))*1/6,2)))</f>
        <v>Application of Adhesives and Sealants - Spray application</v>
      </c>
      <c r="D78" s="411" t="s">
        <v>57</v>
      </c>
      <c r="E78" s="412" t="s">
        <v>73</v>
      </c>
      <c r="F78" s="273">
        <f>IF(E78="High-End",SUMIFS(Inhalation_Exp[24hr_High-End],Inhalation_Exp[OES],$C78,Inhalation_Exp[Worker Type],$D78),SUMIFS(Inhalation_Exp[24hr_Central Tendency],Inhalation_Exp[OES],$C78,Inhalation_Exp[Worker Type],$D78))</f>
        <v>0.25374999999999998</v>
      </c>
      <c r="G78" s="273">
        <f>IF(E78="High-End",SUMIFS(Inhalation_Exp[Int_High-End],Inhalation_Exp[OES],$C78,Inhalation_Exp[Worker Type],$D78),SUMIFS(Inhalation_Exp[Int_Central Tendency],Inhalation_Exp[OES],$C78,Inhalation_Exp[Worker Type],$D78))</f>
        <v>0.18608333333333332</v>
      </c>
      <c r="H78" s="273">
        <f>IF(E78="High-End",SUMIFS(Inhalation_Exp[ADD_High-End],Inhalation_Exp[OES],$C78,Inhalation_Exp[Worker Type],$D78),SUMIFS(Inhalation_Exp[ADD_Central Tendency],Inhalation_Exp[OES],$C78,Inhalation_Exp[Worker Type],$D78))</f>
        <v>0.16128767123287671</v>
      </c>
      <c r="I78" s="327">
        <f>IF($E78="High-End",SUMIFS(Dermal_Exp[High-End AD (mg/kg-day)],Dermal_Exp[Worker Type],$D78,Dermal_Exp[OES],$C78),SUMIFS(Dermal_Exp[Central Tendency AD (mg/kg-day)],Dermal_Exp[Worker Type],$D78,Dermal_Exp[OES],$C78))</f>
        <v>3.7449999999999996E-3</v>
      </c>
      <c r="J78" s="327">
        <f>IF($E78="High-End",SUMIFS(Dermal_Exp[High-End IADD (mg/kg-day)],Dermal_Exp[Worker Type],$D78,Dermal_Exp[OES],$C78),SUMIFS(Dermal_Exp[Central Tendency IADD (mg/kg-day)],Dermal_Exp[Worker Type],$D78,Dermal_Exp[OES],$C78))</f>
        <v>2.7463333333333328E-3</v>
      </c>
      <c r="K78" s="327">
        <f>IF($E78="High-End",SUMIFS(Dermal_Exp[High-End ADD (mg/kg-day)],Dermal_Exp[Worker Type],$D78,Dermal_Exp[OES],$C78),SUMIFS(Dermal_Exp[Central Tendency ADD (mg/kg-day)],Dermal_Exp[Worker Type],$D78,Dermal_Exp[OES],$C78))</f>
        <v>2.3803835616438354E-3</v>
      </c>
      <c r="L78" s="327">
        <f t="shared" si="6"/>
        <v>0.25749499999999997</v>
      </c>
      <c r="M78" s="327">
        <f t="shared" si="7"/>
        <v>0.18882966666666665</v>
      </c>
      <c r="N78" s="327">
        <f t="shared" si="8"/>
        <v>0.16366805479452054</v>
      </c>
    </row>
    <row r="79" spans="2:14" s="27" customFormat="1" x14ac:dyDescent="0.35">
      <c r="B79" s="28"/>
      <c r="C79" s="410" t="str" cm="1">
        <f t="array" ref="C79">INDEX('List Values'!$B$2:$B$20,(1+ROUNDDOWN((ROW()-ROW($C$5))*1/6,2)))</f>
        <v>Application of Adhesives and Sealants - Spray application</v>
      </c>
      <c r="D79" s="411" t="s">
        <v>168</v>
      </c>
      <c r="E79" s="412" t="s">
        <v>72</v>
      </c>
      <c r="F79" s="273">
        <f>IF(E79="High-End",SUMIFS(Inhalation_Exp[24hr_High-End],Inhalation_Exp[OES],$C79,Inhalation_Exp[Worker Type],$D79),SUMIFS(Inhalation_Exp[24hr_Central Tendency],Inhalation_Exp[OES],$C79,Inhalation_Exp[Worker Type],$D79))</f>
        <v>3.0514325163962717</v>
      </c>
      <c r="G79" s="273">
        <f>IF(E79="High-End",SUMIFS(Inhalation_Exp[Int_High-End],Inhalation_Exp[OES],$C79,Inhalation_Exp[Worker Type],$D79),SUMIFS(Inhalation_Exp[Int_Central Tendency],Inhalation_Exp[OES],$C79,Inhalation_Exp[Worker Type],$D79))</f>
        <v>2.2377171786905992</v>
      </c>
      <c r="H79" s="273">
        <f>IF(E79="High-End",SUMIFS(Inhalation_Exp[ADD_High-End],Inhalation_Exp[OES],$C79,Inhalation_Exp[Worker Type],$D79),SUMIFS(Inhalation_Exp[ADD_Central Tendency],Inhalation_Exp[OES],$C79,Inhalation_Exp[Worker Type],$D79))</f>
        <v>2.0900222715042958</v>
      </c>
      <c r="I79" s="327">
        <f>IF($E79="High-End",SUMIFS(Dermal_Exp[High-End AD (mg/kg-day)],Dermal_Exp[Worker Type],$D79,Dermal_Exp[OES],$C79),SUMIFS(Dermal_Exp[Central Tendency AD (mg/kg-day)],Dermal_Exp[Worker Type],$D79,Dermal_Exp[OES],$C79))</f>
        <v>6.8816016568864326E-3</v>
      </c>
      <c r="J79" s="327">
        <f>IF($E79="High-End",SUMIFS(Dermal_Exp[High-End IADD (mg/kg-day)],Dermal_Exp[Worker Type],$D79,Dermal_Exp[OES],$C79),SUMIFS(Dermal_Exp[Central Tendency IADD (mg/kg-day)],Dermal_Exp[Worker Type],$D79,Dermal_Exp[OES],$C79))</f>
        <v>5.0465078817167174E-3</v>
      </c>
      <c r="K79" s="327">
        <f>IF($E79="High-End",SUMIFS(Dermal_Exp[High-End ADD (mg/kg-day)],Dermal_Exp[Worker Type],$D79,Dermal_Exp[OES],$C79),SUMIFS(Dermal_Exp[Central Tendency ADD (mg/kg-day)],Dermal_Exp[Worker Type],$D79,Dermal_Exp[OES],$C79))</f>
        <v>4.713425792387968E-3</v>
      </c>
      <c r="L79" s="327">
        <f t="shared" si="6"/>
        <v>3.0583141180531581</v>
      </c>
      <c r="M79" s="327">
        <f t="shared" si="7"/>
        <v>2.242763686572316</v>
      </c>
      <c r="N79" s="327">
        <f t="shared" si="8"/>
        <v>2.0947356972966835</v>
      </c>
    </row>
    <row r="80" spans="2:14" s="27" customFormat="1" x14ac:dyDescent="0.35">
      <c r="B80" s="28"/>
      <c r="C80" s="410" t="str" cm="1">
        <f t="array" ref="C80">INDEX('List Values'!$B$2:$B$20,(1+ROUNDDOWN((ROW()-ROW($C$5))*1/6,2)))</f>
        <v>Application of Adhesives and Sealants - Spray application</v>
      </c>
      <c r="D80" s="411" t="s">
        <v>168</v>
      </c>
      <c r="E80" s="412" t="s">
        <v>73</v>
      </c>
      <c r="F80" s="273">
        <f>IF(E80="High-End",SUMIFS(Inhalation_Exp[24hr_High-End],Inhalation_Exp[OES],$C80,Inhalation_Exp[Worker Type],$D80),SUMIFS(Inhalation_Exp[24hr_Central Tendency],Inhalation_Exp[OES],$C80,Inhalation_Exp[Worker Type],$D80))</f>
        <v>0.28028995512599231</v>
      </c>
      <c r="G80" s="273">
        <f>IF(E80="High-End",SUMIFS(Inhalation_Exp[Int_High-End],Inhalation_Exp[OES],$C80,Inhalation_Exp[Worker Type],$D80),SUMIFS(Inhalation_Exp[Int_Central Tendency],Inhalation_Exp[OES],$C80,Inhalation_Exp[Worker Type],$D80))</f>
        <v>0.20554596709239437</v>
      </c>
      <c r="H80" s="273">
        <f>IF(E80="High-End",SUMIFS(Inhalation_Exp[ADD_High-End],Inhalation_Exp[OES],$C80,Inhalation_Exp[Worker Type],$D80),SUMIFS(Inhalation_Exp[ADD_Central Tendency],Inhalation_Exp[OES],$C80,Inhalation_Exp[Worker Type],$D80))</f>
        <v>0.17815690298419237</v>
      </c>
      <c r="I80" s="327">
        <f>IF($E80="High-End",SUMIFS(Dermal_Exp[High-End AD (mg/kg-day)],Dermal_Exp[Worker Type],$D80,Dermal_Exp[OES],$C80),SUMIFS(Dermal_Exp[Central Tendency AD (mg/kg-day)],Dermal_Exp[Worker Type],$D80,Dermal_Exp[OES],$C80))</f>
        <v>3.4408008284432163E-3</v>
      </c>
      <c r="J80" s="327">
        <f>IF($E80="High-End",SUMIFS(Dermal_Exp[High-End IADD (mg/kg-day)],Dermal_Exp[Worker Type],$D80,Dermal_Exp[OES],$C80),SUMIFS(Dermal_Exp[Central Tendency IADD (mg/kg-day)],Dermal_Exp[Worker Type],$D80,Dermal_Exp[OES],$C80))</f>
        <v>2.5232539408583587E-3</v>
      </c>
      <c r="K80" s="327">
        <f>IF($E80="High-End",SUMIFS(Dermal_Exp[High-End ADD (mg/kg-day)],Dermal_Exp[Worker Type],$D80,Dermal_Exp[OES],$C80),SUMIFS(Dermal_Exp[Central Tendency ADD (mg/kg-day)],Dermal_Exp[Worker Type],$D80,Dermal_Exp[OES],$C80))</f>
        <v>2.1870295676680168E-3</v>
      </c>
      <c r="L80" s="327">
        <f t="shared" si="6"/>
        <v>0.28373075595443553</v>
      </c>
      <c r="M80" s="327">
        <f t="shared" si="7"/>
        <v>0.20806922103325273</v>
      </c>
      <c r="N80" s="327">
        <f t="shared" si="8"/>
        <v>0.18034393255186038</v>
      </c>
    </row>
    <row r="81" spans="2:14" s="27" customFormat="1" x14ac:dyDescent="0.35">
      <c r="B81" s="28"/>
      <c r="C81" s="410" t="str" cm="1">
        <f t="array" ref="C81">INDEX('List Values'!$B$2:$B$20,(1+ROUNDDOWN((ROW()-ROW($C$5))*1/6,2)))</f>
        <v>Application of Adhesives and Sealants - Spray application</v>
      </c>
      <c r="D81" s="411" t="s">
        <v>74</v>
      </c>
      <c r="E81" s="412" t="s">
        <v>72</v>
      </c>
      <c r="F81" s="273">
        <f>IF(E81="High-End",SUMIFS(Inhalation_Exp[24hr_High-End],Inhalation_Exp[OES],$C81,Inhalation_Exp[Worker Type],$D81),SUMIFS(Inhalation_Exp[24hr_Central Tendency],Inhalation_Exp[OES],$C81,Inhalation_Exp[Worker Type],$D81))</f>
        <v>0.25374999999999998</v>
      </c>
      <c r="G81" s="273">
        <f>IF(E81="High-End",SUMIFS(Inhalation_Exp[Int_High-End],Inhalation_Exp[OES],$C81,Inhalation_Exp[Worker Type],$D81),SUMIFS(Inhalation_Exp[Int_Central Tendency],Inhalation_Exp[OES],$C81,Inhalation_Exp[Worker Type],$D81))</f>
        <v>0.18608333333333332</v>
      </c>
      <c r="H81" s="273">
        <f>IF(E81="High-End",SUMIFS(Inhalation_Exp[ADD_High-End],Inhalation_Exp[OES],$C81,Inhalation_Exp[Worker Type],$D81),SUMIFS(Inhalation_Exp[ADD_Central Tendency],Inhalation_Exp[OES],$C81,Inhalation_Exp[Worker Type],$D81))</f>
        <v>0.17380136986301367</v>
      </c>
      <c r="I81" s="327">
        <f>IF($E81="High-End",SUMIFS(Dermal_Exp[High-End AD (mg/kg-day)],Dermal_Exp[Worker Type],$D81,Dermal_Exp[OES],$C81),SUMIFS(Dermal_Exp[Central Tendency AD (mg/kg-day)],Dermal_Exp[Worker Type],$D81,Dermal_Exp[OES],$C81))</f>
        <v>3.7449999999999996E-3</v>
      </c>
      <c r="J81" s="327">
        <f>IF($E81="High-End",SUMIFS(Dermal_Exp[High-End IADD (mg/kg-day)],Dermal_Exp[Worker Type],$D81,Dermal_Exp[OES],$C81),SUMIFS(Dermal_Exp[Central Tendency IADD (mg/kg-day)],Dermal_Exp[Worker Type],$D81,Dermal_Exp[OES],$C81))</f>
        <v>2.7463333333333328E-3</v>
      </c>
      <c r="K81" s="327">
        <f>IF($E81="High-End",SUMIFS(Dermal_Exp[High-End ADD (mg/kg-day)],Dermal_Exp[Worker Type],$D81,Dermal_Exp[OES],$C81),SUMIFS(Dermal_Exp[Central Tendency ADD (mg/kg-day)],Dermal_Exp[Worker Type],$D81,Dermal_Exp[OES],$C81))</f>
        <v>2.5650684931506846E-3</v>
      </c>
      <c r="L81" s="327">
        <f t="shared" si="6"/>
        <v>0.25749499999999997</v>
      </c>
      <c r="M81" s="327">
        <f t="shared" si="7"/>
        <v>0.18882966666666665</v>
      </c>
      <c r="N81" s="327">
        <f t="shared" si="8"/>
        <v>0.17636643835616436</v>
      </c>
    </row>
    <row r="82" spans="2:14" s="27" customFormat="1" x14ac:dyDescent="0.35">
      <c r="B82" s="28"/>
      <c r="C82" s="410" t="str" cm="1">
        <f t="array" ref="C82">INDEX('List Values'!$B$2:$B$20,(1+ROUNDDOWN((ROW()-ROW($C$5))*1/6,2)))</f>
        <v>Application of Adhesives and Sealants - Spray application</v>
      </c>
      <c r="D82" s="411" t="s">
        <v>74</v>
      </c>
      <c r="E82" s="412" t="s">
        <v>73</v>
      </c>
      <c r="F82" s="273">
        <f>IF(E82="High-End",SUMIFS(Inhalation_Exp[24hr_High-End],Inhalation_Exp[OES],$C82,Inhalation_Exp[Worker Type],$D82),SUMIFS(Inhalation_Exp[24hr_Central Tendency],Inhalation_Exp[OES],$C82,Inhalation_Exp[Worker Type],$D82))</f>
        <v>0.25374999999999998</v>
      </c>
      <c r="G82" s="273">
        <f>IF(E82="High-End",SUMIFS(Inhalation_Exp[Int_High-End],Inhalation_Exp[OES],$C82,Inhalation_Exp[Worker Type],$D82),SUMIFS(Inhalation_Exp[Int_Central Tendency],Inhalation_Exp[OES],$C82,Inhalation_Exp[Worker Type],$D82))</f>
        <v>0.18608333333333332</v>
      </c>
      <c r="H82" s="273">
        <f>IF(E82="High-End",SUMIFS(Inhalation_Exp[ADD_High-End],Inhalation_Exp[OES],$C82,Inhalation_Exp[Worker Type],$D82),SUMIFS(Inhalation_Exp[ADD_Central Tendency],Inhalation_Exp[OES],$C82,Inhalation_Exp[Worker Type],$D82))</f>
        <v>0.16128767123287671</v>
      </c>
      <c r="I82" s="327">
        <f>IF($E82="High-End",SUMIFS(Dermal_Exp[High-End AD (mg/kg-day)],Dermal_Exp[Worker Type],$D82,Dermal_Exp[OES],$C82),SUMIFS(Dermal_Exp[Central Tendency AD (mg/kg-day)],Dermal_Exp[Worker Type],$D82,Dermal_Exp[OES],$C82))</f>
        <v>1.8724999999999998E-3</v>
      </c>
      <c r="J82" s="327">
        <f>IF($E82="High-End",SUMIFS(Dermal_Exp[High-End IADD (mg/kg-day)],Dermal_Exp[Worker Type],$D82,Dermal_Exp[OES],$C82),SUMIFS(Dermal_Exp[Central Tendency IADD (mg/kg-day)],Dermal_Exp[Worker Type],$D82,Dermal_Exp[OES],$C82))</f>
        <v>1.3731666666666664E-3</v>
      </c>
      <c r="K82" s="327">
        <f>IF($E82="High-End",SUMIFS(Dermal_Exp[High-End ADD (mg/kg-day)],Dermal_Exp[Worker Type],$D82,Dermal_Exp[OES],$C82),SUMIFS(Dermal_Exp[Central Tendency ADD (mg/kg-day)],Dermal_Exp[Worker Type],$D82,Dermal_Exp[OES],$C82))</f>
        <v>1.1901917808219177E-3</v>
      </c>
      <c r="L82" s="327">
        <f t="shared" si="6"/>
        <v>0.25562249999999997</v>
      </c>
      <c r="M82" s="327">
        <f t="shared" si="7"/>
        <v>0.1874565</v>
      </c>
      <c r="N82" s="327">
        <f t="shared" si="8"/>
        <v>0.16247786301369863</v>
      </c>
    </row>
    <row r="83" spans="2:14" s="27" customFormat="1" x14ac:dyDescent="0.35">
      <c r="B83" s="28"/>
      <c r="C83" s="410" t="str" cm="1">
        <f t="array" ref="C83">INDEX('List Values'!$B$2:$B$20,(1+ROUNDDOWN((ROW()-ROW($C$5))*1/6,2)))</f>
        <v>Application of Adhesives and Sealants - Non spray application</v>
      </c>
      <c r="D83" s="411" t="s">
        <v>57</v>
      </c>
      <c r="E83" s="412" t="s">
        <v>72</v>
      </c>
      <c r="F83" s="273">
        <f>IF(E83="High-End",SUMIFS(Inhalation_Exp[24hr_High-End],Inhalation_Exp[OES],$C83,Inhalation_Exp[Worker Type],$D83),SUMIFS(Inhalation_Exp[24hr_Central Tendency],Inhalation_Exp[OES],$C83,Inhalation_Exp[Worker Type],$D83))</f>
        <v>2.2875E-3</v>
      </c>
      <c r="G83" s="273">
        <f>IF(E83="High-End",SUMIFS(Inhalation_Exp[Int_High-End],Inhalation_Exp[OES],$C83,Inhalation_Exp[Worker Type],$D83),SUMIFS(Inhalation_Exp[Int_Central Tendency],Inhalation_Exp[OES],$C83,Inhalation_Exp[Worker Type],$D83))</f>
        <v>1.6775E-3</v>
      </c>
      <c r="H83" s="273">
        <f>IF(E83="High-End",SUMIFS(Inhalation_Exp[ADD_High-End],Inhalation_Exp[OES],$C83,Inhalation_Exp[Worker Type],$D83),SUMIFS(Inhalation_Exp[ADD_Central Tendency],Inhalation_Exp[OES],$C83,Inhalation_Exp[Worker Type],$D83))</f>
        <v>1.5667808219178082E-3</v>
      </c>
      <c r="I83" s="327">
        <f>IF($E83="High-End",SUMIFS(Dermal_Exp[High-End AD (mg/kg-day)],Dermal_Exp[Worker Type],$D83,Dermal_Exp[OES],$C83),SUMIFS(Dermal_Exp[Central Tendency AD (mg/kg-day)],Dermal_Exp[Worker Type],$D83,Dermal_Exp[OES],$C83))</f>
        <v>7.4899999999999993E-3</v>
      </c>
      <c r="J83" s="327">
        <f>IF($E83="High-End",SUMIFS(Dermal_Exp[High-End IADD (mg/kg-day)],Dermal_Exp[Worker Type],$D83,Dermal_Exp[OES],$C83),SUMIFS(Dermal_Exp[Central Tendency IADD (mg/kg-day)],Dermal_Exp[Worker Type],$D83,Dermal_Exp[OES],$C83))</f>
        <v>5.4926666666666657E-3</v>
      </c>
      <c r="K83" s="327">
        <f>IF($E83="High-End",SUMIFS(Dermal_Exp[High-End ADD (mg/kg-day)],Dermal_Exp[Worker Type],$D83,Dermal_Exp[OES],$C83),SUMIFS(Dermal_Exp[Central Tendency ADD (mg/kg-day)],Dermal_Exp[Worker Type],$D83,Dermal_Exp[OES],$C83))</f>
        <v>5.1301369863013691E-3</v>
      </c>
      <c r="L83" s="327">
        <f t="shared" si="6"/>
        <v>9.7774999999999997E-3</v>
      </c>
      <c r="M83" s="327">
        <f t="shared" si="7"/>
        <v>7.1701666666666658E-3</v>
      </c>
      <c r="N83" s="327">
        <f t="shared" si="8"/>
        <v>6.6969178082191775E-3</v>
      </c>
    </row>
    <row r="84" spans="2:14" s="27" customFormat="1" x14ac:dyDescent="0.35">
      <c r="B84" s="28"/>
      <c r="C84" s="410" t="str" cm="1">
        <f t="array" ref="C84">INDEX('List Values'!$B$2:$B$20,(1+ROUNDDOWN((ROW()-ROW($C$5))*1/6,2)))</f>
        <v>Application of Adhesives and Sealants - Non spray application</v>
      </c>
      <c r="D84" s="411" t="s">
        <v>57</v>
      </c>
      <c r="E84" s="412" t="s">
        <v>73</v>
      </c>
      <c r="F84" s="273">
        <f>IF(E84="High-End",SUMIFS(Inhalation_Exp[24hr_High-End],Inhalation_Exp[OES],$C84,Inhalation_Exp[Worker Type],$D84),SUMIFS(Inhalation_Exp[24hr_Central Tendency],Inhalation_Exp[OES],$C84,Inhalation_Exp[Worker Type],$D84))</f>
        <v>5.0000000000000001E-4</v>
      </c>
      <c r="G84" s="273">
        <f>IF(E84="High-End",SUMIFS(Inhalation_Exp[Int_High-End],Inhalation_Exp[OES],$C84,Inhalation_Exp[Worker Type],$D84),SUMIFS(Inhalation_Exp[Int_Central Tendency],Inhalation_Exp[OES],$C84,Inhalation_Exp[Worker Type],$D84))</f>
        <v>3.6666666666666667E-4</v>
      </c>
      <c r="H84" s="273">
        <f>IF(E84="High-End",SUMIFS(Inhalation_Exp[ADD_High-End],Inhalation_Exp[OES],$C84,Inhalation_Exp[Worker Type],$D84),SUMIFS(Inhalation_Exp[ADD_Central Tendency],Inhalation_Exp[OES],$C84,Inhalation_Exp[Worker Type],$D84))</f>
        <v>3.178082191780822E-4</v>
      </c>
      <c r="I84" s="327">
        <f>IF($E84="High-End",SUMIFS(Dermal_Exp[High-End AD (mg/kg-day)],Dermal_Exp[Worker Type],$D84,Dermal_Exp[OES],$C84),SUMIFS(Dermal_Exp[Central Tendency AD (mg/kg-day)],Dermal_Exp[Worker Type],$D84,Dermal_Exp[OES],$C84))</f>
        <v>3.7449999999999996E-3</v>
      </c>
      <c r="J84" s="327">
        <f>IF($E84="High-End",SUMIFS(Dermal_Exp[High-End IADD (mg/kg-day)],Dermal_Exp[Worker Type],$D84,Dermal_Exp[OES],$C84),SUMIFS(Dermal_Exp[Central Tendency IADD (mg/kg-day)],Dermal_Exp[Worker Type],$D84,Dermal_Exp[OES],$C84))</f>
        <v>2.7463333333333328E-3</v>
      </c>
      <c r="K84" s="327">
        <f>IF($E84="High-End",SUMIFS(Dermal_Exp[High-End ADD (mg/kg-day)],Dermal_Exp[Worker Type],$D84,Dermal_Exp[OES],$C84),SUMIFS(Dermal_Exp[Central Tendency ADD (mg/kg-day)],Dermal_Exp[Worker Type],$D84,Dermal_Exp[OES],$C84))</f>
        <v>2.3803835616438354E-3</v>
      </c>
      <c r="L84" s="327">
        <f t="shared" si="6"/>
        <v>4.2449999999999996E-3</v>
      </c>
      <c r="M84" s="327">
        <f t="shared" si="7"/>
        <v>3.1129999999999994E-3</v>
      </c>
      <c r="N84" s="327">
        <f t="shared" si="8"/>
        <v>2.6981917808219175E-3</v>
      </c>
    </row>
    <row r="85" spans="2:14" s="27" customFormat="1" x14ac:dyDescent="0.35">
      <c r="B85" s="28"/>
      <c r="C85" s="410" t="str" cm="1">
        <f t="array" ref="C85">INDEX('List Values'!$B$2:$B$20,(1+ROUNDDOWN((ROW()-ROW($C$5))*1/6,2)))</f>
        <v>Application of Adhesives and Sealants - Non spray application</v>
      </c>
      <c r="D85" s="411" t="s">
        <v>168</v>
      </c>
      <c r="E85" s="412" t="s">
        <v>72</v>
      </c>
      <c r="F85" s="273">
        <f>IF(E85="High-End",SUMIFS(Inhalation_Exp[24hr_High-End],Inhalation_Exp[OES],$C85,Inhalation_Exp[Worker Type],$D85),SUMIFS(Inhalation_Exp[24hr_Central Tendency],Inhalation_Exp[OES],$C85,Inhalation_Exp[Worker Type],$D85))</f>
        <v>2.5267518122195371E-3</v>
      </c>
      <c r="G85" s="273">
        <f>IF(E85="High-End",SUMIFS(Inhalation_Exp[Int_High-End],Inhalation_Exp[OES],$C85,Inhalation_Exp[Worker Type],$D85),SUMIFS(Inhalation_Exp[Int_Central Tendency],Inhalation_Exp[OES],$C85,Inhalation_Exp[Worker Type],$D85))</f>
        <v>1.8529513289609939E-3</v>
      </c>
      <c r="H85" s="273">
        <f>IF(E85="High-End",SUMIFS(Inhalation_Exp[ADD_High-End],Inhalation_Exp[OES],$C85,Inhalation_Exp[Worker Type],$D85),SUMIFS(Inhalation_Exp[ADD_Central Tendency],Inhalation_Exp[OES],$C85,Inhalation_Exp[Worker Type],$D85))</f>
        <v>1.7306519261777651E-3</v>
      </c>
      <c r="I85" s="327">
        <f>IF($E85="High-End",SUMIFS(Dermal_Exp[High-End AD (mg/kg-day)],Dermal_Exp[Worker Type],$D85,Dermal_Exp[OES],$C85),SUMIFS(Dermal_Exp[Central Tendency AD (mg/kg-day)],Dermal_Exp[Worker Type],$D85,Dermal_Exp[OES],$C85))</f>
        <v>6.8816016568864326E-3</v>
      </c>
      <c r="J85" s="327">
        <f>IF($E85="High-End",SUMIFS(Dermal_Exp[High-End IADD (mg/kg-day)],Dermal_Exp[Worker Type],$D85,Dermal_Exp[OES],$C85),SUMIFS(Dermal_Exp[Central Tendency IADD (mg/kg-day)],Dermal_Exp[Worker Type],$D85,Dermal_Exp[OES],$C85))</f>
        <v>5.0465078817167174E-3</v>
      </c>
      <c r="K85" s="327">
        <f>IF($E85="High-End",SUMIFS(Dermal_Exp[High-End ADD (mg/kg-day)],Dermal_Exp[Worker Type],$D85,Dermal_Exp[OES],$C85),SUMIFS(Dermal_Exp[Central Tendency ADD (mg/kg-day)],Dermal_Exp[Worker Type],$D85,Dermal_Exp[OES],$C85))</f>
        <v>4.713425792387968E-3</v>
      </c>
      <c r="L85" s="327">
        <f t="shared" si="6"/>
        <v>9.4083534691059706E-3</v>
      </c>
      <c r="M85" s="327">
        <f t="shared" si="7"/>
        <v>6.8994592106777115E-3</v>
      </c>
      <c r="N85" s="327">
        <f t="shared" si="8"/>
        <v>6.4440777185657333E-3</v>
      </c>
    </row>
    <row r="86" spans="2:14" s="27" customFormat="1" x14ac:dyDescent="0.35">
      <c r="B86" s="28"/>
      <c r="C86" s="410" t="str" cm="1">
        <f t="array" ref="C86">INDEX('List Values'!$B$2:$B$20,(1+ROUNDDOWN((ROW()-ROW($C$5))*1/6,2)))</f>
        <v>Application of Adhesives and Sealants - Non spray application</v>
      </c>
      <c r="D86" s="411" t="s">
        <v>168</v>
      </c>
      <c r="E86" s="412" t="s">
        <v>73</v>
      </c>
      <c r="F86" s="273">
        <f>IF(E86="High-End",SUMIFS(Inhalation_Exp[24hr_High-End],Inhalation_Exp[OES],$C86,Inhalation_Exp[Worker Type],$D86),SUMIFS(Inhalation_Exp[24hr_Central Tendency],Inhalation_Exp[OES],$C86,Inhalation_Exp[Worker Type],$D86))</f>
        <v>5.5229547808077317E-4</v>
      </c>
      <c r="G86" s="273">
        <f>IF(E86="High-End",SUMIFS(Inhalation_Exp[Int_High-End],Inhalation_Exp[OES],$C86,Inhalation_Exp[Worker Type],$D86),SUMIFS(Inhalation_Exp[Int_Central Tendency],Inhalation_Exp[OES],$C86,Inhalation_Exp[Worker Type],$D86))</f>
        <v>4.0501668392590036E-4</v>
      </c>
      <c r="H86" s="273">
        <f>IF(E86="High-End",SUMIFS(Inhalation_Exp[ADD_High-End],Inhalation_Exp[OES],$C86,Inhalation_Exp[Worker Type],$D86),SUMIFS(Inhalation_Exp[ADD_Central Tendency],Inhalation_Exp[OES],$C86,Inhalation_Exp[Worker Type],$D86))</f>
        <v>3.5104808469791607E-4</v>
      </c>
      <c r="I86" s="327">
        <f>IF($E86="High-End",SUMIFS(Dermal_Exp[High-End AD (mg/kg-day)],Dermal_Exp[Worker Type],$D86,Dermal_Exp[OES],$C86),SUMIFS(Dermal_Exp[Central Tendency AD (mg/kg-day)],Dermal_Exp[Worker Type],$D86,Dermal_Exp[OES],$C86))</f>
        <v>3.4408008284432163E-3</v>
      </c>
      <c r="J86" s="327">
        <f>IF($E86="High-End",SUMIFS(Dermal_Exp[High-End IADD (mg/kg-day)],Dermal_Exp[Worker Type],$D86,Dermal_Exp[OES],$C86),SUMIFS(Dermal_Exp[Central Tendency IADD (mg/kg-day)],Dermal_Exp[Worker Type],$D86,Dermal_Exp[OES],$C86))</f>
        <v>2.5232539408583587E-3</v>
      </c>
      <c r="K86" s="327">
        <f>IF($E86="High-End",SUMIFS(Dermal_Exp[High-End ADD (mg/kg-day)],Dermal_Exp[Worker Type],$D86,Dermal_Exp[OES],$C86),SUMIFS(Dermal_Exp[Central Tendency ADD (mg/kg-day)],Dermal_Exp[Worker Type],$D86,Dermal_Exp[OES],$C86))</f>
        <v>2.1870295676680168E-3</v>
      </c>
      <c r="L86" s="327">
        <f t="shared" si="6"/>
        <v>3.9930963065239891E-3</v>
      </c>
      <c r="M86" s="327">
        <f t="shared" si="7"/>
        <v>2.9282706247842592E-3</v>
      </c>
      <c r="N86" s="327">
        <f t="shared" si="8"/>
        <v>2.5380776523659327E-3</v>
      </c>
    </row>
    <row r="87" spans="2:14" s="27" customFormat="1" x14ac:dyDescent="0.35">
      <c r="B87" s="28"/>
      <c r="C87" s="410" t="str" cm="1">
        <f t="array" ref="C87">INDEX('List Values'!$B$2:$B$20,(1+ROUNDDOWN((ROW()-ROW($C$5))*1/6,2)))</f>
        <v>Application of Adhesives and Sealants - Non spray application</v>
      </c>
      <c r="D87" s="411" t="s">
        <v>74</v>
      </c>
      <c r="E87" s="412" t="s">
        <v>72</v>
      </c>
      <c r="F87" s="273">
        <f>IF(E87="High-End",SUMIFS(Inhalation_Exp[24hr_High-End],Inhalation_Exp[OES],$C87,Inhalation_Exp[Worker Type],$D87),SUMIFS(Inhalation_Exp[24hr_Central Tendency],Inhalation_Exp[OES],$C87,Inhalation_Exp[Worker Type],$D87))</f>
        <v>5.0000000000000001E-4</v>
      </c>
      <c r="G87" s="273">
        <f>IF(E87="High-End",SUMIFS(Inhalation_Exp[Int_High-End],Inhalation_Exp[OES],$C87,Inhalation_Exp[Worker Type],$D87),SUMIFS(Inhalation_Exp[Int_Central Tendency],Inhalation_Exp[OES],$C87,Inhalation_Exp[Worker Type],$D87))</f>
        <v>3.6666666666666667E-4</v>
      </c>
      <c r="H87" s="273">
        <f>IF(E87="High-End",SUMIFS(Inhalation_Exp[ADD_High-End],Inhalation_Exp[OES],$C87,Inhalation_Exp[Worker Type],$D87),SUMIFS(Inhalation_Exp[ADD_Central Tendency],Inhalation_Exp[OES],$C87,Inhalation_Exp[Worker Type],$D87))</f>
        <v>3.4246575342465754E-4</v>
      </c>
      <c r="I87" s="327">
        <f>IF($E87="High-End",SUMIFS(Dermal_Exp[High-End AD (mg/kg-day)],Dermal_Exp[Worker Type],$D87,Dermal_Exp[OES],$C87),SUMIFS(Dermal_Exp[Central Tendency AD (mg/kg-day)],Dermal_Exp[Worker Type],$D87,Dermal_Exp[OES],$C87))</f>
        <v>0</v>
      </c>
      <c r="J87" s="327">
        <f>IF($E87="High-End",SUMIFS(Dermal_Exp[High-End IADD (mg/kg-day)],Dermal_Exp[Worker Type],$D87,Dermal_Exp[OES],$C87),SUMIFS(Dermal_Exp[Central Tendency IADD (mg/kg-day)],Dermal_Exp[Worker Type],$D87,Dermal_Exp[OES],$C87))</f>
        <v>0</v>
      </c>
      <c r="K87" s="327">
        <f>IF($E87="High-End",SUMIFS(Dermal_Exp[High-End ADD (mg/kg-day)],Dermal_Exp[Worker Type],$D87,Dermal_Exp[OES],$C87),SUMIFS(Dermal_Exp[Central Tendency ADD (mg/kg-day)],Dermal_Exp[Worker Type],$D87,Dermal_Exp[OES],$C87))</f>
        <v>0</v>
      </c>
      <c r="L87" s="327">
        <f t="shared" si="6"/>
        <v>5.0000000000000001E-4</v>
      </c>
      <c r="M87" s="327">
        <f t="shared" si="7"/>
        <v>3.6666666666666667E-4</v>
      </c>
      <c r="N87" s="327">
        <f t="shared" si="8"/>
        <v>3.4246575342465754E-4</v>
      </c>
    </row>
    <row r="88" spans="2:14" s="27" customFormat="1" x14ac:dyDescent="0.35">
      <c r="B88" s="28"/>
      <c r="C88" s="410" t="str" cm="1">
        <f t="array" ref="C88">INDEX('List Values'!$B$2:$B$20,(1+ROUNDDOWN((ROW()-ROW($C$5))*1/6,2)))</f>
        <v>Application of Adhesives and Sealants - Non spray application</v>
      </c>
      <c r="D88" s="411" t="s">
        <v>74</v>
      </c>
      <c r="E88" s="412" t="s">
        <v>73</v>
      </c>
      <c r="F88" s="273">
        <f>IF(E88="High-End",SUMIFS(Inhalation_Exp[24hr_High-End],Inhalation_Exp[OES],$C88,Inhalation_Exp[Worker Type],$D88),SUMIFS(Inhalation_Exp[24hr_Central Tendency],Inhalation_Exp[OES],$C88,Inhalation_Exp[Worker Type],$D88))</f>
        <v>5.0000000000000001E-4</v>
      </c>
      <c r="G88" s="273">
        <f>IF(E88="High-End",SUMIFS(Inhalation_Exp[Int_High-End],Inhalation_Exp[OES],$C88,Inhalation_Exp[Worker Type],$D88),SUMIFS(Inhalation_Exp[Int_Central Tendency],Inhalation_Exp[OES],$C88,Inhalation_Exp[Worker Type],$D88))</f>
        <v>3.6666666666666667E-4</v>
      </c>
      <c r="H88" s="273">
        <f>IF(E88="High-End",SUMIFS(Inhalation_Exp[ADD_High-End],Inhalation_Exp[OES],$C88,Inhalation_Exp[Worker Type],$D88),SUMIFS(Inhalation_Exp[ADD_Central Tendency],Inhalation_Exp[OES],$C88,Inhalation_Exp[Worker Type],$D88))</f>
        <v>3.178082191780822E-4</v>
      </c>
      <c r="I88" s="327">
        <f>IF($E88="High-End",SUMIFS(Dermal_Exp[High-End AD (mg/kg-day)],Dermal_Exp[Worker Type],$D88,Dermal_Exp[OES],$C88),SUMIFS(Dermal_Exp[Central Tendency AD (mg/kg-day)],Dermal_Exp[Worker Type],$D88,Dermal_Exp[OES],$C88))</f>
        <v>0</v>
      </c>
      <c r="J88" s="327">
        <f>IF($E88="High-End",SUMIFS(Dermal_Exp[High-End IADD (mg/kg-day)],Dermal_Exp[Worker Type],$D88,Dermal_Exp[OES],$C88),SUMIFS(Dermal_Exp[Central Tendency IADD (mg/kg-day)],Dermal_Exp[Worker Type],$D88,Dermal_Exp[OES],$C88))</f>
        <v>0</v>
      </c>
      <c r="K88" s="327">
        <f>IF($E88="High-End",SUMIFS(Dermal_Exp[High-End ADD (mg/kg-day)],Dermal_Exp[Worker Type],$D88,Dermal_Exp[OES],$C88),SUMIFS(Dermal_Exp[Central Tendency ADD (mg/kg-day)],Dermal_Exp[Worker Type],$D88,Dermal_Exp[OES],$C88))</f>
        <v>0</v>
      </c>
      <c r="L88" s="327">
        <f t="shared" si="6"/>
        <v>5.0000000000000001E-4</v>
      </c>
      <c r="M88" s="327">
        <f t="shared" si="7"/>
        <v>3.6666666666666667E-4</v>
      </c>
      <c r="N88" s="327">
        <f t="shared" si="8"/>
        <v>3.178082191780822E-4</v>
      </c>
    </row>
    <row r="89" spans="2:14" s="27" customFormat="1" x14ac:dyDescent="0.35">
      <c r="B89" s="28"/>
      <c r="C89" s="410" t="str" cm="1">
        <f t="array" ref="C89">INDEX('List Values'!$B$2:$B$20,(1+ROUNDDOWN((ROW()-ROW($C$5))*1/6,2)))</f>
        <v>Use of Laboratory Chemicals (Liquids)</v>
      </c>
      <c r="D89" s="411" t="s">
        <v>57</v>
      </c>
      <c r="E89" s="412" t="s">
        <v>72</v>
      </c>
      <c r="F89" s="273">
        <f>IF(E89="High-End",SUMIFS(Inhalation_Exp[24hr_High-End],Inhalation_Exp[OES],$C89,Inhalation_Exp[Worker Type],$D89),SUMIFS(Inhalation_Exp[24hr_Central Tendency],Inhalation_Exp[OES],$C89,Inhalation_Exp[Worker Type],$D89))</f>
        <v>2.2875E-3</v>
      </c>
      <c r="G89" s="273">
        <f>IF(E89="High-End",SUMIFS(Inhalation_Exp[Int_High-End],Inhalation_Exp[OES],$C89,Inhalation_Exp[Worker Type],$D89),SUMIFS(Inhalation_Exp[Int_Central Tendency],Inhalation_Exp[OES],$C89,Inhalation_Exp[Worker Type],$D89))</f>
        <v>1.6775E-3</v>
      </c>
      <c r="H89" s="273">
        <f>IF(E89="High-End",SUMIFS(Inhalation_Exp[ADD_High-End],Inhalation_Exp[OES],$C89,Inhalation_Exp[Worker Type],$D89),SUMIFS(Inhalation_Exp[ADD_Central Tendency],Inhalation_Exp[OES],$C89,Inhalation_Exp[Worker Type],$D89))</f>
        <v>1.5667808219178082E-3</v>
      </c>
      <c r="I89" s="327">
        <f>IF($E89="High-End",SUMIFS(Dermal_Exp[High-End AD (mg/kg-day)],Dermal_Exp[Worker Type],$D89,Dermal_Exp[OES],$C89),SUMIFS(Dermal_Exp[Central Tendency AD (mg/kg-day)],Dermal_Exp[Worker Type],$D89,Dermal_Exp[OES],$C89))</f>
        <v>7.4899999999999993E-3</v>
      </c>
      <c r="J89" s="327">
        <f>IF($E89="High-End",SUMIFS(Dermal_Exp[High-End IADD (mg/kg-day)],Dermal_Exp[Worker Type],$D89,Dermal_Exp[OES],$C89),SUMIFS(Dermal_Exp[Central Tendency IADD (mg/kg-day)],Dermal_Exp[Worker Type],$D89,Dermal_Exp[OES],$C89))</f>
        <v>5.4926666666666657E-3</v>
      </c>
      <c r="K89" s="327">
        <f>IF($E89="High-End",SUMIFS(Dermal_Exp[High-End ADD (mg/kg-day)],Dermal_Exp[Worker Type],$D89,Dermal_Exp[OES],$C89),SUMIFS(Dermal_Exp[Central Tendency ADD (mg/kg-day)],Dermal_Exp[Worker Type],$D89,Dermal_Exp[OES],$C89))</f>
        <v>5.1301369863013691E-3</v>
      </c>
      <c r="L89" s="327">
        <f t="shared" si="6"/>
        <v>9.7774999999999997E-3</v>
      </c>
      <c r="M89" s="327">
        <f t="shared" si="7"/>
        <v>7.1701666666666658E-3</v>
      </c>
      <c r="N89" s="327">
        <f t="shared" si="8"/>
        <v>6.6969178082191775E-3</v>
      </c>
    </row>
    <row r="90" spans="2:14" s="27" customFormat="1" x14ac:dyDescent="0.35">
      <c r="B90" s="28"/>
      <c r="C90" s="410" t="str" cm="1">
        <f t="array" ref="C90">INDEX('List Values'!$B$2:$B$20,(1+ROUNDDOWN((ROW()-ROW($C$5))*1/6,2)))</f>
        <v>Use of Laboratory Chemicals (Liquids)</v>
      </c>
      <c r="D90" s="411" t="s">
        <v>57</v>
      </c>
      <c r="E90" s="412" t="s">
        <v>73</v>
      </c>
      <c r="F90" s="273">
        <f>IF(E90="High-End",SUMIFS(Inhalation_Exp[24hr_High-End],Inhalation_Exp[OES],$C90,Inhalation_Exp[Worker Type],$D90),SUMIFS(Inhalation_Exp[24hr_Central Tendency],Inhalation_Exp[OES],$C90,Inhalation_Exp[Worker Type],$D90))</f>
        <v>5.0000000000000001E-4</v>
      </c>
      <c r="G90" s="273">
        <f>IF(E90="High-End",SUMIFS(Inhalation_Exp[Int_High-End],Inhalation_Exp[OES],$C90,Inhalation_Exp[Worker Type],$D90),SUMIFS(Inhalation_Exp[Int_Central Tendency],Inhalation_Exp[OES],$C90,Inhalation_Exp[Worker Type],$D90))</f>
        <v>3.6666666666666667E-4</v>
      </c>
      <c r="H90" s="273">
        <f>IF(E90="High-End",SUMIFS(Inhalation_Exp[ADD_High-End],Inhalation_Exp[OES],$C90,Inhalation_Exp[Worker Type],$D90),SUMIFS(Inhalation_Exp[ADD_Central Tendency],Inhalation_Exp[OES],$C90,Inhalation_Exp[Worker Type],$D90))</f>
        <v>3.2191780821917807E-4</v>
      </c>
      <c r="I90" s="327">
        <f>IF($E90="High-End",SUMIFS(Dermal_Exp[High-End AD (mg/kg-day)],Dermal_Exp[Worker Type],$D90,Dermal_Exp[OES],$C90),SUMIFS(Dermal_Exp[Central Tendency AD (mg/kg-day)],Dermal_Exp[Worker Type],$D90,Dermal_Exp[OES],$C90))</f>
        <v>3.7449999999999996E-3</v>
      </c>
      <c r="J90" s="327">
        <f>IF($E90="High-End",SUMIFS(Dermal_Exp[High-End IADD (mg/kg-day)],Dermal_Exp[Worker Type],$D90,Dermal_Exp[OES],$C90),SUMIFS(Dermal_Exp[Central Tendency IADD (mg/kg-day)],Dermal_Exp[Worker Type],$D90,Dermal_Exp[OES],$C90))</f>
        <v>2.7463333333333328E-3</v>
      </c>
      <c r="K90" s="327">
        <f>IF($E90="High-End",SUMIFS(Dermal_Exp[High-End ADD (mg/kg-day)],Dermal_Exp[Worker Type],$D90,Dermal_Exp[OES],$C90),SUMIFS(Dermal_Exp[Central Tendency ADD (mg/kg-day)],Dermal_Exp[Worker Type],$D90,Dermal_Exp[OES],$C90))</f>
        <v>2.4111643835616437E-3</v>
      </c>
      <c r="L90" s="327">
        <f t="shared" si="6"/>
        <v>4.2449999999999996E-3</v>
      </c>
      <c r="M90" s="327">
        <f t="shared" si="7"/>
        <v>3.1129999999999994E-3</v>
      </c>
      <c r="N90" s="327">
        <f t="shared" si="8"/>
        <v>2.7330821917808217E-3</v>
      </c>
    </row>
    <row r="91" spans="2:14" s="27" customFormat="1" x14ac:dyDescent="0.35">
      <c r="B91" s="28"/>
      <c r="C91" s="410" t="str" cm="1">
        <f t="array" ref="C91">INDEX('List Values'!$B$2:$B$20,(1+ROUNDDOWN((ROW()-ROW($C$5))*1/6,2)))</f>
        <v>Use of Laboratory Chemicals (Liquids)</v>
      </c>
      <c r="D91" s="411" t="s">
        <v>168</v>
      </c>
      <c r="E91" s="412" t="s">
        <v>72</v>
      </c>
      <c r="F91" s="273">
        <f>IF(E91="High-End",SUMIFS(Inhalation_Exp[24hr_High-End],Inhalation_Exp[OES],$C91,Inhalation_Exp[Worker Type],$D91),SUMIFS(Inhalation_Exp[24hr_Central Tendency],Inhalation_Exp[OES],$C91,Inhalation_Exp[Worker Type],$D91))</f>
        <v>2.5267518122195371E-3</v>
      </c>
      <c r="G91" s="273">
        <f>IF(E91="High-End",SUMIFS(Inhalation_Exp[Int_High-End],Inhalation_Exp[OES],$C91,Inhalation_Exp[Worker Type],$D91),SUMIFS(Inhalation_Exp[Int_Central Tendency],Inhalation_Exp[OES],$C91,Inhalation_Exp[Worker Type],$D91))</f>
        <v>1.8529513289609939E-3</v>
      </c>
      <c r="H91" s="273">
        <f>IF(E91="High-End",SUMIFS(Inhalation_Exp[ADD_High-End],Inhalation_Exp[OES],$C91,Inhalation_Exp[Worker Type],$D91),SUMIFS(Inhalation_Exp[ADD_Central Tendency],Inhalation_Exp[OES],$C91,Inhalation_Exp[Worker Type],$D91))</f>
        <v>1.7306519261777651E-3</v>
      </c>
      <c r="I91" s="327">
        <f>IF($E91="High-End",SUMIFS(Dermal_Exp[High-End AD (mg/kg-day)],Dermal_Exp[Worker Type],$D91,Dermal_Exp[OES],$C91),SUMIFS(Dermal_Exp[Central Tendency AD (mg/kg-day)],Dermal_Exp[Worker Type],$D91,Dermal_Exp[OES],$C91))</f>
        <v>6.8816016568864326E-3</v>
      </c>
      <c r="J91" s="327">
        <f>IF($E91="High-End",SUMIFS(Dermal_Exp[High-End IADD (mg/kg-day)],Dermal_Exp[Worker Type],$D91,Dermal_Exp[OES],$C91),SUMIFS(Dermal_Exp[Central Tendency IADD (mg/kg-day)],Dermal_Exp[Worker Type],$D91,Dermal_Exp[OES],$C91))</f>
        <v>5.0465078817167174E-3</v>
      </c>
      <c r="K91" s="327">
        <f>IF($E91="High-End",SUMIFS(Dermal_Exp[High-End ADD (mg/kg-day)],Dermal_Exp[Worker Type],$D91,Dermal_Exp[OES],$C91),SUMIFS(Dermal_Exp[Central Tendency ADD (mg/kg-day)],Dermal_Exp[Worker Type],$D91,Dermal_Exp[OES],$C91))</f>
        <v>4.713425792387968E-3</v>
      </c>
      <c r="L91" s="327">
        <f t="shared" si="6"/>
        <v>9.4083534691059706E-3</v>
      </c>
      <c r="M91" s="327">
        <f t="shared" si="7"/>
        <v>6.8994592106777115E-3</v>
      </c>
      <c r="N91" s="327">
        <f t="shared" si="8"/>
        <v>6.4440777185657333E-3</v>
      </c>
    </row>
    <row r="92" spans="2:14" s="27" customFormat="1" x14ac:dyDescent="0.35">
      <c r="B92" s="28"/>
      <c r="C92" s="410" t="str" cm="1">
        <f t="array" ref="C92">INDEX('List Values'!$B$2:$B$20,(1+ROUNDDOWN((ROW()-ROW($C$5))*1/6,2)))</f>
        <v>Use of Laboratory Chemicals (Liquids)</v>
      </c>
      <c r="D92" s="411" t="s">
        <v>168</v>
      </c>
      <c r="E92" s="412" t="s">
        <v>73</v>
      </c>
      <c r="F92" s="273">
        <f>IF(E92="High-End",SUMIFS(Inhalation_Exp[24hr_High-End],Inhalation_Exp[OES],$C92,Inhalation_Exp[Worker Type],$D92),SUMIFS(Inhalation_Exp[24hr_Central Tendency],Inhalation_Exp[OES],$C92,Inhalation_Exp[Worker Type],$D92))</f>
        <v>5.5229547808077317E-4</v>
      </c>
      <c r="G92" s="273">
        <f>IF(E92="High-End",SUMIFS(Inhalation_Exp[Int_High-End],Inhalation_Exp[OES],$C92,Inhalation_Exp[Worker Type],$D92),SUMIFS(Inhalation_Exp[Int_Central Tendency],Inhalation_Exp[OES],$C92,Inhalation_Exp[Worker Type],$D92))</f>
        <v>4.0501668392590036E-4</v>
      </c>
      <c r="H92" s="273">
        <f>IF(E92="High-End",SUMIFS(Inhalation_Exp[ADD_High-End],Inhalation_Exp[OES],$C92,Inhalation_Exp[Worker Type],$D92),SUMIFS(Inhalation_Exp[ADD_Central Tendency],Inhalation_Exp[OES],$C92,Inhalation_Exp[Worker Type],$D92))</f>
        <v>3.555874995862512E-4</v>
      </c>
      <c r="I92" s="327">
        <f>IF($E92="High-End",SUMIFS(Dermal_Exp[High-End AD (mg/kg-day)],Dermal_Exp[Worker Type],$D92,Dermal_Exp[OES],$C92),SUMIFS(Dermal_Exp[Central Tendency AD (mg/kg-day)],Dermal_Exp[Worker Type],$D92,Dermal_Exp[OES],$C92))</f>
        <v>3.4408008284432163E-3</v>
      </c>
      <c r="J92" s="327">
        <f>IF($E92="High-End",SUMIFS(Dermal_Exp[High-End IADD (mg/kg-day)],Dermal_Exp[Worker Type],$D92,Dermal_Exp[OES],$C92),SUMIFS(Dermal_Exp[Central Tendency IADD (mg/kg-day)],Dermal_Exp[Worker Type],$D92,Dermal_Exp[OES],$C92))</f>
        <v>2.5232539408583587E-3</v>
      </c>
      <c r="K92" s="327">
        <f>IF($E92="High-End",SUMIFS(Dermal_Exp[High-End ADD (mg/kg-day)],Dermal_Exp[Worker Type],$D92,Dermal_Exp[OES],$C92),SUMIFS(Dermal_Exp[Central Tendency ADD (mg/kg-day)],Dermal_Exp[Worker Type],$D92,Dermal_Exp[OES],$C92))</f>
        <v>2.2153101224223451E-3</v>
      </c>
      <c r="L92" s="327">
        <f t="shared" si="6"/>
        <v>3.9930963065239891E-3</v>
      </c>
      <c r="M92" s="327">
        <f t="shared" si="7"/>
        <v>2.9282706247842592E-3</v>
      </c>
      <c r="N92" s="327">
        <f t="shared" si="8"/>
        <v>2.5708976220085965E-3</v>
      </c>
    </row>
    <row r="93" spans="2:14" s="27" customFormat="1" x14ac:dyDescent="0.35">
      <c r="B93" s="28"/>
      <c r="C93" s="410" t="str" cm="1">
        <f t="array" ref="C93">INDEX('List Values'!$B$2:$B$20,(1+ROUNDDOWN((ROW()-ROW($C$5))*1/6,2)))</f>
        <v>Use of Laboratory Chemicals (Liquids)</v>
      </c>
      <c r="D93" s="411" t="s">
        <v>74</v>
      </c>
      <c r="E93" s="412" t="s">
        <v>72</v>
      </c>
      <c r="F93" s="273">
        <f>IF(E93="High-End",SUMIFS(Inhalation_Exp[24hr_High-End],Inhalation_Exp[OES],$C93,Inhalation_Exp[Worker Type],$D93),SUMIFS(Inhalation_Exp[24hr_Central Tendency],Inhalation_Exp[OES],$C93,Inhalation_Exp[Worker Type],$D93))</f>
        <v>5.0000000000000001E-4</v>
      </c>
      <c r="G93" s="273">
        <f>IF(E93="High-End",SUMIFS(Inhalation_Exp[Int_High-End],Inhalation_Exp[OES],$C93,Inhalation_Exp[Worker Type],$D93),SUMIFS(Inhalation_Exp[Int_Central Tendency],Inhalation_Exp[OES],$C93,Inhalation_Exp[Worker Type],$D93))</f>
        <v>3.6666666666666667E-4</v>
      </c>
      <c r="H93" s="273">
        <f>IF(E93="High-End",SUMIFS(Inhalation_Exp[ADD_High-End],Inhalation_Exp[OES],$C93,Inhalation_Exp[Worker Type],$D93),SUMIFS(Inhalation_Exp[ADD_Central Tendency],Inhalation_Exp[OES],$C93,Inhalation_Exp[Worker Type],$D93))</f>
        <v>3.4246575342465754E-4</v>
      </c>
      <c r="I93" s="327">
        <f>IF($E93="High-End",SUMIFS(Dermal_Exp[High-End AD (mg/kg-day)],Dermal_Exp[Worker Type],$D93,Dermal_Exp[OES],$C93),SUMIFS(Dermal_Exp[Central Tendency AD (mg/kg-day)],Dermal_Exp[Worker Type],$D93,Dermal_Exp[OES],$C93))</f>
        <v>0</v>
      </c>
      <c r="J93" s="327">
        <f>IF($E93="High-End",SUMIFS(Dermal_Exp[High-End IADD (mg/kg-day)],Dermal_Exp[Worker Type],$D93,Dermal_Exp[OES],$C93),SUMIFS(Dermal_Exp[Central Tendency IADD (mg/kg-day)],Dermal_Exp[Worker Type],$D93,Dermal_Exp[OES],$C93))</f>
        <v>0</v>
      </c>
      <c r="K93" s="327">
        <f>IF($E93="High-End",SUMIFS(Dermal_Exp[High-End ADD (mg/kg-day)],Dermal_Exp[Worker Type],$D93,Dermal_Exp[OES],$C93),SUMIFS(Dermal_Exp[Central Tendency ADD (mg/kg-day)],Dermal_Exp[Worker Type],$D93,Dermal_Exp[OES],$C93))</f>
        <v>0</v>
      </c>
      <c r="L93" s="327">
        <f t="shared" si="6"/>
        <v>5.0000000000000001E-4</v>
      </c>
      <c r="M93" s="327">
        <f t="shared" si="7"/>
        <v>3.6666666666666667E-4</v>
      </c>
      <c r="N93" s="327">
        <f t="shared" si="8"/>
        <v>3.4246575342465754E-4</v>
      </c>
    </row>
    <row r="94" spans="2:14" s="27" customFormat="1" x14ac:dyDescent="0.35">
      <c r="B94" s="28"/>
      <c r="C94" s="410" t="str" cm="1">
        <f t="array" ref="C94">INDEX('List Values'!$B$2:$B$20,(1+ROUNDDOWN((ROW()-ROW($C$5))*1/6,2)))</f>
        <v>Use of Laboratory Chemicals (Liquids)</v>
      </c>
      <c r="D94" s="411" t="s">
        <v>74</v>
      </c>
      <c r="E94" s="412" t="s">
        <v>73</v>
      </c>
      <c r="F94" s="273">
        <f>IF(E94="High-End",SUMIFS(Inhalation_Exp[24hr_High-End],Inhalation_Exp[OES],$C94,Inhalation_Exp[Worker Type],$D94),SUMIFS(Inhalation_Exp[24hr_Central Tendency],Inhalation_Exp[OES],$C94,Inhalation_Exp[Worker Type],$D94))</f>
        <v>5.0000000000000001E-4</v>
      </c>
      <c r="G94" s="273">
        <f>IF(E94="High-End",SUMIFS(Inhalation_Exp[Int_High-End],Inhalation_Exp[OES],$C94,Inhalation_Exp[Worker Type],$D94),SUMIFS(Inhalation_Exp[Int_Central Tendency],Inhalation_Exp[OES],$C94,Inhalation_Exp[Worker Type],$D94))</f>
        <v>3.6666666666666667E-4</v>
      </c>
      <c r="H94" s="273">
        <f>IF(E94="High-End",SUMIFS(Inhalation_Exp[ADD_High-End],Inhalation_Exp[OES],$C94,Inhalation_Exp[Worker Type],$D94),SUMIFS(Inhalation_Exp[ADD_Central Tendency],Inhalation_Exp[OES],$C94,Inhalation_Exp[Worker Type],$D94))</f>
        <v>3.2191780821917807E-4</v>
      </c>
      <c r="I94" s="327">
        <f>IF($E94="High-End",SUMIFS(Dermal_Exp[High-End AD (mg/kg-day)],Dermal_Exp[Worker Type],$D94,Dermal_Exp[OES],$C94),SUMIFS(Dermal_Exp[Central Tendency AD (mg/kg-day)],Dermal_Exp[Worker Type],$D94,Dermal_Exp[OES],$C94))</f>
        <v>0</v>
      </c>
      <c r="J94" s="327">
        <f>IF($E94="High-End",SUMIFS(Dermal_Exp[High-End IADD (mg/kg-day)],Dermal_Exp[Worker Type],$D94,Dermal_Exp[OES],$C94),SUMIFS(Dermal_Exp[Central Tendency IADD (mg/kg-day)],Dermal_Exp[Worker Type],$D94,Dermal_Exp[OES],$C94))</f>
        <v>0</v>
      </c>
      <c r="K94" s="327">
        <f>IF($E94="High-End",SUMIFS(Dermal_Exp[High-End ADD (mg/kg-day)],Dermal_Exp[Worker Type],$D94,Dermal_Exp[OES],$C94),SUMIFS(Dermal_Exp[Central Tendency ADD (mg/kg-day)],Dermal_Exp[Worker Type],$D94,Dermal_Exp[OES],$C94))</f>
        <v>0</v>
      </c>
      <c r="L94" s="327">
        <f t="shared" si="6"/>
        <v>5.0000000000000001E-4</v>
      </c>
      <c r="M94" s="327">
        <f t="shared" si="7"/>
        <v>3.6666666666666667E-4</v>
      </c>
      <c r="N94" s="327">
        <f t="shared" si="8"/>
        <v>3.2191780821917807E-4</v>
      </c>
    </row>
    <row r="95" spans="2:14" s="27" customFormat="1" x14ac:dyDescent="0.35">
      <c r="B95" s="28"/>
      <c r="C95" s="410" t="str" cm="1">
        <f t="array" ref="C95">INDEX('List Values'!$B$2:$B$20,(1+ROUNDDOWN((ROW()-ROW($C$5))*1/6,2)))</f>
        <v>Use of Laboratory Chemicals (Solids)</v>
      </c>
      <c r="D95" s="411" t="s">
        <v>57</v>
      </c>
      <c r="E95" s="412" t="s">
        <v>72</v>
      </c>
      <c r="F95" s="273">
        <f>IF(E95="High-End",SUMIFS(Inhalation_Exp[24hr_High-End],Inhalation_Exp[OES],$C95,Inhalation_Exp[Worker Type],$D95),SUMIFS(Inhalation_Exp[24hr_Central Tendency],Inhalation_Exp[OES],$C95,Inhalation_Exp[Worker Type],$D95))</f>
        <v>3.3750000000000002E-4</v>
      </c>
      <c r="G95" s="273">
        <f>IF(E95="High-End",SUMIFS(Inhalation_Exp[Int_High-End],Inhalation_Exp[OES],$C95,Inhalation_Exp[Worker Type],$D95),SUMIFS(Inhalation_Exp[Int_Central Tendency],Inhalation_Exp[OES],$C95,Inhalation_Exp[Worker Type],$D95))</f>
        <v>2.475E-4</v>
      </c>
      <c r="H95" s="273">
        <f>IF(E95="High-End",SUMIFS(Inhalation_Exp[ADD_High-End],Inhalation_Exp[OES],$C95,Inhalation_Exp[Worker Type],$D95),SUMIFS(Inhalation_Exp[ADD_Central Tendency],Inhalation_Exp[OES],$C95,Inhalation_Exp[Worker Type],$D95))</f>
        <v>2.3116438356164383E-4</v>
      </c>
      <c r="I95" s="327">
        <f>IF($E95="High-End",SUMIFS(Dermal_Exp[High-End AD (mg/kg-day)],Dermal_Exp[Worker Type],$D95,Dermal_Exp[OES],$C95),SUMIFS(Dermal_Exp[Central Tendency AD (mg/kg-day)],Dermal_Exp[Worker Type],$D95,Dermal_Exp[OES],$C95))</f>
        <v>7.4899999999999993E-3</v>
      </c>
      <c r="J95" s="327">
        <f>IF($E95="High-End",SUMIFS(Dermal_Exp[High-End IADD (mg/kg-day)],Dermal_Exp[Worker Type],$D95,Dermal_Exp[OES],$C95),SUMIFS(Dermal_Exp[Central Tendency IADD (mg/kg-day)],Dermal_Exp[Worker Type],$D95,Dermal_Exp[OES],$C95))</f>
        <v>5.4926666666666657E-3</v>
      </c>
      <c r="K95" s="327">
        <f>IF($E95="High-End",SUMIFS(Dermal_Exp[High-End ADD (mg/kg-day)],Dermal_Exp[Worker Type],$D95,Dermal_Exp[OES],$C95),SUMIFS(Dermal_Exp[Central Tendency ADD (mg/kg-day)],Dermal_Exp[Worker Type],$D95,Dermal_Exp[OES],$C95))</f>
        <v>5.1301369863013691E-3</v>
      </c>
      <c r="L95" s="327">
        <f t="shared" si="6"/>
        <v>7.8274999999999994E-3</v>
      </c>
      <c r="M95" s="327">
        <f t="shared" si="7"/>
        <v>5.740166666666666E-3</v>
      </c>
      <c r="N95" s="327">
        <f t="shared" si="8"/>
        <v>5.3613013698630132E-3</v>
      </c>
    </row>
    <row r="96" spans="2:14" s="27" customFormat="1" x14ac:dyDescent="0.35">
      <c r="B96" s="28"/>
      <c r="C96" s="410" t="str" cm="1">
        <f t="array" ref="C96">INDEX('List Values'!$B$2:$B$20,(1+ROUNDDOWN((ROW()-ROW($C$5))*1/6,2)))</f>
        <v>Use of Laboratory Chemicals (Solids)</v>
      </c>
      <c r="D96" s="411" t="s">
        <v>57</v>
      </c>
      <c r="E96" s="412" t="s">
        <v>73</v>
      </c>
      <c r="F96" s="273">
        <f>IF(E96="High-End",SUMIFS(Inhalation_Exp[24hr_High-End],Inhalation_Exp[OES],$C96,Inhalation_Exp[Worker Type],$D96),SUMIFS(Inhalation_Exp[24hr_Central Tendency],Inhalation_Exp[OES],$C96,Inhalation_Exp[Worker Type],$D96))</f>
        <v>2.3750000000000001E-5</v>
      </c>
      <c r="G96" s="273">
        <f>IF(E96="High-End",SUMIFS(Inhalation_Exp[Int_High-End],Inhalation_Exp[OES],$C96,Inhalation_Exp[Worker Type],$D96),SUMIFS(Inhalation_Exp[Int_Central Tendency],Inhalation_Exp[OES],$C96,Inhalation_Exp[Worker Type],$D96))</f>
        <v>1.7416666666666669E-5</v>
      </c>
      <c r="H96" s="273">
        <f>IF(E96="High-End",SUMIFS(Inhalation_Exp[ADD_High-End],Inhalation_Exp[OES],$C96,Inhalation_Exp[Worker Type],$D96),SUMIFS(Inhalation_Exp[ADD_Central Tendency],Inhalation_Exp[OES],$C96,Inhalation_Exp[Worker Type],$D96))</f>
        <v>1.5291095890410958E-5</v>
      </c>
      <c r="I96" s="327">
        <f>IF($E96="High-End",SUMIFS(Dermal_Exp[High-End AD (mg/kg-day)],Dermal_Exp[Worker Type],$D96,Dermal_Exp[OES],$C96),SUMIFS(Dermal_Exp[Central Tendency AD (mg/kg-day)],Dermal_Exp[Worker Type],$D96,Dermal_Exp[OES],$C96))</f>
        <v>3.7449999999999996E-3</v>
      </c>
      <c r="J96" s="327">
        <f>IF($E96="High-End",SUMIFS(Dermal_Exp[High-End IADD (mg/kg-day)],Dermal_Exp[Worker Type],$D96,Dermal_Exp[OES],$C96),SUMIFS(Dermal_Exp[Central Tendency IADD (mg/kg-day)],Dermal_Exp[Worker Type],$D96,Dermal_Exp[OES],$C96))</f>
        <v>2.7463333333333328E-3</v>
      </c>
      <c r="K96" s="327">
        <f>IF($E96="High-End",SUMIFS(Dermal_Exp[High-End ADD (mg/kg-day)],Dermal_Exp[Worker Type],$D96,Dermal_Exp[OES],$C96),SUMIFS(Dermal_Exp[Central Tendency ADD (mg/kg-day)],Dermal_Exp[Worker Type],$D96,Dermal_Exp[OES],$C96))</f>
        <v>2.4111643835616437E-3</v>
      </c>
      <c r="L96" s="327">
        <f t="shared" si="6"/>
        <v>3.7687499999999995E-3</v>
      </c>
      <c r="M96" s="327">
        <f t="shared" si="7"/>
        <v>2.7637499999999997E-3</v>
      </c>
      <c r="N96" s="327">
        <f t="shared" si="8"/>
        <v>2.4264554794520546E-3</v>
      </c>
    </row>
    <row r="97" spans="2:14" s="27" customFormat="1" x14ac:dyDescent="0.35">
      <c r="B97" s="28"/>
      <c r="C97" s="410" t="str" cm="1">
        <f t="array" ref="C97">INDEX('List Values'!$B$2:$B$20,(1+ROUNDDOWN((ROW()-ROW($C$5))*1/6,2)))</f>
        <v>Use of Laboratory Chemicals (Solids)</v>
      </c>
      <c r="D97" s="411" t="s">
        <v>168</v>
      </c>
      <c r="E97" s="412" t="s">
        <v>72</v>
      </c>
      <c r="F97" s="273">
        <f>IF(E97="High-End",SUMIFS(Inhalation_Exp[24hr_High-End],Inhalation_Exp[OES],$C97,Inhalation_Exp[Worker Type],$D97),SUMIFS(Inhalation_Exp[24hr_Central Tendency],Inhalation_Exp[OES],$C97,Inhalation_Exp[Worker Type],$D97))</f>
        <v>3.7279944770452189E-4</v>
      </c>
      <c r="G97" s="273">
        <f>IF(E97="High-End",SUMIFS(Inhalation_Exp[Int_High-End],Inhalation_Exp[OES],$C97,Inhalation_Exp[Worker Type],$D97),SUMIFS(Inhalation_Exp[Int_Central Tendency],Inhalation_Exp[OES],$C97,Inhalation_Exp[Worker Type],$D97))</f>
        <v>2.7338626164998269E-4</v>
      </c>
      <c r="H97" s="273">
        <f>IF(E97="High-End",SUMIFS(Inhalation_Exp[ADD_High-End],Inhalation_Exp[OES],$C97,Inhalation_Exp[Worker Type],$D97),SUMIFS(Inhalation_Exp[ADD_Central Tendency],Inhalation_Exp[OES],$C97,Inhalation_Exp[Worker Type],$D97))</f>
        <v>2.5534208746885061E-4</v>
      </c>
      <c r="I97" s="327">
        <f>IF($E97="High-End",SUMIFS(Dermal_Exp[High-End AD (mg/kg-day)],Dermal_Exp[Worker Type],$D97,Dermal_Exp[OES],$C97),SUMIFS(Dermal_Exp[Central Tendency AD (mg/kg-day)],Dermal_Exp[Worker Type],$D97,Dermal_Exp[OES],$C97))</f>
        <v>6.8816016568864326E-3</v>
      </c>
      <c r="J97" s="327">
        <f>IF($E97="High-End",SUMIFS(Dermal_Exp[High-End IADD (mg/kg-day)],Dermal_Exp[Worker Type],$D97,Dermal_Exp[OES],$C97),SUMIFS(Dermal_Exp[Central Tendency IADD (mg/kg-day)],Dermal_Exp[Worker Type],$D97,Dermal_Exp[OES],$C97))</f>
        <v>5.0465078817167174E-3</v>
      </c>
      <c r="K97" s="327">
        <f>IF($E97="High-End",SUMIFS(Dermal_Exp[High-End ADD (mg/kg-day)],Dermal_Exp[Worker Type],$D97,Dermal_Exp[OES],$C97),SUMIFS(Dermal_Exp[Central Tendency ADD (mg/kg-day)],Dermal_Exp[Worker Type],$D97,Dermal_Exp[OES],$C97))</f>
        <v>4.713425792387968E-3</v>
      </c>
      <c r="L97" s="327">
        <f t="shared" si="6"/>
        <v>7.2544011045909546E-3</v>
      </c>
      <c r="M97" s="327">
        <f t="shared" si="7"/>
        <v>5.3198941433666999E-3</v>
      </c>
      <c r="N97" s="327">
        <f t="shared" si="8"/>
        <v>4.9687678798568183E-3</v>
      </c>
    </row>
    <row r="98" spans="2:14" s="27" customFormat="1" x14ac:dyDescent="0.35">
      <c r="B98" s="28"/>
      <c r="C98" s="410" t="str" cm="1">
        <f t="array" ref="C98">INDEX('List Values'!$B$2:$B$20,(1+ROUNDDOWN((ROW()-ROW($C$5))*1/6,2)))</f>
        <v>Use of Laboratory Chemicals (Solids)</v>
      </c>
      <c r="D98" s="411" t="s">
        <v>168</v>
      </c>
      <c r="E98" s="412" t="s">
        <v>73</v>
      </c>
      <c r="F98" s="273">
        <f>IF(E98="High-End",SUMIFS(Inhalation_Exp[24hr_High-End],Inhalation_Exp[OES],$C98,Inhalation_Exp[Worker Type],$D98),SUMIFS(Inhalation_Exp[24hr_Central Tendency],Inhalation_Exp[OES],$C98,Inhalation_Exp[Worker Type],$D98))</f>
        <v>2.6234035208836728E-5</v>
      </c>
      <c r="G98" s="273">
        <f>IF(E98="High-End",SUMIFS(Inhalation_Exp[Int_High-End],Inhalation_Exp[OES],$C98,Inhalation_Exp[Worker Type],$D98),SUMIFS(Inhalation_Exp[Int_Central Tendency],Inhalation_Exp[OES],$C98,Inhalation_Exp[Worker Type],$D98))</f>
        <v>1.9238292486480268E-5</v>
      </c>
      <c r="H98" s="273">
        <f>IF(E98="High-End",SUMIFS(Inhalation_Exp[ADD_High-End],Inhalation_Exp[OES],$C98,Inhalation_Exp[Worker Type],$D98),SUMIFS(Inhalation_Exp[ADD_Central Tendency],Inhalation_Exp[OES],$C98,Inhalation_Exp[Worker Type],$D98))</f>
        <v>1.6890406230346934E-5</v>
      </c>
      <c r="I98" s="327">
        <f>IF($E98="High-End",SUMIFS(Dermal_Exp[High-End AD (mg/kg-day)],Dermal_Exp[Worker Type],$D98,Dermal_Exp[OES],$C98),SUMIFS(Dermal_Exp[Central Tendency AD (mg/kg-day)],Dermal_Exp[Worker Type],$D98,Dermal_Exp[OES],$C98))</f>
        <v>3.4408008284432163E-3</v>
      </c>
      <c r="J98" s="327">
        <f>IF($E98="High-End",SUMIFS(Dermal_Exp[High-End IADD (mg/kg-day)],Dermal_Exp[Worker Type],$D98,Dermal_Exp[OES],$C98),SUMIFS(Dermal_Exp[Central Tendency IADD (mg/kg-day)],Dermal_Exp[Worker Type],$D98,Dermal_Exp[OES],$C98))</f>
        <v>2.5232539408583587E-3</v>
      </c>
      <c r="K98" s="327">
        <f>IF($E98="High-End",SUMIFS(Dermal_Exp[High-End ADD (mg/kg-day)],Dermal_Exp[Worker Type],$D98,Dermal_Exp[OES],$C98),SUMIFS(Dermal_Exp[Central Tendency ADD (mg/kg-day)],Dermal_Exp[Worker Type],$D98,Dermal_Exp[OES],$C98))</f>
        <v>2.2153101224223451E-3</v>
      </c>
      <c r="L98" s="327">
        <f t="shared" si="6"/>
        <v>3.467034863652053E-3</v>
      </c>
      <c r="M98" s="327">
        <f t="shared" si="7"/>
        <v>2.542492233344839E-3</v>
      </c>
      <c r="N98" s="327">
        <f t="shared" si="8"/>
        <v>2.2322005286526921E-3</v>
      </c>
    </row>
    <row r="99" spans="2:14" s="27" customFormat="1" x14ac:dyDescent="0.35">
      <c r="B99" s="28"/>
      <c r="C99" s="410" t="str" cm="1">
        <f t="array" ref="C99">INDEX('List Values'!$B$2:$B$20,(1+ROUNDDOWN((ROW()-ROW($C$5))*1/6,2)))</f>
        <v>Use of Laboratory Chemicals (Solids)</v>
      </c>
      <c r="D99" s="411" t="s">
        <v>74</v>
      </c>
      <c r="E99" s="412" t="s">
        <v>72</v>
      </c>
      <c r="F99" s="273">
        <f>IF(E99="High-End",SUMIFS(Inhalation_Exp[24hr_High-End],Inhalation_Exp[OES],$C99,Inhalation_Exp[Worker Type],$D99),SUMIFS(Inhalation_Exp[24hr_Central Tendency],Inhalation_Exp[OES],$C99,Inhalation_Exp[Worker Type],$D99))</f>
        <v>2.3750000000000001E-5</v>
      </c>
      <c r="G99" s="273">
        <f>IF(E99="High-End",SUMIFS(Inhalation_Exp[Int_High-End],Inhalation_Exp[OES],$C99,Inhalation_Exp[Worker Type],$D99),SUMIFS(Inhalation_Exp[Int_Central Tendency],Inhalation_Exp[OES],$C99,Inhalation_Exp[Worker Type],$D99))</f>
        <v>1.7416666666666669E-5</v>
      </c>
      <c r="H99" s="273">
        <f>IF(E99="High-End",SUMIFS(Inhalation_Exp[ADD_High-End],Inhalation_Exp[OES],$C99,Inhalation_Exp[Worker Type],$D99),SUMIFS(Inhalation_Exp[ADD_Central Tendency],Inhalation_Exp[OES],$C99,Inhalation_Exp[Worker Type],$D99))</f>
        <v>1.6267123287671232E-5</v>
      </c>
      <c r="I99" s="327">
        <f>IF($E99="High-End",SUMIFS(Dermal_Exp[High-End AD (mg/kg-day)],Dermal_Exp[Worker Type],$D99,Dermal_Exp[OES],$C99),SUMIFS(Dermal_Exp[Central Tendency AD (mg/kg-day)],Dermal_Exp[Worker Type],$D99,Dermal_Exp[OES],$C99))</f>
        <v>3.7449999999999996E-3</v>
      </c>
      <c r="J99" s="327">
        <f>IF($E99="High-End",SUMIFS(Dermal_Exp[High-End IADD (mg/kg-day)],Dermal_Exp[Worker Type],$D99,Dermal_Exp[OES],$C99),SUMIFS(Dermal_Exp[Central Tendency IADD (mg/kg-day)],Dermal_Exp[Worker Type],$D99,Dermal_Exp[OES],$C99))</f>
        <v>2.7463333333333328E-3</v>
      </c>
      <c r="K99" s="327">
        <f>IF($E99="High-End",SUMIFS(Dermal_Exp[High-End ADD (mg/kg-day)],Dermal_Exp[Worker Type],$D99,Dermal_Exp[OES],$C99),SUMIFS(Dermal_Exp[Central Tendency ADD (mg/kg-day)],Dermal_Exp[Worker Type],$D99,Dermal_Exp[OES],$C99))</f>
        <v>2.5650684931506846E-3</v>
      </c>
      <c r="L99" s="327">
        <f t="shared" si="6"/>
        <v>3.7687499999999995E-3</v>
      </c>
      <c r="M99" s="327">
        <f t="shared" si="7"/>
        <v>2.7637499999999997E-3</v>
      </c>
      <c r="N99" s="327">
        <f t="shared" si="8"/>
        <v>2.5813356164383558E-3</v>
      </c>
    </row>
    <row r="100" spans="2:14" s="27" customFormat="1" x14ac:dyDescent="0.35">
      <c r="B100" s="28"/>
      <c r="C100" s="410" t="str" cm="1">
        <f t="array" ref="C100">INDEX('List Values'!$B$2:$B$20,(1+ROUNDDOWN((ROW()-ROW($C$5))*1/6,2)))</f>
        <v>Use of Laboratory Chemicals (Solids)</v>
      </c>
      <c r="D100" s="411" t="s">
        <v>74</v>
      </c>
      <c r="E100" s="412" t="s">
        <v>73</v>
      </c>
      <c r="F100" s="273">
        <f>IF(E100="High-End",SUMIFS(Inhalation_Exp[24hr_High-End],Inhalation_Exp[OES],$C100,Inhalation_Exp[Worker Type],$D100),SUMIFS(Inhalation_Exp[24hr_Central Tendency],Inhalation_Exp[OES],$C100,Inhalation_Exp[Worker Type],$D100))</f>
        <v>2.3750000000000001E-5</v>
      </c>
      <c r="G100" s="273">
        <f>IF(E100="High-End",SUMIFS(Inhalation_Exp[Int_High-End],Inhalation_Exp[OES],$C100,Inhalation_Exp[Worker Type],$D100),SUMIFS(Inhalation_Exp[Int_Central Tendency],Inhalation_Exp[OES],$C100,Inhalation_Exp[Worker Type],$D100))</f>
        <v>1.7416666666666669E-5</v>
      </c>
      <c r="H100" s="273">
        <f>IF(E100="High-End",SUMIFS(Inhalation_Exp[ADD_High-End],Inhalation_Exp[OES],$C100,Inhalation_Exp[Worker Type],$D100),SUMIFS(Inhalation_Exp[ADD_Central Tendency],Inhalation_Exp[OES],$C100,Inhalation_Exp[Worker Type],$D100))</f>
        <v>1.5291095890410958E-5</v>
      </c>
      <c r="I100" s="327">
        <f>IF($E100="High-End",SUMIFS(Dermal_Exp[High-End AD (mg/kg-day)],Dermal_Exp[Worker Type],$D100,Dermal_Exp[OES],$C100),SUMIFS(Dermal_Exp[Central Tendency AD (mg/kg-day)],Dermal_Exp[Worker Type],$D100,Dermal_Exp[OES],$C100))</f>
        <v>1.8724999999999998E-3</v>
      </c>
      <c r="J100" s="327">
        <f>IF($E100="High-End",SUMIFS(Dermal_Exp[High-End IADD (mg/kg-day)],Dermal_Exp[Worker Type],$D100,Dermal_Exp[OES],$C100),SUMIFS(Dermal_Exp[Central Tendency IADD (mg/kg-day)],Dermal_Exp[Worker Type],$D100,Dermal_Exp[OES],$C100))</f>
        <v>1.3731666666666664E-3</v>
      </c>
      <c r="K100" s="327">
        <f>IF($E100="High-End",SUMIFS(Dermal_Exp[High-End ADD (mg/kg-day)],Dermal_Exp[Worker Type],$D100,Dermal_Exp[OES],$C100),SUMIFS(Dermal_Exp[Central Tendency ADD (mg/kg-day)],Dermal_Exp[Worker Type],$D100,Dermal_Exp[OES],$C100))</f>
        <v>1.2055821917808219E-3</v>
      </c>
      <c r="L100" s="327">
        <f t="shared" si="6"/>
        <v>1.8962499999999997E-3</v>
      </c>
      <c r="M100" s="327">
        <f t="shared" si="7"/>
        <v>1.3905833333333331E-3</v>
      </c>
      <c r="N100" s="327">
        <f t="shared" si="8"/>
        <v>1.2208732876712329E-3</v>
      </c>
    </row>
    <row r="101" spans="2:14" s="27" customFormat="1" x14ac:dyDescent="0.35">
      <c r="B101" s="28"/>
      <c r="C101" s="410" t="str" cm="1">
        <f t="array" ref="C101">INDEX('List Values'!$B$2:$B$20,(1+ROUNDDOWN((ROW()-ROW($C$5))*1/6,2)))</f>
        <v>Recycling</v>
      </c>
      <c r="D101" s="411" t="s">
        <v>57</v>
      </c>
      <c r="E101" s="412" t="s">
        <v>72</v>
      </c>
      <c r="F101" s="273">
        <f>IF(E101="High-End",SUMIFS(Inhalation_Exp[24hr_High-End],Inhalation_Exp[OES],$C101,Inhalation_Exp[Worker Type],$D101),SUMIFS(Inhalation_Exp[24hr_Central Tendency],Inhalation_Exp[OES],$C101,Inhalation_Exp[Worker Type],$D101))</f>
        <v>8.9787499999999992E-2</v>
      </c>
      <c r="G101" s="273">
        <f>IF(E101="High-End",SUMIFS(Inhalation_Exp[Int_High-End],Inhalation_Exp[OES],$C101,Inhalation_Exp[Worker Type],$D101),SUMIFS(Inhalation_Exp[Int_Central Tendency],Inhalation_Exp[OES],$C101,Inhalation_Exp[Worker Type],$D101))</f>
        <v>6.5844166666666662E-2</v>
      </c>
      <c r="H101" s="273">
        <f>IF(E101="High-End",SUMIFS(Inhalation_Exp[ADD_High-End],Inhalation_Exp[OES],$C101,Inhalation_Exp[Worker Type],$D101),SUMIFS(Inhalation_Exp[ADD_Central Tendency],Inhalation_Exp[OES],$C101,Inhalation_Exp[Worker Type],$D101))</f>
        <v>6.1498287671232874E-2</v>
      </c>
      <c r="I101" s="327">
        <f>IF($E101="High-End",SUMIFS(Dermal_Exp[High-End AD (mg/kg-day)],Dermal_Exp[Worker Type],$D101,Dermal_Exp[OES],$C101),SUMIFS(Dermal_Exp[Central Tendency AD (mg/kg-day)],Dermal_Exp[Worker Type],$D101,Dermal_Exp[OES],$C101))</f>
        <v>7.4899999999999993E-3</v>
      </c>
      <c r="J101" s="327">
        <f>IF($E101="High-End",SUMIFS(Dermal_Exp[High-End IADD (mg/kg-day)],Dermal_Exp[Worker Type],$D101,Dermal_Exp[OES],$C101),SUMIFS(Dermal_Exp[Central Tendency IADD (mg/kg-day)],Dermal_Exp[Worker Type],$D101,Dermal_Exp[OES],$C101))</f>
        <v>5.4926666666666657E-3</v>
      </c>
      <c r="K101" s="327">
        <f>IF($E101="High-End",SUMIFS(Dermal_Exp[High-End ADD (mg/kg-day)],Dermal_Exp[Worker Type],$D101,Dermal_Exp[OES],$C101),SUMIFS(Dermal_Exp[Central Tendency ADD (mg/kg-day)],Dermal_Exp[Worker Type],$D101,Dermal_Exp[OES],$C101))</f>
        <v>5.1301369863013691E-3</v>
      </c>
      <c r="L101" s="327">
        <f t="shared" ref="L101:L118" si="9">F101+I101</f>
        <v>9.7277499999999989E-2</v>
      </c>
      <c r="M101" s="327">
        <f t="shared" ref="M101:M118" si="10">G101+J101</f>
        <v>7.1336833333333322E-2</v>
      </c>
      <c r="N101" s="327">
        <f t="shared" ref="N101:N118" si="11">H101+K101</f>
        <v>6.6628424657534241E-2</v>
      </c>
    </row>
    <row r="102" spans="2:14" s="27" customFormat="1" x14ac:dyDescent="0.35">
      <c r="B102" s="28"/>
      <c r="C102" s="410" t="str" cm="1">
        <f t="array" ref="C102">INDEX('List Values'!$B$2:$B$20,(1+ROUNDDOWN((ROW()-ROW($C$5))*1/6,2)))</f>
        <v>Recycling</v>
      </c>
      <c r="D102" s="411" t="s">
        <v>57</v>
      </c>
      <c r="E102" s="412" t="s">
        <v>73</v>
      </c>
      <c r="F102" s="273">
        <f>IF(E102="High-End",SUMIFS(Inhalation_Exp[24hr_High-End],Inhalation_Exp[OES],$C102,Inhalation_Exp[Worker Type],$D102),SUMIFS(Inhalation_Exp[24hr_Central Tendency],Inhalation_Exp[OES],$C102,Inhalation_Exp[Worker Type],$D102))</f>
        <v>6.5000000000000006E-3</v>
      </c>
      <c r="G102" s="273">
        <f>IF(E102="High-End",SUMIFS(Inhalation_Exp[Int_High-End],Inhalation_Exp[OES],$C102,Inhalation_Exp[Worker Type],$D102),SUMIFS(Inhalation_Exp[Int_Central Tendency],Inhalation_Exp[OES],$C102,Inhalation_Exp[Worker Type],$D102))</f>
        <v>4.7666666666666673E-3</v>
      </c>
      <c r="H102" s="273">
        <f>IF(E102="High-End",SUMIFS(Inhalation_Exp[ADD_High-End],Inhalation_Exp[OES],$C102,Inhalation_Exp[Worker Type],$D102),SUMIFS(Inhalation_Exp[ADD_Central Tendency],Inhalation_Exp[OES],$C102,Inhalation_Exp[Worker Type],$D102))</f>
        <v>3.9712328767123294E-3</v>
      </c>
      <c r="I102" s="327">
        <f>IF($E102="High-End",SUMIFS(Dermal_Exp[High-End AD (mg/kg-day)],Dermal_Exp[Worker Type],$D102,Dermal_Exp[OES],$C102),SUMIFS(Dermal_Exp[Central Tendency AD (mg/kg-day)],Dermal_Exp[Worker Type],$D102,Dermal_Exp[OES],$C102))</f>
        <v>3.7449999999999996E-3</v>
      </c>
      <c r="J102" s="327">
        <f>IF($E102="High-End",SUMIFS(Dermal_Exp[High-End IADD (mg/kg-day)],Dermal_Exp[Worker Type],$D102,Dermal_Exp[OES],$C102),SUMIFS(Dermal_Exp[Central Tendency IADD (mg/kg-day)],Dermal_Exp[Worker Type],$D102,Dermal_Exp[OES],$C102))</f>
        <v>2.7463333333333328E-3</v>
      </c>
      <c r="K102" s="327">
        <f>IF($E102="High-End",SUMIFS(Dermal_Exp[High-End ADD (mg/kg-day)],Dermal_Exp[Worker Type],$D102,Dermal_Exp[OES],$C102),SUMIFS(Dermal_Exp[Central Tendency ADD (mg/kg-day)],Dermal_Exp[Worker Type],$D102,Dermal_Exp[OES],$C102))</f>
        <v>2.2880410958904108E-3</v>
      </c>
      <c r="L102" s="327">
        <f t="shared" si="9"/>
        <v>1.0245000000000001E-2</v>
      </c>
      <c r="M102" s="327">
        <f t="shared" si="10"/>
        <v>7.5130000000000006E-3</v>
      </c>
      <c r="N102" s="327">
        <f t="shared" si="11"/>
        <v>6.2592739726027406E-3</v>
      </c>
    </row>
    <row r="103" spans="2:14" s="27" customFormat="1" x14ac:dyDescent="0.35">
      <c r="B103" s="28"/>
      <c r="C103" s="410" t="str" cm="1">
        <f t="array" ref="C103">INDEX('List Values'!$B$2:$B$20,(1+ROUNDDOWN((ROW()-ROW($C$5))*1/6,2)))</f>
        <v>Recycling</v>
      </c>
      <c r="D103" s="411" t="s">
        <v>168</v>
      </c>
      <c r="E103" s="412" t="s">
        <v>72</v>
      </c>
      <c r="F103" s="273">
        <f>IF(E103="High-End",SUMIFS(Inhalation_Exp[24hr_High-End],Inhalation_Exp[OES],$C103,Inhalation_Exp[Worker Type],$D103),SUMIFS(Inhalation_Exp[24hr_Central Tendency],Inhalation_Exp[OES],$C103,Inhalation_Exp[Worker Type],$D103))</f>
        <v>9.9178460476354827E-2</v>
      </c>
      <c r="G103" s="273">
        <f>IF(E103="High-End",SUMIFS(Inhalation_Exp[Int_High-End],Inhalation_Exp[OES],$C103,Inhalation_Exp[Worker Type],$D103),SUMIFS(Inhalation_Exp[Int_Central Tendency],Inhalation_Exp[OES],$C103,Inhalation_Exp[Worker Type],$D103))</f>
        <v>7.2730871015993542E-2</v>
      </c>
      <c r="H103" s="273">
        <f>IF(E103="High-End",SUMIFS(Inhalation_Exp[ADD_High-End],Inhalation_Exp[OES],$C103,Inhalation_Exp[Worker Type],$D103),SUMIFS(Inhalation_Exp[ADD_Central Tendency],Inhalation_Exp[OES],$C103,Inhalation_Exp[Worker Type],$D103))</f>
        <v>6.7930452381064946E-2</v>
      </c>
      <c r="I103" s="327">
        <f>IF($E103="High-End",SUMIFS(Dermal_Exp[High-End AD (mg/kg-day)],Dermal_Exp[Worker Type],$D103,Dermal_Exp[OES],$C103),SUMIFS(Dermal_Exp[Central Tendency AD (mg/kg-day)],Dermal_Exp[Worker Type],$D103,Dermal_Exp[OES],$C103))</f>
        <v>6.8816016568864326E-3</v>
      </c>
      <c r="J103" s="327">
        <f>IF($E103="High-End",SUMIFS(Dermal_Exp[High-End IADD (mg/kg-day)],Dermal_Exp[Worker Type],$D103,Dermal_Exp[OES],$C103),SUMIFS(Dermal_Exp[Central Tendency IADD (mg/kg-day)],Dermal_Exp[Worker Type],$D103,Dermal_Exp[OES],$C103))</f>
        <v>5.0465078817167174E-3</v>
      </c>
      <c r="K103" s="327">
        <f>IF($E103="High-End",SUMIFS(Dermal_Exp[High-End ADD (mg/kg-day)],Dermal_Exp[Worker Type],$D103,Dermal_Exp[OES],$C103),SUMIFS(Dermal_Exp[Central Tendency ADD (mg/kg-day)],Dermal_Exp[Worker Type],$D103,Dermal_Exp[OES],$C103))</f>
        <v>4.713425792387968E-3</v>
      </c>
      <c r="L103" s="327">
        <f t="shared" si="9"/>
        <v>0.10606006213324126</v>
      </c>
      <c r="M103" s="327">
        <f t="shared" si="10"/>
        <v>7.7777378897710261E-2</v>
      </c>
      <c r="N103" s="327">
        <f t="shared" si="11"/>
        <v>7.2643878173452914E-2</v>
      </c>
    </row>
    <row r="104" spans="2:14" s="27" customFormat="1" x14ac:dyDescent="0.35">
      <c r="B104" s="28"/>
      <c r="C104" s="410" t="str" cm="1">
        <f t="array" ref="C104">INDEX('List Values'!$B$2:$B$20,(1+ROUNDDOWN((ROW()-ROW($C$5))*1/6,2)))</f>
        <v>Recycling</v>
      </c>
      <c r="D104" s="411" t="s">
        <v>168</v>
      </c>
      <c r="E104" s="412" t="s">
        <v>73</v>
      </c>
      <c r="F104" s="273">
        <f>IF(E104="High-End",SUMIFS(Inhalation_Exp[24hr_High-End],Inhalation_Exp[OES],$C104,Inhalation_Exp[Worker Type],$D104),SUMIFS(Inhalation_Exp[24hr_Central Tendency],Inhalation_Exp[OES],$C104,Inhalation_Exp[Worker Type],$D104))</f>
        <v>7.1798412150500509E-3</v>
      </c>
      <c r="G104" s="273">
        <f>IF(E104="High-End",SUMIFS(Inhalation_Exp[Int_High-End],Inhalation_Exp[OES],$C104,Inhalation_Exp[Worker Type],$D104),SUMIFS(Inhalation_Exp[Int_Central Tendency],Inhalation_Exp[OES],$C104,Inhalation_Exp[Worker Type],$D104))</f>
        <v>5.2652168910367041E-3</v>
      </c>
      <c r="H104" s="273">
        <f>IF(E104="High-End",SUMIFS(Inhalation_Exp[ADD_High-End],Inhalation_Exp[OES],$C104,Inhalation_Exp[Worker Type],$D104),SUMIFS(Inhalation_Exp[ADD_Central Tendency],Inhalation_Exp[OES],$C104,Inhalation_Exp[Worker Type],$D104))</f>
        <v>4.3865879204278398E-3</v>
      </c>
      <c r="I104" s="327">
        <f>IF($E104="High-End",SUMIFS(Dermal_Exp[High-End AD (mg/kg-day)],Dermal_Exp[Worker Type],$D104,Dermal_Exp[OES],$C104),SUMIFS(Dermal_Exp[Central Tendency AD (mg/kg-day)],Dermal_Exp[Worker Type],$D104,Dermal_Exp[OES],$C104))</f>
        <v>3.4408008284432163E-3</v>
      </c>
      <c r="J104" s="327">
        <f>IF($E104="High-End",SUMIFS(Dermal_Exp[High-End IADD (mg/kg-day)],Dermal_Exp[Worker Type],$D104,Dermal_Exp[OES],$C104),SUMIFS(Dermal_Exp[Central Tendency IADD (mg/kg-day)],Dermal_Exp[Worker Type],$D104,Dermal_Exp[OES],$C104))</f>
        <v>2.5232539408583587E-3</v>
      </c>
      <c r="K104" s="327">
        <f>IF($E104="High-End",SUMIFS(Dermal_Exp[High-End ADD (mg/kg-day)],Dermal_Exp[Worker Type],$D104,Dermal_Exp[OES],$C104),SUMIFS(Dermal_Exp[Central Tendency ADD (mg/kg-day)],Dermal_Exp[Worker Type],$D104,Dermal_Exp[OES],$C104))</f>
        <v>2.1021879034050337E-3</v>
      </c>
      <c r="L104" s="327">
        <f t="shared" si="9"/>
        <v>1.0620642043493268E-2</v>
      </c>
      <c r="M104" s="327">
        <f t="shared" si="10"/>
        <v>7.7884708318950628E-3</v>
      </c>
      <c r="N104" s="327">
        <f t="shared" si="11"/>
        <v>6.4887758238328739E-3</v>
      </c>
    </row>
    <row r="105" spans="2:14" s="27" customFormat="1" x14ac:dyDescent="0.35">
      <c r="B105" s="28"/>
      <c r="C105" s="410" t="str" cm="1">
        <f t="array" ref="C105">INDEX('List Values'!$B$2:$B$20,(1+ROUNDDOWN((ROW()-ROW($C$5))*1/6,2)))</f>
        <v>Recycling</v>
      </c>
      <c r="D105" s="411" t="s">
        <v>74</v>
      </c>
      <c r="E105" s="412" t="s">
        <v>72</v>
      </c>
      <c r="F105" s="273">
        <f>IF(E105="High-End",SUMIFS(Inhalation_Exp[24hr_High-End],Inhalation_Exp[OES],$C105,Inhalation_Exp[Worker Type],$D105),SUMIFS(Inhalation_Exp[24hr_Central Tendency],Inhalation_Exp[OES],$C105,Inhalation_Exp[Worker Type],$D105))</f>
        <v>6.5000000000000006E-3</v>
      </c>
      <c r="G105" s="273">
        <f>IF(E105="High-End",SUMIFS(Inhalation_Exp[Int_High-End],Inhalation_Exp[OES],$C105,Inhalation_Exp[Worker Type],$D105),SUMIFS(Inhalation_Exp[Int_Central Tendency],Inhalation_Exp[OES],$C105,Inhalation_Exp[Worker Type],$D105))</f>
        <v>4.7666666666666673E-3</v>
      </c>
      <c r="H105" s="273">
        <f>IF(E105="High-End",SUMIFS(Inhalation_Exp[ADD_High-End],Inhalation_Exp[OES],$C105,Inhalation_Exp[Worker Type],$D105),SUMIFS(Inhalation_Exp[ADD_Central Tendency],Inhalation_Exp[OES],$C105,Inhalation_Exp[Worker Type],$D105))</f>
        <v>4.4520547945205487E-3</v>
      </c>
      <c r="I105" s="327">
        <f>IF($E105="High-End",SUMIFS(Dermal_Exp[High-End AD (mg/kg-day)],Dermal_Exp[Worker Type],$D105,Dermal_Exp[OES],$C105),SUMIFS(Dermal_Exp[Central Tendency AD (mg/kg-day)],Dermal_Exp[Worker Type],$D105,Dermal_Exp[OES],$C105))</f>
        <v>3.7449999999999996E-3</v>
      </c>
      <c r="J105" s="327">
        <f>IF($E105="High-End",SUMIFS(Dermal_Exp[High-End IADD (mg/kg-day)],Dermal_Exp[Worker Type],$D105,Dermal_Exp[OES],$C105),SUMIFS(Dermal_Exp[Central Tendency IADD (mg/kg-day)],Dermal_Exp[Worker Type],$D105,Dermal_Exp[OES],$C105))</f>
        <v>2.7463333333333328E-3</v>
      </c>
      <c r="K105" s="327">
        <f>IF($E105="High-End",SUMIFS(Dermal_Exp[High-End ADD (mg/kg-day)],Dermal_Exp[Worker Type],$D105,Dermal_Exp[OES],$C105),SUMIFS(Dermal_Exp[Central Tendency ADD (mg/kg-day)],Dermal_Exp[Worker Type],$D105,Dermal_Exp[OES],$C105))</f>
        <v>2.5650684931506846E-3</v>
      </c>
      <c r="L105" s="327">
        <f t="shared" si="9"/>
        <v>1.0245000000000001E-2</v>
      </c>
      <c r="M105" s="327">
        <f t="shared" si="10"/>
        <v>7.5130000000000006E-3</v>
      </c>
      <c r="N105" s="327">
        <f t="shared" si="11"/>
        <v>7.0171232876712333E-3</v>
      </c>
    </row>
    <row r="106" spans="2:14" s="27" customFormat="1" x14ac:dyDescent="0.35">
      <c r="B106" s="28"/>
      <c r="C106" s="410" t="str" cm="1">
        <f t="array" ref="C106">INDEX('List Values'!$B$2:$B$20,(1+ROUNDDOWN((ROW()-ROW($C$5))*1/6,2)))</f>
        <v>Recycling</v>
      </c>
      <c r="D106" s="411" t="s">
        <v>74</v>
      </c>
      <c r="E106" s="412" t="s">
        <v>73</v>
      </c>
      <c r="F106" s="273">
        <f>IF(E106="High-End",SUMIFS(Inhalation_Exp[24hr_High-End],Inhalation_Exp[OES],$C106,Inhalation_Exp[Worker Type],$D106),SUMIFS(Inhalation_Exp[24hr_Central Tendency],Inhalation_Exp[OES],$C106,Inhalation_Exp[Worker Type],$D106))</f>
        <v>6.5000000000000006E-3</v>
      </c>
      <c r="G106" s="273">
        <f>IF(E106="High-End",SUMIFS(Inhalation_Exp[Int_High-End],Inhalation_Exp[OES],$C106,Inhalation_Exp[Worker Type],$D106),SUMIFS(Inhalation_Exp[Int_Central Tendency],Inhalation_Exp[OES],$C106,Inhalation_Exp[Worker Type],$D106))</f>
        <v>4.7666666666666673E-3</v>
      </c>
      <c r="H106" s="273">
        <f>IF(E106="High-End",SUMIFS(Inhalation_Exp[ADD_High-End],Inhalation_Exp[OES],$C106,Inhalation_Exp[Worker Type],$D106),SUMIFS(Inhalation_Exp[ADD_Central Tendency],Inhalation_Exp[OES],$C106,Inhalation_Exp[Worker Type],$D106))</f>
        <v>3.9712328767123294E-3</v>
      </c>
      <c r="I106" s="327">
        <f>IF($E106="High-End",SUMIFS(Dermal_Exp[High-End AD (mg/kg-day)],Dermal_Exp[Worker Type],$D106,Dermal_Exp[OES],$C106),SUMIFS(Dermal_Exp[Central Tendency AD (mg/kg-day)],Dermal_Exp[Worker Type],$D106,Dermal_Exp[OES],$C106))</f>
        <v>1.8724999999999998E-3</v>
      </c>
      <c r="J106" s="327">
        <f>IF($E106="High-End",SUMIFS(Dermal_Exp[High-End IADD (mg/kg-day)],Dermal_Exp[Worker Type],$D106,Dermal_Exp[OES],$C106),SUMIFS(Dermal_Exp[Central Tendency IADD (mg/kg-day)],Dermal_Exp[Worker Type],$D106,Dermal_Exp[OES],$C106))</f>
        <v>1.3731666666666664E-3</v>
      </c>
      <c r="K106" s="327">
        <f>IF($E106="High-End",SUMIFS(Dermal_Exp[High-End ADD (mg/kg-day)],Dermal_Exp[Worker Type],$D106,Dermal_Exp[OES],$C106),SUMIFS(Dermal_Exp[Central Tendency ADD (mg/kg-day)],Dermal_Exp[Worker Type],$D106,Dermal_Exp[OES],$C106))</f>
        <v>1.1440205479452054E-3</v>
      </c>
      <c r="L106" s="327">
        <f t="shared" si="9"/>
        <v>8.3724999999999997E-3</v>
      </c>
      <c r="M106" s="327">
        <f t="shared" si="10"/>
        <v>6.1398333333333339E-3</v>
      </c>
      <c r="N106" s="327">
        <f t="shared" si="11"/>
        <v>5.115253424657535E-3</v>
      </c>
    </row>
    <row r="107" spans="2:14" s="27" customFormat="1" x14ac:dyDescent="0.35">
      <c r="B107" s="28"/>
      <c r="C107" s="410" t="str" cm="1">
        <f t="array" ref="C107">INDEX('List Values'!$B$2:$B$20,(1+ROUNDDOWN((ROW()-ROW($C$5))*1/6,2)))</f>
        <v>Waste handling, treatment, and disposal</v>
      </c>
      <c r="D107" s="411" t="s">
        <v>57</v>
      </c>
      <c r="E107" s="412" t="s">
        <v>72</v>
      </c>
      <c r="F107" s="273">
        <f>IF(E107="High-End",SUMIFS(Inhalation_Exp[24hr_High-End],Inhalation_Exp[OES],$C107,Inhalation_Exp[Worker Type],$D107),SUMIFS(Inhalation_Exp[24hr_Central Tendency],Inhalation_Exp[OES],$C107,Inhalation_Exp[Worker Type],$D107))</f>
        <v>8.9787499999999992E-2</v>
      </c>
      <c r="G107" s="273">
        <f>IF(E107="High-End",SUMIFS(Inhalation_Exp[Int_High-End],Inhalation_Exp[OES],$C107,Inhalation_Exp[Worker Type],$D107),SUMIFS(Inhalation_Exp[Int_Central Tendency],Inhalation_Exp[OES],$C107,Inhalation_Exp[Worker Type],$D107))</f>
        <v>6.5844166666666662E-2</v>
      </c>
      <c r="H107" s="273">
        <f>IF(E107="High-End",SUMIFS(Inhalation_Exp[ADD_High-End],Inhalation_Exp[OES],$C107,Inhalation_Exp[Worker Type],$D107),SUMIFS(Inhalation_Exp[ADD_Central Tendency],Inhalation_Exp[OES],$C107,Inhalation_Exp[Worker Type],$D107))</f>
        <v>6.1498287671232874E-2</v>
      </c>
      <c r="I107" s="327">
        <f>IF($E107="High-End",SUMIFS(Dermal_Exp[High-End AD (mg/kg-day)],Dermal_Exp[Worker Type],$D107,Dermal_Exp[OES],$C107),SUMIFS(Dermal_Exp[Central Tendency AD (mg/kg-day)],Dermal_Exp[Worker Type],$D107,Dermal_Exp[OES],$C107))</f>
        <v>7.4899999999999993E-3</v>
      </c>
      <c r="J107" s="327">
        <f>IF($E107="High-End",SUMIFS(Dermal_Exp[High-End IADD (mg/kg-day)],Dermal_Exp[Worker Type],$D107,Dermal_Exp[OES],$C107),SUMIFS(Dermal_Exp[Central Tendency IADD (mg/kg-day)],Dermal_Exp[Worker Type],$D107,Dermal_Exp[OES],$C107))</f>
        <v>5.4926666666666657E-3</v>
      </c>
      <c r="K107" s="327">
        <f>IF($E107="High-End",SUMIFS(Dermal_Exp[High-End ADD (mg/kg-day)],Dermal_Exp[Worker Type],$D107,Dermal_Exp[OES],$C107),SUMIFS(Dermal_Exp[Central Tendency ADD (mg/kg-day)],Dermal_Exp[Worker Type],$D107,Dermal_Exp[OES],$C107))</f>
        <v>5.1301369863013691E-3</v>
      </c>
      <c r="L107" s="327">
        <f t="shared" si="9"/>
        <v>9.7277499999999989E-2</v>
      </c>
      <c r="M107" s="327">
        <f t="shared" si="10"/>
        <v>7.1336833333333322E-2</v>
      </c>
      <c r="N107" s="327">
        <f t="shared" si="11"/>
        <v>6.6628424657534241E-2</v>
      </c>
    </row>
    <row r="108" spans="2:14" s="27" customFormat="1" x14ac:dyDescent="0.35">
      <c r="B108" s="28"/>
      <c r="C108" s="410" t="str" cm="1">
        <f t="array" ref="C108">INDEX('List Values'!$B$2:$B$20,(1+ROUNDDOWN((ROW()-ROW($C$5))*1/6,2)))</f>
        <v>Waste handling, treatment, and disposal</v>
      </c>
      <c r="D108" s="411" t="s">
        <v>57</v>
      </c>
      <c r="E108" s="412" t="s">
        <v>73</v>
      </c>
      <c r="F108" s="273">
        <f>IF(E108="High-End",SUMIFS(Inhalation_Exp[24hr_High-End],Inhalation_Exp[OES],$C108,Inhalation_Exp[Worker Type],$D108),SUMIFS(Inhalation_Exp[24hr_Central Tendency],Inhalation_Exp[OES],$C108,Inhalation_Exp[Worker Type],$D108))</f>
        <v>6.5000000000000006E-3</v>
      </c>
      <c r="G108" s="273">
        <f>IF(E108="High-End",SUMIFS(Inhalation_Exp[Int_High-End],Inhalation_Exp[OES],$C108,Inhalation_Exp[Worker Type],$D108),SUMIFS(Inhalation_Exp[Int_Central Tendency],Inhalation_Exp[OES],$C108,Inhalation_Exp[Worker Type],$D108))</f>
        <v>4.7666666666666673E-3</v>
      </c>
      <c r="H108" s="273">
        <f>IF(E108="High-End",SUMIFS(Inhalation_Exp[ADD_High-End],Inhalation_Exp[OES],$C108,Inhalation_Exp[Worker Type],$D108),SUMIFS(Inhalation_Exp[ADD_Central Tendency],Inhalation_Exp[OES],$C108,Inhalation_Exp[Worker Type],$D108))</f>
        <v>3.9712328767123294E-3</v>
      </c>
      <c r="I108" s="327">
        <f>IF($E108="High-End",SUMIFS(Dermal_Exp[High-End AD (mg/kg-day)],Dermal_Exp[Worker Type],$D108,Dermal_Exp[OES],$C108),SUMIFS(Dermal_Exp[Central Tendency AD (mg/kg-day)],Dermal_Exp[Worker Type],$D108,Dermal_Exp[OES],$C108))</f>
        <v>3.7449999999999996E-3</v>
      </c>
      <c r="J108" s="327">
        <f>IF($E108="High-End",SUMIFS(Dermal_Exp[High-End IADD (mg/kg-day)],Dermal_Exp[Worker Type],$D108,Dermal_Exp[OES],$C108),SUMIFS(Dermal_Exp[Central Tendency IADD (mg/kg-day)],Dermal_Exp[Worker Type],$D108,Dermal_Exp[OES],$C108))</f>
        <v>2.7463333333333328E-3</v>
      </c>
      <c r="K108" s="327">
        <f>IF($E108="High-End",SUMIFS(Dermal_Exp[High-End ADD (mg/kg-day)],Dermal_Exp[Worker Type],$D108,Dermal_Exp[OES],$C108),SUMIFS(Dermal_Exp[Central Tendency ADD (mg/kg-day)],Dermal_Exp[Worker Type],$D108,Dermal_Exp[OES],$C108))</f>
        <v>2.2880410958904108E-3</v>
      </c>
      <c r="L108" s="327">
        <f t="shared" si="9"/>
        <v>1.0245000000000001E-2</v>
      </c>
      <c r="M108" s="327">
        <f t="shared" si="10"/>
        <v>7.5130000000000006E-3</v>
      </c>
      <c r="N108" s="327">
        <f t="shared" si="11"/>
        <v>6.2592739726027406E-3</v>
      </c>
    </row>
    <row r="109" spans="2:14" s="27" customFormat="1" x14ac:dyDescent="0.35">
      <c r="B109" s="28"/>
      <c r="C109" s="410" t="str" cm="1">
        <f t="array" ref="C109">INDEX('List Values'!$B$2:$B$20,(1+ROUNDDOWN((ROW()-ROW($C$5))*1/6,2)))</f>
        <v>Waste handling, treatment, and disposal</v>
      </c>
      <c r="D109" s="411" t="s">
        <v>168</v>
      </c>
      <c r="E109" s="412" t="s">
        <v>72</v>
      </c>
      <c r="F109" s="273">
        <f>IF(E109="High-End",SUMIFS(Inhalation_Exp[24hr_High-End],Inhalation_Exp[OES],$C109,Inhalation_Exp[Worker Type],$D109),SUMIFS(Inhalation_Exp[24hr_Central Tendency],Inhalation_Exp[OES],$C109,Inhalation_Exp[Worker Type],$D109))</f>
        <v>9.9178460476354827E-2</v>
      </c>
      <c r="G109" s="273">
        <f>IF(E109="High-End",SUMIFS(Inhalation_Exp[Int_High-End],Inhalation_Exp[OES],$C109,Inhalation_Exp[Worker Type],$D109),SUMIFS(Inhalation_Exp[Int_Central Tendency],Inhalation_Exp[OES],$C109,Inhalation_Exp[Worker Type],$D109))</f>
        <v>7.2730871015993542E-2</v>
      </c>
      <c r="H109" s="273">
        <f>IF(E109="High-End",SUMIFS(Inhalation_Exp[ADD_High-End],Inhalation_Exp[OES],$C109,Inhalation_Exp[Worker Type],$D109),SUMIFS(Inhalation_Exp[ADD_Central Tendency],Inhalation_Exp[OES],$C109,Inhalation_Exp[Worker Type],$D109))</f>
        <v>6.7930452381064946E-2</v>
      </c>
      <c r="I109" s="327">
        <f>IF($E109="High-End",SUMIFS(Dermal_Exp[High-End AD (mg/kg-day)],Dermal_Exp[Worker Type],$D109,Dermal_Exp[OES],$C109),SUMIFS(Dermal_Exp[Central Tendency AD (mg/kg-day)],Dermal_Exp[Worker Type],$D109,Dermal_Exp[OES],$C109))</f>
        <v>6.8816016568864326E-3</v>
      </c>
      <c r="J109" s="327">
        <f>IF($E109="High-End",SUMIFS(Dermal_Exp[High-End IADD (mg/kg-day)],Dermal_Exp[Worker Type],$D109,Dermal_Exp[OES],$C109),SUMIFS(Dermal_Exp[Central Tendency IADD (mg/kg-day)],Dermal_Exp[Worker Type],$D109,Dermal_Exp[OES],$C109))</f>
        <v>5.0465078817167174E-3</v>
      </c>
      <c r="K109" s="327">
        <f>IF($E109="High-End",SUMIFS(Dermal_Exp[High-End ADD (mg/kg-day)],Dermal_Exp[Worker Type],$D109,Dermal_Exp[OES],$C109),SUMIFS(Dermal_Exp[Central Tendency ADD (mg/kg-day)],Dermal_Exp[Worker Type],$D109,Dermal_Exp[OES],$C109))</f>
        <v>4.713425792387968E-3</v>
      </c>
      <c r="L109" s="327">
        <f t="shared" si="9"/>
        <v>0.10606006213324126</v>
      </c>
      <c r="M109" s="327">
        <f t="shared" si="10"/>
        <v>7.7777378897710261E-2</v>
      </c>
      <c r="N109" s="327">
        <f t="shared" si="11"/>
        <v>7.2643878173452914E-2</v>
      </c>
    </row>
    <row r="110" spans="2:14" s="27" customFormat="1" x14ac:dyDescent="0.35">
      <c r="B110" s="28"/>
      <c r="C110" s="410" t="str" cm="1">
        <f t="array" ref="C110">INDEX('List Values'!$B$2:$B$20,(1+ROUNDDOWN((ROW()-ROW($C$5))*1/6,2)))</f>
        <v>Waste handling, treatment, and disposal</v>
      </c>
      <c r="D110" s="411" t="s">
        <v>168</v>
      </c>
      <c r="E110" s="412" t="s">
        <v>73</v>
      </c>
      <c r="F110" s="273">
        <f>IF(E110="High-End",SUMIFS(Inhalation_Exp[24hr_High-End],Inhalation_Exp[OES],$C110,Inhalation_Exp[Worker Type],$D110),SUMIFS(Inhalation_Exp[24hr_Central Tendency],Inhalation_Exp[OES],$C110,Inhalation_Exp[Worker Type],$D110))</f>
        <v>7.1798412150500509E-3</v>
      </c>
      <c r="G110" s="273">
        <f>IF(E110="High-End",SUMIFS(Inhalation_Exp[Int_High-End],Inhalation_Exp[OES],$C110,Inhalation_Exp[Worker Type],$D110),SUMIFS(Inhalation_Exp[Int_Central Tendency],Inhalation_Exp[OES],$C110,Inhalation_Exp[Worker Type],$D110))</f>
        <v>5.2652168910367041E-3</v>
      </c>
      <c r="H110" s="273">
        <f>IF(E110="High-End",SUMIFS(Inhalation_Exp[ADD_High-End],Inhalation_Exp[OES],$C110,Inhalation_Exp[Worker Type],$D110),SUMIFS(Inhalation_Exp[ADD_Central Tendency],Inhalation_Exp[OES],$C110,Inhalation_Exp[Worker Type],$D110))</f>
        <v>4.3865879204278398E-3</v>
      </c>
      <c r="I110" s="327">
        <f>IF($E110="High-End",SUMIFS(Dermal_Exp[High-End AD (mg/kg-day)],Dermal_Exp[Worker Type],$D110,Dermal_Exp[OES],$C110),SUMIFS(Dermal_Exp[Central Tendency AD (mg/kg-day)],Dermal_Exp[Worker Type],$D110,Dermal_Exp[OES],$C110))</f>
        <v>3.4408008284432163E-3</v>
      </c>
      <c r="J110" s="327">
        <f>IF($E110="High-End",SUMIFS(Dermal_Exp[High-End IADD (mg/kg-day)],Dermal_Exp[Worker Type],$D110,Dermal_Exp[OES],$C110),SUMIFS(Dermal_Exp[Central Tendency IADD (mg/kg-day)],Dermal_Exp[Worker Type],$D110,Dermal_Exp[OES],$C110))</f>
        <v>2.5232539408583587E-3</v>
      </c>
      <c r="K110" s="327">
        <f>IF($E110="High-End",SUMIFS(Dermal_Exp[High-End ADD (mg/kg-day)],Dermal_Exp[Worker Type],$D110,Dermal_Exp[OES],$C110),SUMIFS(Dermal_Exp[Central Tendency ADD (mg/kg-day)],Dermal_Exp[Worker Type],$D110,Dermal_Exp[OES],$C110))</f>
        <v>2.1021879034050337E-3</v>
      </c>
      <c r="L110" s="327">
        <f t="shared" si="9"/>
        <v>1.0620642043493268E-2</v>
      </c>
      <c r="M110" s="327">
        <f t="shared" si="10"/>
        <v>7.7884708318950628E-3</v>
      </c>
      <c r="N110" s="327">
        <f t="shared" si="11"/>
        <v>6.4887758238328739E-3</v>
      </c>
    </row>
    <row r="111" spans="2:14" s="27" customFormat="1" x14ac:dyDescent="0.35">
      <c r="B111" s="28"/>
      <c r="C111" s="410" t="str" cm="1">
        <f t="array" ref="C111">INDEX('List Values'!$B$2:$B$20,(1+ROUNDDOWN((ROW()-ROW($C$5))*1/6,2)))</f>
        <v>Waste handling, treatment, and disposal</v>
      </c>
      <c r="D111" s="411" t="s">
        <v>74</v>
      </c>
      <c r="E111" s="412" t="s">
        <v>72</v>
      </c>
      <c r="F111" s="273">
        <f>IF(E111="High-End",SUMIFS(Inhalation_Exp[24hr_High-End],Inhalation_Exp[OES],$C111,Inhalation_Exp[Worker Type],$D111),SUMIFS(Inhalation_Exp[24hr_Central Tendency],Inhalation_Exp[OES],$C111,Inhalation_Exp[Worker Type],$D111))</f>
        <v>6.5000000000000006E-3</v>
      </c>
      <c r="G111" s="273">
        <f>IF(E111="High-End",SUMIFS(Inhalation_Exp[Int_High-End],Inhalation_Exp[OES],$C111,Inhalation_Exp[Worker Type],$D111),SUMIFS(Inhalation_Exp[Int_Central Tendency],Inhalation_Exp[OES],$C111,Inhalation_Exp[Worker Type],$D111))</f>
        <v>4.7666666666666673E-3</v>
      </c>
      <c r="H111" s="273">
        <f>IF(E111="High-End",SUMIFS(Inhalation_Exp[ADD_High-End],Inhalation_Exp[OES],$C111,Inhalation_Exp[Worker Type],$D111),SUMIFS(Inhalation_Exp[ADD_Central Tendency],Inhalation_Exp[OES],$C111,Inhalation_Exp[Worker Type],$D111))</f>
        <v>4.4520547945205487E-3</v>
      </c>
      <c r="I111" s="327">
        <f>IF($E111="High-End",SUMIFS(Dermal_Exp[High-End AD (mg/kg-day)],Dermal_Exp[Worker Type],$D111,Dermal_Exp[OES],$C111),SUMIFS(Dermal_Exp[Central Tendency AD (mg/kg-day)],Dermal_Exp[Worker Type],$D111,Dermal_Exp[OES],$C111))</f>
        <v>3.7449999999999996E-3</v>
      </c>
      <c r="J111" s="327">
        <f>IF($E111="High-End",SUMIFS(Dermal_Exp[High-End IADD (mg/kg-day)],Dermal_Exp[Worker Type],$D111,Dermal_Exp[OES],$C111),SUMIFS(Dermal_Exp[Central Tendency IADD (mg/kg-day)],Dermal_Exp[Worker Type],$D111,Dermal_Exp[OES],$C111))</f>
        <v>2.7463333333333328E-3</v>
      </c>
      <c r="K111" s="327">
        <f>IF($E111="High-End",SUMIFS(Dermal_Exp[High-End ADD (mg/kg-day)],Dermal_Exp[Worker Type],$D111,Dermal_Exp[OES],$C111),SUMIFS(Dermal_Exp[Central Tendency ADD (mg/kg-day)],Dermal_Exp[Worker Type],$D111,Dermal_Exp[OES],$C111))</f>
        <v>2.5650684931506846E-3</v>
      </c>
      <c r="L111" s="327">
        <f t="shared" si="9"/>
        <v>1.0245000000000001E-2</v>
      </c>
      <c r="M111" s="327">
        <f t="shared" si="10"/>
        <v>7.5130000000000006E-3</v>
      </c>
      <c r="N111" s="327">
        <f t="shared" si="11"/>
        <v>7.0171232876712333E-3</v>
      </c>
    </row>
    <row r="112" spans="2:14" s="27" customFormat="1" x14ac:dyDescent="0.35">
      <c r="B112" s="28"/>
      <c r="C112" s="410" t="str" cm="1">
        <f t="array" ref="C112">INDEX('List Values'!$B$2:$B$20,(1+ROUNDDOWN((ROW()-ROW($C$5))*1/6,2)))</f>
        <v>Waste handling, treatment, and disposal</v>
      </c>
      <c r="D112" s="411" t="s">
        <v>74</v>
      </c>
      <c r="E112" s="412" t="s">
        <v>73</v>
      </c>
      <c r="F112" s="273">
        <f>IF(E112="High-End",SUMIFS(Inhalation_Exp[24hr_High-End],Inhalation_Exp[OES],$C112,Inhalation_Exp[Worker Type],$D112),SUMIFS(Inhalation_Exp[24hr_Central Tendency],Inhalation_Exp[OES],$C112,Inhalation_Exp[Worker Type],$D112))</f>
        <v>6.5000000000000006E-3</v>
      </c>
      <c r="G112" s="273">
        <f>IF(E112="High-End",SUMIFS(Inhalation_Exp[Int_High-End],Inhalation_Exp[OES],$C112,Inhalation_Exp[Worker Type],$D112),SUMIFS(Inhalation_Exp[Int_Central Tendency],Inhalation_Exp[OES],$C112,Inhalation_Exp[Worker Type],$D112))</f>
        <v>4.7666666666666673E-3</v>
      </c>
      <c r="H112" s="273">
        <f>IF(E112="High-End",SUMIFS(Inhalation_Exp[ADD_High-End],Inhalation_Exp[OES],$C112,Inhalation_Exp[Worker Type],$D112),SUMIFS(Inhalation_Exp[ADD_Central Tendency],Inhalation_Exp[OES],$C112,Inhalation_Exp[Worker Type],$D112))</f>
        <v>3.9712328767123294E-3</v>
      </c>
      <c r="I112" s="327">
        <f>IF($E112="High-End",SUMIFS(Dermal_Exp[High-End AD (mg/kg-day)],Dermal_Exp[Worker Type],$D112,Dermal_Exp[OES],$C112),SUMIFS(Dermal_Exp[Central Tendency AD (mg/kg-day)],Dermal_Exp[Worker Type],$D112,Dermal_Exp[OES],$C112))</f>
        <v>1.8724999999999998E-3</v>
      </c>
      <c r="J112" s="327">
        <f>IF($E112="High-End",SUMIFS(Dermal_Exp[High-End IADD (mg/kg-day)],Dermal_Exp[Worker Type],$D112,Dermal_Exp[OES],$C112),SUMIFS(Dermal_Exp[Central Tendency IADD (mg/kg-day)],Dermal_Exp[Worker Type],$D112,Dermal_Exp[OES],$C112))</f>
        <v>1.3731666666666664E-3</v>
      </c>
      <c r="K112" s="327">
        <f>IF($E112="High-End",SUMIFS(Dermal_Exp[High-End ADD (mg/kg-day)],Dermal_Exp[Worker Type],$D112,Dermal_Exp[OES],$C112),SUMIFS(Dermal_Exp[Central Tendency ADD (mg/kg-day)],Dermal_Exp[Worker Type],$D112,Dermal_Exp[OES],$C112))</f>
        <v>1.1440205479452054E-3</v>
      </c>
      <c r="L112" s="327">
        <f t="shared" si="9"/>
        <v>8.3724999999999997E-3</v>
      </c>
      <c r="M112" s="327">
        <f t="shared" si="10"/>
        <v>6.1398333333333339E-3</v>
      </c>
      <c r="N112" s="327">
        <f t="shared" si="11"/>
        <v>5.115253424657535E-3</v>
      </c>
    </row>
    <row r="113" spans="2:15" s="27" customFormat="1" x14ac:dyDescent="0.35">
      <c r="B113" s="28"/>
      <c r="C113" s="410" t="str" cm="1">
        <f t="array" ref="C113">INDEX('List Values'!$B$2:$B$20,(1+ROUNDDOWN((ROW()-ROW($C$5))*1/6,2)))</f>
        <v>Fabrication or Use of Final Products and Articles</v>
      </c>
      <c r="D113" s="411" t="s">
        <v>57</v>
      </c>
      <c r="E113" s="412" t="s">
        <v>72</v>
      </c>
      <c r="F113" s="273">
        <f>IF(E113="High-End",SUMIFS(Inhalation_Exp[24hr_High-End],Inhalation_Exp[OES],$C113,Inhalation_Exp[Worker Type],$D113),SUMIFS(Inhalation_Exp[24hr_Central Tendency],Inhalation_Exp[OES],$C113,Inhalation_Exp[Worker Type],$D113))</f>
        <v>4.4999999999999998E-2</v>
      </c>
      <c r="G113" s="273">
        <f>IF(E113="High-End",SUMIFS(Inhalation_Exp[Int_High-End],Inhalation_Exp[OES],$C113,Inhalation_Exp[Worker Type],$D113),SUMIFS(Inhalation_Exp[Int_Central Tendency],Inhalation_Exp[OES],$C113,Inhalation_Exp[Worker Type],$D113))</f>
        <v>3.3000000000000002E-2</v>
      </c>
      <c r="H113" s="273">
        <f>IF(E113="High-End",SUMIFS(Inhalation_Exp[ADD_High-End],Inhalation_Exp[OES],$C113,Inhalation_Exp[Worker Type],$D113),SUMIFS(Inhalation_Exp[ADD_Central Tendency],Inhalation_Exp[OES],$C113,Inhalation_Exp[Worker Type],$D113))</f>
        <v>3.0821917808219176E-2</v>
      </c>
      <c r="I113" s="327">
        <f>IF($E113="High-End",SUMIFS(Dermal_Exp[High-End AD (mg/kg-day)],Dermal_Exp[Worker Type],$D113,Dermal_Exp[OES],$C113),SUMIFS(Dermal_Exp[Central Tendency AD (mg/kg-day)],Dermal_Exp[Worker Type],$D113,Dermal_Exp[OES],$C113))</f>
        <v>7.4899999999999993E-3</v>
      </c>
      <c r="J113" s="327">
        <f>IF($E113="High-End",SUMIFS(Dermal_Exp[High-End IADD (mg/kg-day)],Dermal_Exp[Worker Type],$D113,Dermal_Exp[OES],$C113),SUMIFS(Dermal_Exp[Central Tendency IADD (mg/kg-day)],Dermal_Exp[Worker Type],$D113,Dermal_Exp[OES],$C113))</f>
        <v>5.4926666666666657E-3</v>
      </c>
      <c r="K113" s="327">
        <f>IF($E113="High-End",SUMIFS(Dermal_Exp[High-End ADD (mg/kg-day)],Dermal_Exp[Worker Type],$D113,Dermal_Exp[OES],$C113),SUMIFS(Dermal_Exp[Central Tendency ADD (mg/kg-day)],Dermal_Exp[Worker Type],$D113,Dermal_Exp[OES],$C113))</f>
        <v>5.1301369863013691E-3</v>
      </c>
      <c r="L113" s="327">
        <f t="shared" si="9"/>
        <v>5.2489999999999995E-2</v>
      </c>
      <c r="M113" s="327">
        <f t="shared" si="10"/>
        <v>3.8492666666666668E-2</v>
      </c>
      <c r="N113" s="327">
        <f t="shared" si="11"/>
        <v>3.5952054794520544E-2</v>
      </c>
    </row>
    <row r="114" spans="2:15" s="27" customFormat="1" x14ac:dyDescent="0.35">
      <c r="B114" s="28"/>
      <c r="C114" s="410" t="str" cm="1">
        <f t="array" ref="C114">INDEX('List Values'!$B$2:$B$20,(1+ROUNDDOWN((ROW()-ROW($C$5))*1/6,2)))</f>
        <v>Fabrication or Use of Final Products and Articles</v>
      </c>
      <c r="D114" s="411" t="s">
        <v>57</v>
      </c>
      <c r="E114" s="412" t="s">
        <v>73</v>
      </c>
      <c r="F114" s="273">
        <f>IF(E114="High-End",SUMIFS(Inhalation_Exp[24hr_High-End],Inhalation_Exp[OES],$C114,Inhalation_Exp[Worker Type],$D114),SUMIFS(Inhalation_Exp[24hr_Central Tendency],Inhalation_Exp[OES],$C114,Inhalation_Exp[Worker Type],$D114))</f>
        <v>5.0000000000000001E-3</v>
      </c>
      <c r="G114" s="273">
        <f>IF(E114="High-End",SUMIFS(Inhalation_Exp[Int_High-End],Inhalation_Exp[OES],$C114,Inhalation_Exp[Worker Type],$D114),SUMIFS(Inhalation_Exp[Int_Central Tendency],Inhalation_Exp[OES],$C114,Inhalation_Exp[Worker Type],$D114))</f>
        <v>3.6666666666666666E-3</v>
      </c>
      <c r="H114" s="273">
        <f>IF(E114="High-End",SUMIFS(Inhalation_Exp[ADD_High-End],Inhalation_Exp[OES],$C114,Inhalation_Exp[Worker Type],$D114),SUMIFS(Inhalation_Exp[ADD_Central Tendency],Inhalation_Exp[OES],$C114,Inhalation_Exp[Worker Type],$D114))</f>
        <v>3.4246575342465752E-3</v>
      </c>
      <c r="I114" s="327">
        <f>IF($E114="High-End",SUMIFS(Dermal_Exp[High-End AD (mg/kg-day)],Dermal_Exp[Worker Type],$D114,Dermal_Exp[OES],$C114),SUMIFS(Dermal_Exp[Central Tendency AD (mg/kg-day)],Dermal_Exp[Worker Type],$D114,Dermal_Exp[OES],$C114))</f>
        <v>3.7449999999999996E-3</v>
      </c>
      <c r="J114" s="327">
        <f>IF($E114="High-End",SUMIFS(Dermal_Exp[High-End IADD (mg/kg-day)],Dermal_Exp[Worker Type],$D114,Dermal_Exp[OES],$C114),SUMIFS(Dermal_Exp[Central Tendency IADD (mg/kg-day)],Dermal_Exp[Worker Type],$D114,Dermal_Exp[OES],$C114))</f>
        <v>2.7463333333333328E-3</v>
      </c>
      <c r="K114" s="327">
        <f>IF($E114="High-End",SUMIFS(Dermal_Exp[High-End ADD (mg/kg-day)],Dermal_Exp[Worker Type],$D114,Dermal_Exp[OES],$C114),SUMIFS(Dermal_Exp[Central Tendency ADD (mg/kg-day)],Dermal_Exp[Worker Type],$D114,Dermal_Exp[OES],$C114))</f>
        <v>2.5650684931506846E-3</v>
      </c>
      <c r="L114" s="327">
        <f t="shared" si="9"/>
        <v>8.7449999999999993E-3</v>
      </c>
      <c r="M114" s="327">
        <f t="shared" si="10"/>
        <v>6.4129999999999994E-3</v>
      </c>
      <c r="N114" s="327">
        <f t="shared" si="11"/>
        <v>5.9897260273972597E-3</v>
      </c>
    </row>
    <row r="115" spans="2:15" s="27" customFormat="1" x14ac:dyDescent="0.35">
      <c r="B115" s="28"/>
      <c r="C115" s="410" t="str" cm="1">
        <f t="array" ref="C115">INDEX('List Values'!$B$2:$B$20,(1+ROUNDDOWN((ROW()-ROW($C$5))*1/6,2)))</f>
        <v>Fabrication or Use of Final Products and Articles</v>
      </c>
      <c r="D115" s="411" t="s">
        <v>168</v>
      </c>
      <c r="E115" s="412" t="s">
        <v>72</v>
      </c>
      <c r="F115" s="273">
        <f>IF(E115="High-End",SUMIFS(Inhalation_Exp[24hr_High-End],Inhalation_Exp[OES],$C115,Inhalation_Exp[Worker Type],$D115),SUMIFS(Inhalation_Exp[24hr_Central Tendency],Inhalation_Exp[OES],$C115,Inhalation_Exp[Worker Type],$D115))</f>
        <v>4.9706593027269576E-2</v>
      </c>
      <c r="G115" s="273">
        <f>IF(E115="High-End",SUMIFS(Inhalation_Exp[Int_High-End],Inhalation_Exp[OES],$C115,Inhalation_Exp[Worker Type],$D115),SUMIFS(Inhalation_Exp[Int_Central Tendency],Inhalation_Exp[OES],$C115,Inhalation_Exp[Worker Type],$D115))</f>
        <v>3.6451501553331017E-2</v>
      </c>
      <c r="H115" s="273">
        <f>IF(E115="High-End",SUMIFS(Inhalation_Exp[ADD_High-End],Inhalation_Exp[OES],$C115,Inhalation_Exp[Worker Type],$D115),SUMIFS(Inhalation_Exp[ADD_Central Tendency],Inhalation_Exp[OES],$C115,Inhalation_Exp[Worker Type],$D115))</f>
        <v>3.4045611662513409E-2</v>
      </c>
      <c r="I115" s="327">
        <f>IF($E115="High-End",SUMIFS(Dermal_Exp[High-End AD (mg/kg-day)],Dermal_Exp[Worker Type],$D115,Dermal_Exp[OES],$C115),SUMIFS(Dermal_Exp[Central Tendency AD (mg/kg-day)],Dermal_Exp[Worker Type],$D115,Dermal_Exp[OES],$C115))</f>
        <v>6.8816016568864326E-3</v>
      </c>
      <c r="J115" s="327">
        <f>IF($E115="High-End",SUMIFS(Dermal_Exp[High-End IADD (mg/kg-day)],Dermal_Exp[Worker Type],$D115,Dermal_Exp[OES],$C115),SUMIFS(Dermal_Exp[Central Tendency IADD (mg/kg-day)],Dermal_Exp[Worker Type],$D115,Dermal_Exp[OES],$C115))</f>
        <v>5.0465078817167174E-3</v>
      </c>
      <c r="K115" s="327">
        <f>IF($E115="High-End",SUMIFS(Dermal_Exp[High-End ADD (mg/kg-day)],Dermal_Exp[Worker Type],$D115,Dermal_Exp[OES],$C115),SUMIFS(Dermal_Exp[Central Tendency ADD (mg/kg-day)],Dermal_Exp[Worker Type],$D115,Dermal_Exp[OES],$C115))</f>
        <v>4.713425792387968E-3</v>
      </c>
      <c r="L115" s="327">
        <f t="shared" si="9"/>
        <v>5.6588194684156011E-2</v>
      </c>
      <c r="M115" s="327">
        <f t="shared" si="10"/>
        <v>4.1498009435047736E-2</v>
      </c>
      <c r="N115" s="327">
        <f t="shared" si="11"/>
        <v>3.8759037454901377E-2</v>
      </c>
    </row>
    <row r="116" spans="2:15" s="27" customFormat="1" x14ac:dyDescent="0.35">
      <c r="B116" s="28"/>
      <c r="C116" s="410" t="str" cm="1">
        <f t="array" ref="C116">INDEX('List Values'!$B$2:$B$20,(1+ROUNDDOWN((ROW()-ROW($C$5))*1/6,2)))</f>
        <v>Fabrication or Use of Final Products and Articles</v>
      </c>
      <c r="D116" s="411" t="s">
        <v>168</v>
      </c>
      <c r="E116" s="412" t="s">
        <v>73</v>
      </c>
      <c r="F116" s="273">
        <f>IF(E116="High-End",SUMIFS(Inhalation_Exp[24hr_High-End],Inhalation_Exp[OES],$C116,Inhalation_Exp[Worker Type],$D116),SUMIFS(Inhalation_Exp[24hr_Central Tendency],Inhalation_Exp[OES],$C116,Inhalation_Exp[Worker Type],$D116))</f>
        <v>5.5229547808077319E-3</v>
      </c>
      <c r="G116" s="273">
        <f>IF(E116="High-End",SUMIFS(Inhalation_Exp[Int_High-End],Inhalation_Exp[OES],$C116,Inhalation_Exp[Worker Type],$D116),SUMIFS(Inhalation_Exp[Int_Central Tendency],Inhalation_Exp[OES],$C116,Inhalation_Exp[Worker Type],$D116))</f>
        <v>4.0501668392590034E-3</v>
      </c>
      <c r="H116" s="273">
        <f>IF(E116="High-End",SUMIFS(Inhalation_Exp[ADD_High-End],Inhalation_Exp[OES],$C116,Inhalation_Exp[Worker Type],$D116),SUMIFS(Inhalation_Exp[ADD_Central Tendency],Inhalation_Exp[OES],$C116,Inhalation_Exp[Worker Type],$D116))</f>
        <v>3.7828457402792684E-3</v>
      </c>
      <c r="I116" s="327">
        <f>IF($E116="High-End",SUMIFS(Dermal_Exp[High-End AD (mg/kg-day)],Dermal_Exp[Worker Type],$D116,Dermal_Exp[OES],$C116),SUMIFS(Dermal_Exp[Central Tendency AD (mg/kg-day)],Dermal_Exp[Worker Type],$D116,Dermal_Exp[OES],$C116))</f>
        <v>3.4408008284432163E-3</v>
      </c>
      <c r="J116" s="327">
        <f>IF($E116="High-End",SUMIFS(Dermal_Exp[High-End IADD (mg/kg-day)],Dermal_Exp[Worker Type],$D116,Dermal_Exp[OES],$C116),SUMIFS(Dermal_Exp[Central Tendency IADD (mg/kg-day)],Dermal_Exp[Worker Type],$D116,Dermal_Exp[OES],$C116))</f>
        <v>2.5232539408583587E-3</v>
      </c>
      <c r="K116" s="327">
        <f>IF($E116="High-End",SUMIFS(Dermal_Exp[High-End ADD (mg/kg-day)],Dermal_Exp[Worker Type],$D116,Dermal_Exp[OES],$C116),SUMIFS(Dermal_Exp[Central Tendency ADD (mg/kg-day)],Dermal_Exp[Worker Type],$D116,Dermal_Exp[OES],$C116))</f>
        <v>2.3567128961939836E-3</v>
      </c>
      <c r="L116" s="327">
        <f t="shared" si="9"/>
        <v>8.9637556092509486E-3</v>
      </c>
      <c r="M116" s="327">
        <f t="shared" si="10"/>
        <v>6.5734207801173622E-3</v>
      </c>
      <c r="N116" s="327">
        <f t="shared" si="11"/>
        <v>6.1395586364732524E-3</v>
      </c>
    </row>
    <row r="117" spans="2:15" s="27" customFormat="1" x14ac:dyDescent="0.35">
      <c r="B117" s="28"/>
      <c r="C117" s="410" t="str" cm="1">
        <f t="array" ref="C117">INDEX('List Values'!$B$2:$B$20,(1+ROUNDDOWN((ROW()-ROW($C$5))*1/6,2)))</f>
        <v>Fabrication or Use of Final Products and Articles</v>
      </c>
      <c r="D117" s="411" t="s">
        <v>74</v>
      </c>
      <c r="E117" s="412" t="s">
        <v>72</v>
      </c>
      <c r="F117" s="273">
        <f>IF(E117="High-End",SUMIFS(Inhalation_Exp[24hr_High-End],Inhalation_Exp[OES],$C117,Inhalation_Exp[Worker Type],$D117),SUMIFS(Inhalation_Exp[24hr_Central Tendency],Inhalation_Exp[OES],$C117,Inhalation_Exp[Worker Type],$D117))</f>
        <v>5.0000000000000001E-3</v>
      </c>
      <c r="G117" s="273">
        <f>IF(E117="High-End",SUMIFS(Inhalation_Exp[Int_High-End],Inhalation_Exp[OES],$C117,Inhalation_Exp[Worker Type],$D117),SUMIFS(Inhalation_Exp[Int_Central Tendency],Inhalation_Exp[OES],$C117,Inhalation_Exp[Worker Type],$D117))</f>
        <v>3.6666666666666666E-3</v>
      </c>
      <c r="H117" s="273">
        <f>IF(E117="High-End",SUMIFS(Inhalation_Exp[ADD_High-End],Inhalation_Exp[OES],$C117,Inhalation_Exp[Worker Type],$D117),SUMIFS(Inhalation_Exp[ADD_Central Tendency],Inhalation_Exp[OES],$C117,Inhalation_Exp[Worker Type],$D117))</f>
        <v>3.4246575342465752E-3</v>
      </c>
      <c r="I117" s="327">
        <f>IF($E117="High-End",SUMIFS(Dermal_Exp[High-End AD (mg/kg-day)],Dermal_Exp[Worker Type],$D117,Dermal_Exp[OES],$C117),SUMIFS(Dermal_Exp[Central Tendency AD (mg/kg-day)],Dermal_Exp[Worker Type],$D117,Dermal_Exp[OES],$C117))</f>
        <v>3.7449999999999996E-3</v>
      </c>
      <c r="J117" s="327">
        <f>IF($E117="High-End",SUMIFS(Dermal_Exp[High-End IADD (mg/kg-day)],Dermal_Exp[Worker Type],$D117,Dermal_Exp[OES],$C117),SUMIFS(Dermal_Exp[Central Tendency IADD (mg/kg-day)],Dermal_Exp[Worker Type],$D117,Dermal_Exp[OES],$C117))</f>
        <v>2.7463333333333328E-3</v>
      </c>
      <c r="K117" s="327">
        <f>IF($E117="High-End",SUMIFS(Dermal_Exp[High-End ADD (mg/kg-day)],Dermal_Exp[Worker Type],$D117,Dermal_Exp[OES],$C117),SUMIFS(Dermal_Exp[Central Tendency ADD (mg/kg-day)],Dermal_Exp[Worker Type],$D117,Dermal_Exp[OES],$C117))</f>
        <v>2.5650684931506846E-3</v>
      </c>
      <c r="L117" s="327">
        <f t="shared" si="9"/>
        <v>8.7449999999999993E-3</v>
      </c>
      <c r="M117" s="327">
        <f t="shared" si="10"/>
        <v>6.4129999999999994E-3</v>
      </c>
      <c r="N117" s="327">
        <f t="shared" si="11"/>
        <v>5.9897260273972597E-3</v>
      </c>
    </row>
    <row r="118" spans="2:15" s="27" customFormat="1" ht="13.5" thickBot="1" x14ac:dyDescent="0.4">
      <c r="B118" s="28"/>
      <c r="C118" s="410" t="str" cm="1">
        <f t="array" ref="C118">INDEX('List Values'!$B$2:$B$20,(1+ROUNDDOWN((ROW()-ROW($C$5))*1/6,2)))</f>
        <v>Fabrication or Use of Final Products and Articles</v>
      </c>
      <c r="D118" s="413" t="s">
        <v>74</v>
      </c>
      <c r="E118" s="414" t="s">
        <v>73</v>
      </c>
      <c r="F118" s="137">
        <f>IF(E118="High-End",SUMIFS(Inhalation_Exp[24hr_High-End],Inhalation_Exp[OES],$C118,Inhalation_Exp[Worker Type],$D118),SUMIFS(Inhalation_Exp[24hr_Central Tendency],Inhalation_Exp[OES],$C118,Inhalation_Exp[Worker Type],$D118))</f>
        <v>5.0000000000000001E-3</v>
      </c>
      <c r="G118" s="137">
        <f>IF(E118="High-End",SUMIFS(Inhalation_Exp[Int_High-End],Inhalation_Exp[OES],$C118,Inhalation_Exp[Worker Type],$D118),SUMIFS(Inhalation_Exp[Int_Central Tendency],Inhalation_Exp[OES],$C118,Inhalation_Exp[Worker Type],$D118))</f>
        <v>3.6666666666666666E-3</v>
      </c>
      <c r="H118" s="137">
        <f>IF(E118="High-End",SUMIFS(Inhalation_Exp[ADD_High-End],Inhalation_Exp[OES],$C118,Inhalation_Exp[Worker Type],$D118),SUMIFS(Inhalation_Exp[ADD_Central Tendency],Inhalation_Exp[OES],$C118,Inhalation_Exp[Worker Type],$D118))</f>
        <v>3.4246575342465752E-3</v>
      </c>
      <c r="I118" s="90">
        <f>IF($E118="High-End",SUMIFS(Dermal_Exp[High-End AD (mg/kg-day)],Dermal_Exp[Worker Type],$D118,Dermal_Exp[OES],$C118),SUMIFS(Dermal_Exp[Central Tendency AD (mg/kg-day)],Dermal_Exp[Worker Type],$D118,Dermal_Exp[OES],$C118))</f>
        <v>1.8724999999999998E-3</v>
      </c>
      <c r="J118" s="90">
        <f>IF($E118="High-End",SUMIFS(Dermal_Exp[High-End IADD (mg/kg-day)],Dermal_Exp[Worker Type],$D118,Dermal_Exp[OES],$C118),SUMIFS(Dermal_Exp[Central Tendency IADD (mg/kg-day)],Dermal_Exp[Worker Type],$D118,Dermal_Exp[OES],$C118))</f>
        <v>1.3731666666666664E-3</v>
      </c>
      <c r="K118" s="90">
        <f>IF($E118="High-End",SUMIFS(Dermal_Exp[High-End ADD (mg/kg-day)],Dermal_Exp[Worker Type],$D118,Dermal_Exp[OES],$C118),SUMIFS(Dermal_Exp[Central Tendency ADD (mg/kg-day)],Dermal_Exp[Worker Type],$D118,Dermal_Exp[OES],$C118))</f>
        <v>1.2825342465753423E-3</v>
      </c>
      <c r="L118" s="90">
        <f t="shared" si="9"/>
        <v>6.8725000000000001E-3</v>
      </c>
      <c r="M118" s="90">
        <f t="shared" si="10"/>
        <v>5.0398333333333328E-3</v>
      </c>
      <c r="N118" s="90">
        <f t="shared" si="11"/>
        <v>4.707191780821917E-3</v>
      </c>
    </row>
    <row r="119" spans="2:15" s="27" customFormat="1" x14ac:dyDescent="0.35">
      <c r="B119" s="28"/>
      <c r="C119" s="415"/>
      <c r="D119" s="415"/>
      <c r="E119" s="415"/>
      <c r="F119" s="416"/>
      <c r="G119" s="416"/>
      <c r="H119" s="416"/>
      <c r="I119" s="417"/>
      <c r="J119" s="417"/>
      <c r="K119" s="417"/>
      <c r="L119" s="417"/>
      <c r="M119" s="417"/>
      <c r="N119" s="417"/>
    </row>
    <row r="120" spans="2:15" s="27" customFormat="1" x14ac:dyDescent="0.35">
      <c r="B120" s="28"/>
      <c r="C120" s="29"/>
      <c r="D120" s="29"/>
      <c r="E120" s="29"/>
      <c r="F120" s="418"/>
      <c r="G120" s="151"/>
      <c r="H120" s="151"/>
      <c r="I120" s="151"/>
      <c r="J120" s="151"/>
      <c r="K120" s="151"/>
      <c r="L120" s="151"/>
      <c r="M120" s="419"/>
      <c r="N120" s="419"/>
      <c r="O120" s="419"/>
    </row>
    <row r="121" spans="2:15" s="27" customFormat="1" x14ac:dyDescent="0.35">
      <c r="B121" s="28"/>
      <c r="C121" s="29"/>
      <c r="D121" s="29"/>
      <c r="E121" s="29"/>
      <c r="F121" s="418"/>
      <c r="G121" s="151"/>
      <c r="H121" s="151"/>
      <c r="I121" s="151"/>
      <c r="J121" s="151"/>
      <c r="K121" s="151"/>
      <c r="L121" s="151"/>
      <c r="M121" s="419"/>
      <c r="N121" s="419"/>
      <c r="O121" s="419"/>
    </row>
    <row r="122" spans="2:15" s="27" customFormat="1" x14ac:dyDescent="0.35">
      <c r="B122" s="28"/>
      <c r="D122" s="28"/>
      <c r="J122" s="29"/>
      <c r="K122" s="29"/>
      <c r="L122" s="29"/>
    </row>
    <row r="123" spans="2:15" s="27" customFormat="1" ht="13.5" customHeight="1" thickBot="1" x14ac:dyDescent="0.4">
      <c r="B123" s="28"/>
      <c r="D123" s="28"/>
      <c r="F123" s="420" t="s">
        <v>208</v>
      </c>
      <c r="G123" s="421"/>
      <c r="H123" s="421"/>
      <c r="I123" s="420" t="s">
        <v>209</v>
      </c>
      <c r="J123" s="421"/>
      <c r="K123" s="421"/>
      <c r="L123" s="420" t="s">
        <v>210</v>
      </c>
      <c r="M123" s="421"/>
      <c r="N123" s="421"/>
    </row>
    <row r="124" spans="2:15" s="27" customFormat="1" ht="13.5" customHeight="1" thickBot="1" x14ac:dyDescent="0.4">
      <c r="B124" s="28"/>
      <c r="E124" s="422" t="s">
        <v>211</v>
      </c>
      <c r="F124" s="423">
        <f>'Hazard Values'!$J$12</f>
        <v>30</v>
      </c>
      <c r="G124" s="423">
        <f>'Hazard Values'!$J$13</f>
        <v>30</v>
      </c>
      <c r="H124" s="423">
        <f>'Hazard Values'!$J$14</f>
        <v>30</v>
      </c>
      <c r="I124" s="423">
        <f>'Hazard Values'!$J$12</f>
        <v>30</v>
      </c>
      <c r="J124" s="423">
        <f>'Hazard Values'!$J$13</f>
        <v>30</v>
      </c>
      <c r="K124" s="423">
        <f>'Hazard Values'!$J$14</f>
        <v>30</v>
      </c>
      <c r="L124" s="423">
        <f>'Hazard Values'!$J$12</f>
        <v>30</v>
      </c>
      <c r="M124" s="423">
        <f>'Hazard Values'!$J$13</f>
        <v>30</v>
      </c>
      <c r="N124" s="423">
        <f>'Hazard Values'!$J$14</f>
        <v>30</v>
      </c>
    </row>
    <row r="125" spans="2:15" s="27" customFormat="1" ht="13.5" thickBot="1" x14ac:dyDescent="0.4">
      <c r="B125" s="28"/>
      <c r="C125" s="406"/>
      <c r="D125" s="406"/>
      <c r="E125" s="424" t="s">
        <v>213</v>
      </c>
      <c r="F125" s="425">
        <f>'Hazard Values'!$I$12</f>
        <v>5.7</v>
      </c>
      <c r="G125" s="425">
        <f>'Hazard Values'!$I$13</f>
        <v>5.7</v>
      </c>
      <c r="H125" s="425">
        <f>'Hazard Values'!$I$14</f>
        <v>5.7</v>
      </c>
      <c r="I125" s="425">
        <f>'Hazard Values'!$I$12</f>
        <v>5.7</v>
      </c>
      <c r="J125" s="425">
        <f>'Hazard Values'!$I$13</f>
        <v>5.7</v>
      </c>
      <c r="K125" s="425">
        <f>'Hazard Values'!$I$14</f>
        <v>5.7</v>
      </c>
      <c r="L125" s="425">
        <f>'Hazard Values'!$I$12</f>
        <v>5.7</v>
      </c>
      <c r="M125" s="425">
        <f>'Hazard Values'!$I$13</f>
        <v>5.7</v>
      </c>
      <c r="N125" s="425">
        <f>'Hazard Values'!$I$14</f>
        <v>5.7</v>
      </c>
    </row>
    <row r="126" spans="2:15" s="27" customFormat="1" ht="13.5" thickBot="1" x14ac:dyDescent="0.4">
      <c r="B126" s="28"/>
      <c r="C126" s="402" t="s">
        <v>141</v>
      </c>
      <c r="D126" s="402" t="s">
        <v>201</v>
      </c>
      <c r="E126" s="402" t="s">
        <v>62</v>
      </c>
      <c r="F126" s="402" t="s">
        <v>205</v>
      </c>
      <c r="G126" s="402" t="s">
        <v>206</v>
      </c>
      <c r="H126" s="402" t="s">
        <v>207</v>
      </c>
      <c r="I126" s="402" t="s">
        <v>205</v>
      </c>
      <c r="J126" s="402" t="s">
        <v>206</v>
      </c>
      <c r="K126" s="402" t="s">
        <v>207</v>
      </c>
      <c r="L126" s="402" t="s">
        <v>205</v>
      </c>
      <c r="M126" s="402" t="s">
        <v>206</v>
      </c>
      <c r="N126" s="402" t="s">
        <v>207</v>
      </c>
    </row>
    <row r="127" spans="2:15" s="27" customFormat="1" ht="13.65" customHeight="1" thickBot="1" x14ac:dyDescent="0.4">
      <c r="B127" s="28"/>
      <c r="C127" s="27" t="str" cm="1">
        <f t="array" ref="C127">INDEX('List Values'!$B$2:$B$20,(1+ROUNDDOWN((ROW()-ROW($C$127))*1/6,2)))</f>
        <v>Manufacturing</v>
      </c>
      <c r="D127" s="411" t="s">
        <v>57</v>
      </c>
      <c r="E127" s="411" t="s">
        <v>72</v>
      </c>
      <c r="F127" s="426">
        <f t="shared" ref="F127:H146" si="12">F$125/F5</f>
        <v>2491.8032786885246</v>
      </c>
      <c r="G127" s="426">
        <f t="shared" si="12"/>
        <v>3397.9135618479881</v>
      </c>
      <c r="H127" s="426">
        <f t="shared" si="12"/>
        <v>3638.032786885246</v>
      </c>
      <c r="I127" s="426">
        <f t="shared" ref="I127:K146" si="13">IFERROR(I$125/I5,"")</f>
        <v>761.01468624833126</v>
      </c>
      <c r="J127" s="426">
        <f t="shared" si="13"/>
        <v>1037.7472994295426</v>
      </c>
      <c r="K127" s="426">
        <f t="shared" si="13"/>
        <v>1111.0814419225637</v>
      </c>
      <c r="L127" s="427">
        <f t="shared" ref="L127:N146" si="14">L$125/L5</f>
        <v>582.97110713372547</v>
      </c>
      <c r="M127" s="427">
        <f t="shared" si="14"/>
        <v>794.96060063689833</v>
      </c>
      <c r="N127" s="427">
        <f t="shared" si="14"/>
        <v>851.13781641523917</v>
      </c>
    </row>
    <row r="128" spans="2:15" s="27" customFormat="1" ht="13.65" customHeight="1" thickBot="1" x14ac:dyDescent="0.4">
      <c r="B128" s="28"/>
      <c r="C128" s="27" t="str" cm="1">
        <f t="array" ref="C128">INDEX('List Values'!$B$2:$B$20,(1+ROUNDDOWN((ROW()-ROW($C$127))*1/6,2)))</f>
        <v>Manufacturing</v>
      </c>
      <c r="D128" s="411" t="s">
        <v>57</v>
      </c>
      <c r="E128" s="411" t="s">
        <v>73</v>
      </c>
      <c r="F128" s="426">
        <f t="shared" si="12"/>
        <v>11400</v>
      </c>
      <c r="G128" s="426">
        <f t="shared" si="12"/>
        <v>15545.454545454546</v>
      </c>
      <c r="H128" s="426">
        <f t="shared" si="12"/>
        <v>16644</v>
      </c>
      <c r="I128" s="426">
        <f t="shared" si="13"/>
        <v>1522.0293724966625</v>
      </c>
      <c r="J128" s="426">
        <f t="shared" si="13"/>
        <v>2075.4945988590853</v>
      </c>
      <c r="K128" s="426">
        <f t="shared" si="13"/>
        <v>2222.1628838451275</v>
      </c>
      <c r="L128" s="427">
        <f t="shared" si="14"/>
        <v>1342.7561837455833</v>
      </c>
      <c r="M128" s="427">
        <f t="shared" si="14"/>
        <v>1831.0311596530682</v>
      </c>
      <c r="N128" s="427">
        <f t="shared" si="14"/>
        <v>1960.4240282685516</v>
      </c>
    </row>
    <row r="129" spans="2:34" s="27" customFormat="1" ht="13.65" customHeight="1" thickBot="1" x14ac:dyDescent="0.4">
      <c r="B129" s="28"/>
      <c r="C129" s="27" t="str" cm="1">
        <f t="array" ref="C129">INDEX('List Values'!$B$2:$B$20,(1+ROUNDDOWN((ROW()-ROW($C$127))*1/6,2)))</f>
        <v>Manufacturing</v>
      </c>
      <c r="D129" s="411" t="s">
        <v>168</v>
      </c>
      <c r="E129" s="411" t="s">
        <v>72</v>
      </c>
      <c r="F129" s="426">
        <f t="shared" si="12"/>
        <v>2255.8606557377052</v>
      </c>
      <c r="G129" s="426">
        <f t="shared" si="12"/>
        <v>3076.1736214605071</v>
      </c>
      <c r="H129" s="426">
        <f t="shared" si="12"/>
        <v>3293.55655737705</v>
      </c>
      <c r="I129" s="426">
        <f t="shared" si="13"/>
        <v>828.29554574638871</v>
      </c>
      <c r="J129" s="426">
        <f t="shared" si="13"/>
        <v>1129.4939260178028</v>
      </c>
      <c r="K129" s="426">
        <f t="shared" si="13"/>
        <v>1209.3114967897272</v>
      </c>
      <c r="L129" s="427">
        <f t="shared" si="14"/>
        <v>605.84458467860293</v>
      </c>
      <c r="M129" s="427">
        <f t="shared" si="14"/>
        <v>826.15170637991321</v>
      </c>
      <c r="N129" s="427">
        <f t="shared" si="14"/>
        <v>884.53309363076028</v>
      </c>
    </row>
    <row r="130" spans="2:34" s="27" customFormat="1" ht="13.65" customHeight="1" thickBot="1" x14ac:dyDescent="0.4">
      <c r="B130" s="28"/>
      <c r="C130" s="27" t="str" cm="1">
        <f t="array" ref="C130">INDEX('List Values'!$B$2:$B$20,(1+ROUNDDOWN((ROW()-ROW($C$127))*1/6,2)))</f>
        <v>Manufacturing</v>
      </c>
      <c r="D130" s="411" t="s">
        <v>168</v>
      </c>
      <c r="E130" s="411" t="s">
        <v>73</v>
      </c>
      <c r="F130" s="426">
        <f t="shared" si="12"/>
        <v>10320.562500000002</v>
      </c>
      <c r="G130" s="426">
        <f t="shared" si="12"/>
        <v>14073.494318181818</v>
      </c>
      <c r="H130" s="426">
        <f t="shared" si="12"/>
        <v>15068.02125</v>
      </c>
      <c r="I130" s="426">
        <f t="shared" si="13"/>
        <v>1656.5910914927774</v>
      </c>
      <c r="J130" s="426">
        <f t="shared" si="13"/>
        <v>2258.9878520356056</v>
      </c>
      <c r="K130" s="426">
        <f t="shared" si="13"/>
        <v>2418.6229935794549</v>
      </c>
      <c r="L130" s="427">
        <f t="shared" si="14"/>
        <v>1427.4636929460585</v>
      </c>
      <c r="M130" s="427">
        <f t="shared" si="14"/>
        <v>1946.5413994718976</v>
      </c>
      <c r="N130" s="427">
        <f t="shared" si="14"/>
        <v>2084.0969917012453</v>
      </c>
    </row>
    <row r="131" spans="2:34" s="27" customFormat="1" ht="13.65" customHeight="1" thickBot="1" x14ac:dyDescent="0.4">
      <c r="B131" s="28"/>
      <c r="C131" s="27" t="str" cm="1">
        <f t="array" ref="C131">INDEX('List Values'!$B$2:$B$20,(1+ROUNDDOWN((ROW()-ROW($C$127))*1/6,2)))</f>
        <v>Manufacturing</v>
      </c>
      <c r="D131" s="411" t="s">
        <v>74</v>
      </c>
      <c r="E131" s="411" t="s">
        <v>72</v>
      </c>
      <c r="F131" s="426">
        <f t="shared" si="12"/>
        <v>11400</v>
      </c>
      <c r="G131" s="426">
        <f t="shared" si="12"/>
        <v>15545.454545454546</v>
      </c>
      <c r="H131" s="426">
        <f t="shared" si="12"/>
        <v>16644</v>
      </c>
      <c r="I131" s="426" t="str">
        <f t="shared" si="13"/>
        <v/>
      </c>
      <c r="J131" s="426" t="str">
        <f t="shared" si="13"/>
        <v/>
      </c>
      <c r="K131" s="426" t="str">
        <f t="shared" si="13"/>
        <v/>
      </c>
      <c r="L131" s="427">
        <f t="shared" si="14"/>
        <v>11400</v>
      </c>
      <c r="M131" s="427">
        <f t="shared" si="14"/>
        <v>15545.454545454546</v>
      </c>
      <c r="N131" s="427">
        <f t="shared" si="14"/>
        <v>16644</v>
      </c>
    </row>
    <row r="132" spans="2:34" s="27" customFormat="1" ht="13.65" customHeight="1" thickBot="1" x14ac:dyDescent="0.4">
      <c r="B132" s="28"/>
      <c r="C132" s="27" t="str" cm="1">
        <f t="array" ref="C132">INDEX('List Values'!$B$2:$B$20,(1+ROUNDDOWN((ROW()-ROW($C$127))*1/6,2)))</f>
        <v>Manufacturing</v>
      </c>
      <c r="D132" s="411" t="s">
        <v>74</v>
      </c>
      <c r="E132" s="411" t="s">
        <v>73</v>
      </c>
      <c r="F132" s="426">
        <f t="shared" si="12"/>
        <v>11400</v>
      </c>
      <c r="G132" s="426">
        <f t="shared" si="12"/>
        <v>15545.454545454546</v>
      </c>
      <c r="H132" s="426">
        <f t="shared" si="12"/>
        <v>16644</v>
      </c>
      <c r="I132" s="426" t="str">
        <f t="shared" si="13"/>
        <v/>
      </c>
      <c r="J132" s="426" t="str">
        <f t="shared" si="13"/>
        <v/>
      </c>
      <c r="K132" s="426" t="str">
        <f t="shared" si="13"/>
        <v/>
      </c>
      <c r="L132" s="427">
        <f t="shared" si="14"/>
        <v>11400</v>
      </c>
      <c r="M132" s="427">
        <f t="shared" si="14"/>
        <v>15545.454545454546</v>
      </c>
      <c r="N132" s="427">
        <f t="shared" si="14"/>
        <v>16644</v>
      </c>
    </row>
    <row r="133" spans="2:34" s="27" customFormat="1" ht="13.5" thickBot="1" x14ac:dyDescent="0.4">
      <c r="B133" s="28"/>
      <c r="C133" s="27" t="str" cm="1">
        <f t="array" ref="C133">INDEX('List Values'!$B$2:$B$20,(1+ROUNDDOWN((ROW()-ROW($C$127))*1/6,2)))</f>
        <v>Import and Repackaging</v>
      </c>
      <c r="D133" s="411" t="s">
        <v>57</v>
      </c>
      <c r="E133" s="411" t="s">
        <v>72</v>
      </c>
      <c r="F133" s="428">
        <f t="shared" si="12"/>
        <v>2491.8032786885246</v>
      </c>
      <c r="G133" s="428">
        <f t="shared" si="12"/>
        <v>3397.9135618479881</v>
      </c>
      <c r="H133" s="428">
        <f t="shared" si="12"/>
        <v>3638.032786885246</v>
      </c>
      <c r="I133" s="426">
        <f t="shared" si="13"/>
        <v>761.01468624833126</v>
      </c>
      <c r="J133" s="426">
        <f t="shared" si="13"/>
        <v>1037.7472994295426</v>
      </c>
      <c r="K133" s="426">
        <f t="shared" si="13"/>
        <v>1111.0814419225637</v>
      </c>
      <c r="L133" s="427">
        <f t="shared" si="14"/>
        <v>582.97110713372547</v>
      </c>
      <c r="M133" s="427">
        <f t="shared" si="14"/>
        <v>794.96060063689833</v>
      </c>
      <c r="N133" s="427">
        <f t="shared" si="14"/>
        <v>851.13781641523917</v>
      </c>
    </row>
    <row r="134" spans="2:34" s="27" customFormat="1" ht="13.5" thickBot="1" x14ac:dyDescent="0.4">
      <c r="B134" s="28"/>
      <c r="C134" s="27" t="str" cm="1">
        <f t="array" ref="C134">INDEX('List Values'!$B$2:$B$20,(1+ROUNDDOWN((ROW()-ROW($C$127))*1/6,2)))</f>
        <v>Import and Repackaging</v>
      </c>
      <c r="D134" s="411" t="s">
        <v>57</v>
      </c>
      <c r="E134" s="411" t="s">
        <v>73</v>
      </c>
      <c r="F134" s="428">
        <f t="shared" si="12"/>
        <v>11400</v>
      </c>
      <c r="G134" s="428">
        <f t="shared" si="12"/>
        <v>15545.454545454546</v>
      </c>
      <c r="H134" s="428">
        <f t="shared" si="12"/>
        <v>20004.807692307691</v>
      </c>
      <c r="I134" s="426">
        <f t="shared" si="13"/>
        <v>1522.0293724966625</v>
      </c>
      <c r="J134" s="426">
        <f t="shared" si="13"/>
        <v>2075.4945988590853</v>
      </c>
      <c r="K134" s="426">
        <f t="shared" si="13"/>
        <v>2670.8688507753932</v>
      </c>
      <c r="L134" s="427">
        <f t="shared" si="14"/>
        <v>1342.7561837455833</v>
      </c>
      <c r="M134" s="427">
        <f t="shared" si="14"/>
        <v>1831.0311596530682</v>
      </c>
      <c r="N134" s="427">
        <f t="shared" si="14"/>
        <v>2356.2788801304705</v>
      </c>
      <c r="AB134" s="94"/>
      <c r="AC134" s="94"/>
      <c r="AD134" s="94"/>
      <c r="AE134" s="94"/>
      <c r="AF134" s="94"/>
      <c r="AG134" s="94"/>
      <c r="AH134" s="94"/>
    </row>
    <row r="135" spans="2:34" s="27" customFormat="1" ht="13.5" thickBot="1" x14ac:dyDescent="0.4">
      <c r="B135" s="28"/>
      <c r="C135" s="27" t="str" cm="1">
        <f t="array" ref="C135">INDEX('List Values'!$B$2:$B$20,(1+ROUNDDOWN((ROW()-ROW($C$127))*1/6,2)))</f>
        <v>Import and Repackaging</v>
      </c>
      <c r="D135" s="411" t="s">
        <v>168</v>
      </c>
      <c r="E135" s="411" t="s">
        <v>72</v>
      </c>
      <c r="F135" s="428">
        <f t="shared" si="12"/>
        <v>2255.8606557377052</v>
      </c>
      <c r="G135" s="428">
        <f t="shared" si="12"/>
        <v>3076.1736214605071</v>
      </c>
      <c r="H135" s="428">
        <f t="shared" si="12"/>
        <v>3293.55655737705</v>
      </c>
      <c r="I135" s="426">
        <f t="shared" si="13"/>
        <v>828.29554574638871</v>
      </c>
      <c r="J135" s="426">
        <f t="shared" si="13"/>
        <v>1129.4939260178028</v>
      </c>
      <c r="K135" s="426">
        <f t="shared" si="13"/>
        <v>1209.3114967897272</v>
      </c>
      <c r="L135" s="427">
        <f t="shared" si="14"/>
        <v>605.84458467860293</v>
      </c>
      <c r="M135" s="427">
        <f t="shared" si="14"/>
        <v>826.15170637991321</v>
      </c>
      <c r="N135" s="427">
        <f t="shared" si="14"/>
        <v>884.53309363076028</v>
      </c>
      <c r="AB135" s="94"/>
      <c r="AC135" s="94"/>
      <c r="AD135" s="94"/>
      <c r="AE135" s="94"/>
      <c r="AF135" s="94"/>
      <c r="AG135" s="94"/>
      <c r="AH135" s="94"/>
    </row>
    <row r="136" spans="2:34" s="27" customFormat="1" ht="13.5" thickBot="1" x14ac:dyDescent="0.4">
      <c r="B136" s="28"/>
      <c r="C136" s="27" t="str" cm="1">
        <f t="array" ref="C136">INDEX('List Values'!$B$2:$B$20,(1+ROUNDDOWN((ROW()-ROW($C$127))*1/6,2)))</f>
        <v>Import and Repackaging</v>
      </c>
      <c r="D136" s="411" t="s">
        <v>168</v>
      </c>
      <c r="E136" s="411" t="s">
        <v>73</v>
      </c>
      <c r="F136" s="428">
        <f t="shared" si="12"/>
        <v>10320.562500000002</v>
      </c>
      <c r="G136" s="428">
        <f t="shared" si="12"/>
        <v>14073.494318181818</v>
      </c>
      <c r="H136" s="428">
        <f t="shared" si="12"/>
        <v>18110.602463942309</v>
      </c>
      <c r="I136" s="426">
        <f t="shared" si="13"/>
        <v>1656.5910914927774</v>
      </c>
      <c r="J136" s="426">
        <f t="shared" si="13"/>
        <v>2258.9878520356056</v>
      </c>
      <c r="K136" s="426">
        <f t="shared" si="13"/>
        <v>2906.9987903599222</v>
      </c>
      <c r="L136" s="427">
        <f t="shared" si="14"/>
        <v>1427.4636929460585</v>
      </c>
      <c r="M136" s="427">
        <f t="shared" si="14"/>
        <v>1946.5413994718976</v>
      </c>
      <c r="N136" s="427">
        <f t="shared" si="14"/>
        <v>2504.924268871689</v>
      </c>
      <c r="AB136" s="94"/>
      <c r="AC136" s="94"/>
      <c r="AD136" s="94"/>
      <c r="AE136" s="94"/>
      <c r="AF136" s="94"/>
      <c r="AG136" s="94"/>
      <c r="AH136" s="94"/>
    </row>
    <row r="137" spans="2:34" s="27" customFormat="1" ht="13.5" thickBot="1" x14ac:dyDescent="0.4">
      <c r="B137" s="28"/>
      <c r="C137" s="27" t="str" cm="1">
        <f t="array" ref="C137">INDEX('List Values'!$B$2:$B$20,(1+ROUNDDOWN((ROW()-ROW($C$127))*1/6,2)))</f>
        <v>Import and Repackaging</v>
      </c>
      <c r="D137" s="411" t="s">
        <v>74</v>
      </c>
      <c r="E137" s="411" t="s">
        <v>72</v>
      </c>
      <c r="F137" s="428">
        <f t="shared" si="12"/>
        <v>11400</v>
      </c>
      <c r="G137" s="428">
        <f t="shared" si="12"/>
        <v>15545.454545454546</v>
      </c>
      <c r="H137" s="428">
        <f t="shared" si="12"/>
        <v>16644</v>
      </c>
      <c r="I137" s="426" t="str">
        <f t="shared" si="13"/>
        <v/>
      </c>
      <c r="J137" s="426" t="str">
        <f t="shared" si="13"/>
        <v/>
      </c>
      <c r="K137" s="426" t="str">
        <f t="shared" si="13"/>
        <v/>
      </c>
      <c r="L137" s="427">
        <f t="shared" si="14"/>
        <v>11400</v>
      </c>
      <c r="M137" s="427">
        <f t="shared" si="14"/>
        <v>15545.454545454546</v>
      </c>
      <c r="N137" s="427">
        <f t="shared" si="14"/>
        <v>16644</v>
      </c>
      <c r="AB137" s="94"/>
      <c r="AC137" s="94"/>
      <c r="AD137" s="94"/>
      <c r="AE137" s="94"/>
      <c r="AF137" s="94"/>
      <c r="AG137" s="94"/>
      <c r="AH137" s="94"/>
    </row>
    <row r="138" spans="2:34" s="27" customFormat="1" ht="13.5" thickBot="1" x14ac:dyDescent="0.4">
      <c r="B138" s="28"/>
      <c r="C138" s="27" t="str" cm="1">
        <f t="array" ref="C138">INDEX('List Values'!$B$2:$B$20,(1+ROUNDDOWN((ROW()-ROW($C$127))*1/6,2)))</f>
        <v>Import and Repackaging</v>
      </c>
      <c r="D138" s="411" t="s">
        <v>74</v>
      </c>
      <c r="E138" s="411" t="s">
        <v>73</v>
      </c>
      <c r="F138" s="428">
        <f t="shared" si="12"/>
        <v>11400</v>
      </c>
      <c r="G138" s="428">
        <f t="shared" si="12"/>
        <v>15545.454545454546</v>
      </c>
      <c r="H138" s="428">
        <f t="shared" si="12"/>
        <v>20004.807692307691</v>
      </c>
      <c r="I138" s="426" t="str">
        <f t="shared" si="13"/>
        <v/>
      </c>
      <c r="J138" s="426" t="str">
        <f t="shared" si="13"/>
        <v/>
      </c>
      <c r="K138" s="426" t="str">
        <f t="shared" si="13"/>
        <v/>
      </c>
      <c r="L138" s="427">
        <f t="shared" si="14"/>
        <v>11400</v>
      </c>
      <c r="M138" s="427">
        <f t="shared" si="14"/>
        <v>15545.454545454546</v>
      </c>
      <c r="N138" s="427">
        <f t="shared" si="14"/>
        <v>20004.807692307691</v>
      </c>
      <c r="AB138" s="94"/>
      <c r="AC138" s="94"/>
      <c r="AD138" s="94"/>
      <c r="AE138" s="94"/>
      <c r="AF138" s="94"/>
      <c r="AG138" s="94"/>
      <c r="AH138" s="94"/>
    </row>
    <row r="139" spans="2:34" s="27" customFormat="1" ht="13.5" thickBot="1" x14ac:dyDescent="0.4">
      <c r="B139" s="28"/>
      <c r="C139" s="27" t="str" cm="1">
        <f t="array" ref="C139">INDEX('List Values'!$B$2:$B$20,(1+ROUNDDOWN((ROW()-ROW($C$127))*1/6,2)))</f>
        <v>Incorporation into Adhesives and Sealants</v>
      </c>
      <c r="D139" s="411" t="s">
        <v>57</v>
      </c>
      <c r="E139" s="411" t="s">
        <v>72</v>
      </c>
      <c r="F139" s="428">
        <f t="shared" si="12"/>
        <v>2491.8032786885246</v>
      </c>
      <c r="G139" s="428">
        <f t="shared" si="12"/>
        <v>3397.9135618479881</v>
      </c>
      <c r="H139" s="428">
        <f t="shared" si="12"/>
        <v>3638.032786885246</v>
      </c>
      <c r="I139" s="426">
        <f t="shared" si="13"/>
        <v>761.01468624833126</v>
      </c>
      <c r="J139" s="426">
        <f t="shared" si="13"/>
        <v>1037.7472994295426</v>
      </c>
      <c r="K139" s="426">
        <f t="shared" si="13"/>
        <v>1111.0814419225637</v>
      </c>
      <c r="L139" s="427">
        <f t="shared" si="14"/>
        <v>582.97110713372547</v>
      </c>
      <c r="M139" s="427">
        <f t="shared" si="14"/>
        <v>794.96060063689833</v>
      </c>
      <c r="N139" s="427">
        <f t="shared" si="14"/>
        <v>851.13781641523917</v>
      </c>
      <c r="AB139" s="94"/>
      <c r="AC139" s="94"/>
      <c r="AD139" s="94"/>
      <c r="AE139" s="94"/>
      <c r="AF139" s="94"/>
      <c r="AG139" s="94"/>
      <c r="AH139" s="94"/>
    </row>
    <row r="140" spans="2:34" s="27" customFormat="1" ht="13.5" thickBot="1" x14ac:dyDescent="0.4">
      <c r="B140" s="28"/>
      <c r="C140" s="27" t="str" cm="1">
        <f t="array" ref="C140">INDEX('List Values'!$B$2:$B$20,(1+ROUNDDOWN((ROW()-ROW($C$127))*1/6,2)))</f>
        <v>Incorporation into Adhesives and Sealants</v>
      </c>
      <c r="D140" s="411" t="s">
        <v>57</v>
      </c>
      <c r="E140" s="411" t="s">
        <v>73</v>
      </c>
      <c r="F140" s="428">
        <f t="shared" si="12"/>
        <v>11400</v>
      </c>
      <c r="G140" s="428">
        <f t="shared" si="12"/>
        <v>15545.454545454546</v>
      </c>
      <c r="H140" s="428">
        <f t="shared" si="12"/>
        <v>16644</v>
      </c>
      <c r="I140" s="426">
        <f t="shared" si="13"/>
        <v>1522.0293724966625</v>
      </c>
      <c r="J140" s="426">
        <f t="shared" si="13"/>
        <v>2075.4945988590853</v>
      </c>
      <c r="K140" s="426">
        <f t="shared" si="13"/>
        <v>2222.1628838451275</v>
      </c>
      <c r="L140" s="427">
        <f t="shared" si="14"/>
        <v>1342.7561837455833</v>
      </c>
      <c r="M140" s="427">
        <f t="shared" si="14"/>
        <v>1831.0311596530682</v>
      </c>
      <c r="N140" s="427">
        <f t="shared" si="14"/>
        <v>1960.4240282685516</v>
      </c>
      <c r="AB140" s="94"/>
      <c r="AC140" s="94"/>
      <c r="AD140" s="94"/>
      <c r="AE140" s="94"/>
      <c r="AF140" s="94"/>
      <c r="AG140" s="94"/>
      <c r="AH140" s="94"/>
    </row>
    <row r="141" spans="2:34" s="27" customFormat="1" ht="13.5" thickBot="1" x14ac:dyDescent="0.4">
      <c r="B141" s="28"/>
      <c r="C141" s="27" t="str" cm="1">
        <f t="array" ref="C141">INDEX('List Values'!$B$2:$B$20,(1+ROUNDDOWN((ROW()-ROW($C$127))*1/6,2)))</f>
        <v>Incorporation into Adhesives and Sealants</v>
      </c>
      <c r="D141" s="411" t="s">
        <v>168</v>
      </c>
      <c r="E141" s="411" t="s">
        <v>72</v>
      </c>
      <c r="F141" s="428">
        <f t="shared" si="12"/>
        <v>2255.8606557377052</v>
      </c>
      <c r="G141" s="428">
        <f t="shared" si="12"/>
        <v>3076.1736214605071</v>
      </c>
      <c r="H141" s="428">
        <f t="shared" si="12"/>
        <v>3293.55655737705</v>
      </c>
      <c r="I141" s="426">
        <f t="shared" si="13"/>
        <v>828.29554574638871</v>
      </c>
      <c r="J141" s="426">
        <f t="shared" si="13"/>
        <v>1129.4939260178028</v>
      </c>
      <c r="K141" s="426">
        <f t="shared" si="13"/>
        <v>1209.3114967897272</v>
      </c>
      <c r="L141" s="427">
        <f t="shared" si="14"/>
        <v>605.84458467860293</v>
      </c>
      <c r="M141" s="427">
        <f t="shared" si="14"/>
        <v>826.15170637991321</v>
      </c>
      <c r="N141" s="427">
        <f t="shared" si="14"/>
        <v>884.53309363076028</v>
      </c>
      <c r="AB141" s="94"/>
      <c r="AC141" s="94"/>
      <c r="AD141" s="94"/>
      <c r="AE141" s="94"/>
      <c r="AF141" s="94"/>
      <c r="AG141" s="94"/>
      <c r="AH141" s="94"/>
    </row>
    <row r="142" spans="2:34" s="27" customFormat="1" ht="13.5" thickBot="1" x14ac:dyDescent="0.4">
      <c r="B142" s="28"/>
      <c r="C142" s="27" t="str" cm="1">
        <f t="array" ref="C142">INDEX('List Values'!$B$2:$B$20,(1+ROUNDDOWN((ROW()-ROW($C$127))*1/6,2)))</f>
        <v>Incorporation into Adhesives and Sealants</v>
      </c>
      <c r="D142" s="411" t="s">
        <v>168</v>
      </c>
      <c r="E142" s="411" t="s">
        <v>73</v>
      </c>
      <c r="F142" s="428">
        <f t="shared" si="12"/>
        <v>10320.562500000002</v>
      </c>
      <c r="G142" s="428">
        <f t="shared" si="12"/>
        <v>14073.494318181818</v>
      </c>
      <c r="H142" s="428">
        <f t="shared" si="12"/>
        <v>15068.02125</v>
      </c>
      <c r="I142" s="426">
        <f t="shared" si="13"/>
        <v>1656.5910914927774</v>
      </c>
      <c r="J142" s="426">
        <f t="shared" si="13"/>
        <v>2258.9878520356056</v>
      </c>
      <c r="K142" s="426">
        <f t="shared" si="13"/>
        <v>2418.6229935794549</v>
      </c>
      <c r="L142" s="427">
        <f t="shared" si="14"/>
        <v>1427.4636929460585</v>
      </c>
      <c r="M142" s="427">
        <f t="shared" si="14"/>
        <v>1946.5413994718976</v>
      </c>
      <c r="N142" s="427">
        <f t="shared" si="14"/>
        <v>2084.0969917012453</v>
      </c>
      <c r="AB142" s="94"/>
      <c r="AC142" s="94"/>
      <c r="AD142" s="94"/>
      <c r="AE142" s="94"/>
      <c r="AF142" s="94"/>
      <c r="AG142" s="94"/>
      <c r="AH142" s="94"/>
    </row>
    <row r="143" spans="2:34" s="27" customFormat="1" ht="13.5" thickBot="1" x14ac:dyDescent="0.4">
      <c r="B143" s="28"/>
      <c r="C143" s="27" t="str" cm="1">
        <f t="array" ref="C143">INDEX('List Values'!$B$2:$B$20,(1+ROUNDDOWN((ROW()-ROW($C$127))*1/6,2)))</f>
        <v>Incorporation into Adhesives and Sealants</v>
      </c>
      <c r="D143" s="411" t="s">
        <v>74</v>
      </c>
      <c r="E143" s="411" t="s">
        <v>72</v>
      </c>
      <c r="F143" s="428">
        <f t="shared" si="12"/>
        <v>11400</v>
      </c>
      <c r="G143" s="428">
        <f t="shared" si="12"/>
        <v>15545.454545454546</v>
      </c>
      <c r="H143" s="428">
        <f t="shared" si="12"/>
        <v>16644</v>
      </c>
      <c r="I143" s="426" t="str">
        <f t="shared" si="13"/>
        <v/>
      </c>
      <c r="J143" s="426" t="str">
        <f t="shared" si="13"/>
        <v/>
      </c>
      <c r="K143" s="426" t="str">
        <f t="shared" si="13"/>
        <v/>
      </c>
      <c r="L143" s="427">
        <f t="shared" si="14"/>
        <v>11400</v>
      </c>
      <c r="M143" s="427">
        <f t="shared" si="14"/>
        <v>15545.454545454546</v>
      </c>
      <c r="N143" s="427">
        <f t="shared" si="14"/>
        <v>16644</v>
      </c>
      <c r="AB143" s="94"/>
      <c r="AC143" s="94"/>
      <c r="AD143" s="94"/>
      <c r="AE143" s="94"/>
      <c r="AF143" s="94"/>
      <c r="AG143" s="94"/>
      <c r="AH143" s="94"/>
    </row>
    <row r="144" spans="2:34" s="27" customFormat="1" ht="13.5" thickBot="1" x14ac:dyDescent="0.4">
      <c r="B144" s="28"/>
      <c r="C144" s="27" t="str" cm="1">
        <f t="array" ref="C144">INDEX('List Values'!$B$2:$B$20,(1+ROUNDDOWN((ROW()-ROW($C$127))*1/6,2)))</f>
        <v>Incorporation into Adhesives and Sealants</v>
      </c>
      <c r="D144" s="411" t="s">
        <v>74</v>
      </c>
      <c r="E144" s="411" t="s">
        <v>73</v>
      </c>
      <c r="F144" s="428">
        <f t="shared" si="12"/>
        <v>11400</v>
      </c>
      <c r="G144" s="428">
        <f t="shared" si="12"/>
        <v>15545.454545454546</v>
      </c>
      <c r="H144" s="428">
        <f t="shared" si="12"/>
        <v>16644</v>
      </c>
      <c r="I144" s="426" t="str">
        <f t="shared" si="13"/>
        <v/>
      </c>
      <c r="J144" s="426" t="str">
        <f t="shared" si="13"/>
        <v/>
      </c>
      <c r="K144" s="426" t="str">
        <f t="shared" si="13"/>
        <v/>
      </c>
      <c r="L144" s="427">
        <f t="shared" si="14"/>
        <v>11400</v>
      </c>
      <c r="M144" s="427">
        <f t="shared" si="14"/>
        <v>15545.454545454546</v>
      </c>
      <c r="N144" s="427">
        <f t="shared" si="14"/>
        <v>16644</v>
      </c>
      <c r="AB144" s="94"/>
      <c r="AC144" s="94"/>
      <c r="AD144" s="94"/>
      <c r="AE144" s="94"/>
      <c r="AF144" s="94"/>
      <c r="AG144" s="94"/>
      <c r="AH144" s="94"/>
    </row>
    <row r="145" spans="2:34" s="27" customFormat="1" ht="13.5" thickBot="1" x14ac:dyDescent="0.4">
      <c r="B145" s="28"/>
      <c r="C145" s="27" t="str" cm="1">
        <f t="array" ref="C145">INDEX('List Values'!$B$2:$B$20,(1+ROUNDDOWN((ROW()-ROW($C$127))*1/6,2)))</f>
        <v>Incorporation into Paints and Coatings</v>
      </c>
      <c r="D145" s="411" t="s">
        <v>57</v>
      </c>
      <c r="E145" s="411" t="s">
        <v>72</v>
      </c>
      <c r="F145" s="428">
        <f t="shared" si="12"/>
        <v>2491.8032786885246</v>
      </c>
      <c r="G145" s="428">
        <f t="shared" si="12"/>
        <v>3397.9135618479881</v>
      </c>
      <c r="H145" s="428">
        <f t="shared" si="12"/>
        <v>3638.032786885246</v>
      </c>
      <c r="I145" s="426">
        <f t="shared" si="13"/>
        <v>761.01468624833126</v>
      </c>
      <c r="J145" s="426">
        <f t="shared" si="13"/>
        <v>1037.7472994295426</v>
      </c>
      <c r="K145" s="426">
        <f t="shared" si="13"/>
        <v>1111.0814419225637</v>
      </c>
      <c r="L145" s="427">
        <f t="shared" si="14"/>
        <v>582.97110713372547</v>
      </c>
      <c r="M145" s="427">
        <f t="shared" si="14"/>
        <v>794.96060063689833</v>
      </c>
      <c r="N145" s="427">
        <f t="shared" si="14"/>
        <v>851.13781641523917</v>
      </c>
      <c r="AB145" s="94"/>
      <c r="AC145" s="94"/>
      <c r="AD145" s="94"/>
      <c r="AE145" s="94"/>
      <c r="AF145" s="94"/>
      <c r="AG145" s="94"/>
      <c r="AH145" s="94"/>
    </row>
    <row r="146" spans="2:34" s="27" customFormat="1" ht="13.5" thickBot="1" x14ac:dyDescent="0.4">
      <c r="B146" s="28"/>
      <c r="C146" s="27" t="str" cm="1">
        <f t="array" ref="C146">INDEX('List Values'!$B$2:$B$20,(1+ROUNDDOWN((ROW()-ROW($C$127))*1/6,2)))</f>
        <v>Incorporation into Paints and Coatings</v>
      </c>
      <c r="D146" s="411" t="s">
        <v>57</v>
      </c>
      <c r="E146" s="411" t="s">
        <v>73</v>
      </c>
      <c r="F146" s="428">
        <f t="shared" si="12"/>
        <v>11400</v>
      </c>
      <c r="G146" s="428">
        <f t="shared" si="12"/>
        <v>15545.454545454546</v>
      </c>
      <c r="H146" s="428">
        <f t="shared" si="12"/>
        <v>16644</v>
      </c>
      <c r="I146" s="426">
        <f t="shared" si="13"/>
        <v>1522.0293724966625</v>
      </c>
      <c r="J146" s="426">
        <f t="shared" si="13"/>
        <v>2075.4945988590853</v>
      </c>
      <c r="K146" s="426">
        <f t="shared" si="13"/>
        <v>2222.1628838451275</v>
      </c>
      <c r="L146" s="427">
        <f t="shared" si="14"/>
        <v>1342.7561837455833</v>
      </c>
      <c r="M146" s="427">
        <f t="shared" si="14"/>
        <v>1831.0311596530682</v>
      </c>
      <c r="N146" s="427">
        <f t="shared" si="14"/>
        <v>1960.4240282685516</v>
      </c>
      <c r="AB146" s="94"/>
      <c r="AC146" s="94"/>
      <c r="AD146" s="94"/>
      <c r="AE146" s="94"/>
      <c r="AF146" s="94"/>
      <c r="AG146" s="94"/>
      <c r="AH146" s="94"/>
    </row>
    <row r="147" spans="2:34" s="27" customFormat="1" ht="13.5" thickBot="1" x14ac:dyDescent="0.4">
      <c r="B147" s="28"/>
      <c r="C147" s="27" t="str" cm="1">
        <f t="array" ref="C147">INDEX('List Values'!$B$2:$B$20,(1+ROUNDDOWN((ROW()-ROW($C$127))*1/6,2)))</f>
        <v>Incorporation into Paints and Coatings</v>
      </c>
      <c r="D147" s="411" t="s">
        <v>168</v>
      </c>
      <c r="E147" s="411" t="s">
        <v>72</v>
      </c>
      <c r="F147" s="428">
        <f t="shared" ref="F147:H166" si="15">F$125/F25</f>
        <v>2255.8606557377052</v>
      </c>
      <c r="G147" s="428">
        <f t="shared" si="15"/>
        <v>3076.1736214605071</v>
      </c>
      <c r="H147" s="428">
        <f t="shared" si="15"/>
        <v>3293.55655737705</v>
      </c>
      <c r="I147" s="426">
        <f t="shared" ref="I147:K166" si="16">IFERROR(I$125/I25,"")</f>
        <v>828.29554574638871</v>
      </c>
      <c r="J147" s="426">
        <f t="shared" si="16"/>
        <v>1129.4939260178028</v>
      </c>
      <c r="K147" s="426">
        <f t="shared" si="16"/>
        <v>1209.3114967897272</v>
      </c>
      <c r="L147" s="427">
        <f t="shared" ref="L147:N166" si="17">L$125/L25</f>
        <v>605.84458467860293</v>
      </c>
      <c r="M147" s="427">
        <f t="shared" si="17"/>
        <v>826.15170637991321</v>
      </c>
      <c r="N147" s="427">
        <f t="shared" si="17"/>
        <v>884.53309363076028</v>
      </c>
      <c r="AB147" s="94"/>
      <c r="AC147" s="94"/>
      <c r="AD147" s="94"/>
      <c r="AE147" s="94"/>
      <c r="AF147" s="94"/>
      <c r="AG147" s="94"/>
      <c r="AH147" s="94"/>
    </row>
    <row r="148" spans="2:34" s="27" customFormat="1" ht="13.5" thickBot="1" x14ac:dyDescent="0.4">
      <c r="B148" s="28"/>
      <c r="C148" s="27" t="str" cm="1">
        <f t="array" ref="C148">INDEX('List Values'!$B$2:$B$20,(1+ROUNDDOWN((ROW()-ROW($C$127))*1/6,2)))</f>
        <v>Incorporation into Paints and Coatings</v>
      </c>
      <c r="D148" s="411" t="s">
        <v>168</v>
      </c>
      <c r="E148" s="411" t="s">
        <v>73</v>
      </c>
      <c r="F148" s="428">
        <f t="shared" si="15"/>
        <v>10320.562500000002</v>
      </c>
      <c r="G148" s="428">
        <f t="shared" si="15"/>
        <v>14073.494318181818</v>
      </c>
      <c r="H148" s="428">
        <f t="shared" si="15"/>
        <v>15068.02125</v>
      </c>
      <c r="I148" s="426">
        <f t="shared" si="16"/>
        <v>1656.5910914927774</v>
      </c>
      <c r="J148" s="426">
        <f t="shared" si="16"/>
        <v>2258.9878520356056</v>
      </c>
      <c r="K148" s="426">
        <f t="shared" si="16"/>
        <v>2418.6229935794549</v>
      </c>
      <c r="L148" s="427">
        <f t="shared" si="17"/>
        <v>1427.4636929460585</v>
      </c>
      <c r="M148" s="427">
        <f t="shared" si="17"/>
        <v>1946.5413994718976</v>
      </c>
      <c r="N148" s="427">
        <f t="shared" si="17"/>
        <v>2084.0969917012453</v>
      </c>
      <c r="AB148" s="94"/>
      <c r="AC148" s="94"/>
      <c r="AD148" s="94"/>
      <c r="AE148" s="94"/>
      <c r="AF148" s="94"/>
      <c r="AG148" s="94"/>
      <c r="AH148" s="94"/>
    </row>
    <row r="149" spans="2:34" s="27" customFormat="1" ht="13.5" thickBot="1" x14ac:dyDescent="0.4">
      <c r="B149" s="28"/>
      <c r="C149" s="27" t="str" cm="1">
        <f t="array" ref="C149">INDEX('List Values'!$B$2:$B$20,(1+ROUNDDOWN((ROW()-ROW($C$127))*1/6,2)))</f>
        <v>Incorporation into Paints and Coatings</v>
      </c>
      <c r="D149" s="411" t="s">
        <v>74</v>
      </c>
      <c r="E149" s="411" t="s">
        <v>72</v>
      </c>
      <c r="F149" s="428">
        <f t="shared" si="15"/>
        <v>11400</v>
      </c>
      <c r="G149" s="428">
        <f t="shared" si="15"/>
        <v>15545.454545454546</v>
      </c>
      <c r="H149" s="428">
        <f t="shared" si="15"/>
        <v>16644</v>
      </c>
      <c r="I149" s="426" t="str">
        <f t="shared" si="16"/>
        <v/>
      </c>
      <c r="J149" s="426" t="str">
        <f t="shared" si="16"/>
        <v/>
      </c>
      <c r="K149" s="426" t="str">
        <f t="shared" si="16"/>
        <v/>
      </c>
      <c r="L149" s="427">
        <f t="shared" si="17"/>
        <v>11400</v>
      </c>
      <c r="M149" s="427">
        <f t="shared" si="17"/>
        <v>15545.454545454546</v>
      </c>
      <c r="N149" s="427">
        <f t="shared" si="17"/>
        <v>16644</v>
      </c>
      <c r="AB149" s="94"/>
      <c r="AC149" s="94"/>
      <c r="AD149" s="94"/>
      <c r="AE149" s="94"/>
      <c r="AF149" s="94"/>
      <c r="AG149" s="94"/>
      <c r="AH149" s="94"/>
    </row>
    <row r="150" spans="2:34" s="27" customFormat="1" ht="13.5" thickBot="1" x14ac:dyDescent="0.4">
      <c r="B150" s="28"/>
      <c r="C150" s="27" t="str" cm="1">
        <f t="array" ref="C150">INDEX('List Values'!$B$2:$B$20,(1+ROUNDDOWN((ROW()-ROW($C$127))*1/6,2)))</f>
        <v>Incorporation into Paints and Coatings</v>
      </c>
      <c r="D150" s="411" t="s">
        <v>74</v>
      </c>
      <c r="E150" s="411" t="s">
        <v>73</v>
      </c>
      <c r="F150" s="428">
        <f t="shared" si="15"/>
        <v>11400</v>
      </c>
      <c r="G150" s="428">
        <f t="shared" si="15"/>
        <v>15545.454545454546</v>
      </c>
      <c r="H150" s="428">
        <f t="shared" si="15"/>
        <v>16644</v>
      </c>
      <c r="I150" s="426" t="str">
        <f t="shared" si="16"/>
        <v/>
      </c>
      <c r="J150" s="426" t="str">
        <f t="shared" si="16"/>
        <v/>
      </c>
      <c r="K150" s="426" t="str">
        <f t="shared" si="16"/>
        <v/>
      </c>
      <c r="L150" s="427">
        <f t="shared" si="17"/>
        <v>11400</v>
      </c>
      <c r="M150" s="427">
        <f t="shared" si="17"/>
        <v>15545.454545454546</v>
      </c>
      <c r="N150" s="427">
        <f t="shared" si="17"/>
        <v>16644</v>
      </c>
      <c r="AB150" s="94"/>
      <c r="AC150" s="94"/>
      <c r="AD150" s="94"/>
      <c r="AE150" s="94"/>
      <c r="AF150" s="94"/>
      <c r="AG150" s="94"/>
      <c r="AH150" s="94"/>
    </row>
    <row r="151" spans="2:34" s="27" customFormat="1" ht="13.5" thickBot="1" x14ac:dyDescent="0.4">
      <c r="B151" s="28"/>
      <c r="C151" s="27" t="str" cm="1">
        <f t="array" ref="C151">INDEX('List Values'!$B$2:$B$20,(1+ROUNDDOWN((ROW()-ROW($C$127))*1/6,2)))</f>
        <v>Formulation into Pre-Catalyst</v>
      </c>
      <c r="D151" s="411" t="s">
        <v>57</v>
      </c>
      <c r="E151" s="411" t="s">
        <v>72</v>
      </c>
      <c r="F151" s="428">
        <f t="shared" si="15"/>
        <v>2491.8032786885246</v>
      </c>
      <c r="G151" s="428">
        <f t="shared" si="15"/>
        <v>3397.9135618479881</v>
      </c>
      <c r="H151" s="428">
        <f t="shared" si="15"/>
        <v>3638.032786885246</v>
      </c>
      <c r="I151" s="426">
        <f t="shared" si="16"/>
        <v>761.01468624833126</v>
      </c>
      <c r="J151" s="426">
        <f t="shared" si="16"/>
        <v>1037.7472994295426</v>
      </c>
      <c r="K151" s="426">
        <f t="shared" si="16"/>
        <v>1111.0814419225637</v>
      </c>
      <c r="L151" s="427">
        <f t="shared" si="17"/>
        <v>582.97110713372547</v>
      </c>
      <c r="M151" s="427">
        <f t="shared" si="17"/>
        <v>794.96060063689833</v>
      </c>
      <c r="N151" s="427">
        <f t="shared" si="17"/>
        <v>851.13781641523917</v>
      </c>
      <c r="AB151" s="94"/>
      <c r="AC151" s="94"/>
      <c r="AD151" s="94"/>
      <c r="AE151" s="94"/>
      <c r="AF151" s="94"/>
      <c r="AG151" s="94"/>
      <c r="AH151" s="94"/>
    </row>
    <row r="152" spans="2:34" s="27" customFormat="1" ht="13.5" thickBot="1" x14ac:dyDescent="0.4">
      <c r="B152" s="28"/>
      <c r="C152" s="27" t="str" cm="1">
        <f t="array" ref="C152">INDEX('List Values'!$B$2:$B$20,(1+ROUNDDOWN((ROW()-ROW($C$127))*1/6,2)))</f>
        <v>Formulation into Pre-Catalyst</v>
      </c>
      <c r="D152" s="411" t="s">
        <v>57</v>
      </c>
      <c r="E152" s="411" t="s">
        <v>73</v>
      </c>
      <c r="F152" s="428">
        <f t="shared" si="15"/>
        <v>11400</v>
      </c>
      <c r="G152" s="428">
        <f t="shared" si="15"/>
        <v>15545.454545454546</v>
      </c>
      <c r="H152" s="428">
        <f t="shared" si="15"/>
        <v>16644</v>
      </c>
      <c r="I152" s="426">
        <f t="shared" si="16"/>
        <v>1522.0293724966625</v>
      </c>
      <c r="J152" s="426">
        <f t="shared" si="16"/>
        <v>2075.4945988590853</v>
      </c>
      <c r="K152" s="426">
        <f t="shared" si="16"/>
        <v>2222.1628838451275</v>
      </c>
      <c r="L152" s="427">
        <f t="shared" si="17"/>
        <v>1342.7561837455833</v>
      </c>
      <c r="M152" s="427">
        <f t="shared" si="17"/>
        <v>1831.0311596530682</v>
      </c>
      <c r="N152" s="427">
        <f t="shared" si="17"/>
        <v>1960.4240282685516</v>
      </c>
      <c r="AB152" s="94"/>
      <c r="AC152" s="94"/>
      <c r="AD152" s="94"/>
      <c r="AE152" s="94"/>
      <c r="AF152" s="94"/>
      <c r="AG152" s="94"/>
      <c r="AH152" s="94"/>
    </row>
    <row r="153" spans="2:34" s="27" customFormat="1" ht="13.5" thickBot="1" x14ac:dyDescent="0.4">
      <c r="B153" s="28"/>
      <c r="C153" s="27" t="str" cm="1">
        <f t="array" ref="C153">INDEX('List Values'!$B$2:$B$20,(1+ROUNDDOWN((ROW()-ROW($C$127))*1/6,2)))</f>
        <v>Formulation into Pre-Catalyst</v>
      </c>
      <c r="D153" s="411" t="s">
        <v>168</v>
      </c>
      <c r="E153" s="411" t="s">
        <v>72</v>
      </c>
      <c r="F153" s="428">
        <f t="shared" si="15"/>
        <v>2255.8606557377052</v>
      </c>
      <c r="G153" s="428">
        <f t="shared" si="15"/>
        <v>3076.1736214605071</v>
      </c>
      <c r="H153" s="428">
        <f t="shared" si="15"/>
        <v>3293.55655737705</v>
      </c>
      <c r="I153" s="426">
        <f t="shared" si="16"/>
        <v>828.29554574638871</v>
      </c>
      <c r="J153" s="426">
        <f t="shared" si="16"/>
        <v>1129.4939260178028</v>
      </c>
      <c r="K153" s="426">
        <f t="shared" si="16"/>
        <v>1209.3114967897272</v>
      </c>
      <c r="L153" s="427">
        <f t="shared" si="17"/>
        <v>605.84458467860293</v>
      </c>
      <c r="M153" s="427">
        <f t="shared" si="17"/>
        <v>826.15170637991321</v>
      </c>
      <c r="N153" s="427">
        <f t="shared" si="17"/>
        <v>884.53309363076028</v>
      </c>
      <c r="AB153" s="94"/>
      <c r="AC153" s="94"/>
      <c r="AD153" s="94"/>
      <c r="AE153" s="94"/>
      <c r="AF153" s="94"/>
      <c r="AG153" s="94"/>
      <c r="AH153" s="94"/>
    </row>
    <row r="154" spans="2:34" s="27" customFormat="1" ht="13.5" thickBot="1" x14ac:dyDescent="0.4">
      <c r="B154" s="28"/>
      <c r="C154" s="27" t="str" cm="1">
        <f t="array" ref="C154">INDEX('List Values'!$B$2:$B$20,(1+ROUNDDOWN((ROW()-ROW($C$127))*1/6,2)))</f>
        <v>Formulation into Pre-Catalyst</v>
      </c>
      <c r="D154" s="411" t="s">
        <v>168</v>
      </c>
      <c r="E154" s="411" t="s">
        <v>73</v>
      </c>
      <c r="F154" s="428">
        <f t="shared" si="15"/>
        <v>10320.562500000002</v>
      </c>
      <c r="G154" s="428">
        <f t="shared" si="15"/>
        <v>14073.494318181818</v>
      </c>
      <c r="H154" s="428">
        <f t="shared" si="15"/>
        <v>15068.02125</v>
      </c>
      <c r="I154" s="426">
        <f t="shared" si="16"/>
        <v>1656.5910914927774</v>
      </c>
      <c r="J154" s="426">
        <f t="shared" si="16"/>
        <v>2258.9878520356056</v>
      </c>
      <c r="K154" s="426">
        <f t="shared" si="16"/>
        <v>2418.6229935794549</v>
      </c>
      <c r="L154" s="427">
        <f t="shared" si="17"/>
        <v>1427.4636929460585</v>
      </c>
      <c r="M154" s="427">
        <f t="shared" si="17"/>
        <v>1946.5413994718976</v>
      </c>
      <c r="N154" s="427">
        <f t="shared" si="17"/>
        <v>2084.0969917012453</v>
      </c>
      <c r="AB154" s="94"/>
      <c r="AC154" s="94"/>
      <c r="AD154" s="94"/>
      <c r="AE154" s="94"/>
      <c r="AF154" s="94"/>
      <c r="AG154" s="94"/>
      <c r="AH154" s="94"/>
    </row>
    <row r="155" spans="2:34" s="27" customFormat="1" ht="13.5" thickBot="1" x14ac:dyDescent="0.4">
      <c r="B155" s="28"/>
      <c r="C155" s="27" t="str" cm="1">
        <f t="array" ref="C155">INDEX('List Values'!$B$2:$B$20,(1+ROUNDDOWN((ROW()-ROW($C$127))*1/6,2)))</f>
        <v>Formulation into Pre-Catalyst</v>
      </c>
      <c r="D155" s="411" t="s">
        <v>74</v>
      </c>
      <c r="E155" s="411" t="s">
        <v>72</v>
      </c>
      <c r="F155" s="428">
        <f t="shared" si="15"/>
        <v>11400</v>
      </c>
      <c r="G155" s="428">
        <f t="shared" si="15"/>
        <v>15545.454545454546</v>
      </c>
      <c r="H155" s="428">
        <f t="shared" si="15"/>
        <v>16644</v>
      </c>
      <c r="I155" s="426" t="str">
        <f t="shared" si="16"/>
        <v/>
      </c>
      <c r="J155" s="426" t="str">
        <f t="shared" si="16"/>
        <v/>
      </c>
      <c r="K155" s="426" t="str">
        <f t="shared" si="16"/>
        <v/>
      </c>
      <c r="L155" s="427">
        <f t="shared" si="17"/>
        <v>11400</v>
      </c>
      <c r="M155" s="427">
        <f t="shared" si="17"/>
        <v>15545.454545454546</v>
      </c>
      <c r="N155" s="427">
        <f t="shared" si="17"/>
        <v>16644</v>
      </c>
      <c r="AB155" s="94"/>
      <c r="AC155" s="94"/>
      <c r="AD155" s="94"/>
      <c r="AE155" s="94"/>
      <c r="AF155" s="94"/>
      <c r="AG155" s="94"/>
      <c r="AH155" s="94"/>
    </row>
    <row r="156" spans="2:34" s="27" customFormat="1" ht="13.5" thickBot="1" x14ac:dyDescent="0.4">
      <c r="B156" s="28"/>
      <c r="C156" s="27" t="str" cm="1">
        <f t="array" ref="C156">INDEX('List Values'!$B$2:$B$20,(1+ROUNDDOWN((ROW()-ROW($C$127))*1/6,2)))</f>
        <v>Formulation into Pre-Catalyst</v>
      </c>
      <c r="D156" s="411" t="s">
        <v>74</v>
      </c>
      <c r="E156" s="411" t="s">
        <v>73</v>
      </c>
      <c r="F156" s="428">
        <f t="shared" si="15"/>
        <v>11400</v>
      </c>
      <c r="G156" s="428">
        <f t="shared" si="15"/>
        <v>15545.454545454546</v>
      </c>
      <c r="H156" s="428">
        <f t="shared" si="15"/>
        <v>16644</v>
      </c>
      <c r="I156" s="426" t="str">
        <f t="shared" si="16"/>
        <v/>
      </c>
      <c r="J156" s="426" t="str">
        <f t="shared" si="16"/>
        <v/>
      </c>
      <c r="K156" s="426" t="str">
        <f t="shared" si="16"/>
        <v/>
      </c>
      <c r="L156" s="427">
        <f t="shared" si="17"/>
        <v>11400</v>
      </c>
      <c r="M156" s="427">
        <f t="shared" si="17"/>
        <v>15545.454545454546</v>
      </c>
      <c r="N156" s="427">
        <f t="shared" si="17"/>
        <v>16644</v>
      </c>
      <c r="AB156" s="94"/>
      <c r="AC156" s="94"/>
      <c r="AD156" s="94"/>
      <c r="AE156" s="94"/>
      <c r="AF156" s="94"/>
      <c r="AG156" s="94"/>
      <c r="AH156" s="94"/>
    </row>
    <row r="157" spans="2:34" s="27" customFormat="1" ht="13.5" thickBot="1" x14ac:dyDescent="0.4">
      <c r="B157" s="28"/>
      <c r="C157" s="27" t="str" cm="1">
        <f t="array" ref="C157">INDEX('List Values'!$B$2:$B$20,(1+ROUNDDOWN((ROW()-ROW($C$127))*1/6,2)))</f>
        <v>Intermediate in Polypropylene Manufacturing</v>
      </c>
      <c r="D157" s="411" t="s">
        <v>57</v>
      </c>
      <c r="E157" s="411" t="s">
        <v>72</v>
      </c>
      <c r="F157" s="428">
        <f t="shared" si="15"/>
        <v>2490.8913130165461</v>
      </c>
      <c r="G157" s="428">
        <f t="shared" si="15"/>
        <v>3396.6699722952899</v>
      </c>
      <c r="H157" s="428">
        <f t="shared" si="15"/>
        <v>3636.7013170041569</v>
      </c>
      <c r="I157" s="426">
        <f t="shared" si="16"/>
        <v>761.01468624833126</v>
      </c>
      <c r="J157" s="426">
        <f t="shared" si="16"/>
        <v>1037.7472994295426</v>
      </c>
      <c r="K157" s="426">
        <f t="shared" si="16"/>
        <v>1111.0814419225637</v>
      </c>
      <c r="L157" s="427">
        <f t="shared" si="17"/>
        <v>582.92117652924139</v>
      </c>
      <c r="M157" s="427">
        <f t="shared" si="17"/>
        <v>794.89251344896547</v>
      </c>
      <c r="N157" s="427">
        <f t="shared" si="17"/>
        <v>851.06491773269238</v>
      </c>
      <c r="AB157" s="94"/>
      <c r="AC157" s="94"/>
      <c r="AD157" s="94"/>
      <c r="AE157" s="94"/>
      <c r="AF157" s="94"/>
      <c r="AG157" s="94"/>
      <c r="AH157" s="94"/>
    </row>
    <row r="158" spans="2:34" s="27" customFormat="1" ht="13.5" thickBot="1" x14ac:dyDescent="0.4">
      <c r="B158" s="28"/>
      <c r="C158" s="27" t="str" cm="1">
        <f t="array" ref="C158">INDEX('List Values'!$B$2:$B$20,(1+ROUNDDOWN((ROW()-ROW($C$127))*1/6,2)))</f>
        <v>Intermediate in Polypropylene Manufacturing</v>
      </c>
      <c r="D158" s="411" t="s">
        <v>57</v>
      </c>
      <c r="E158" s="411" t="s">
        <v>73</v>
      </c>
      <c r="F158" s="428">
        <f t="shared" si="15"/>
        <v>11398.176291793314</v>
      </c>
      <c r="G158" s="428">
        <f t="shared" si="15"/>
        <v>15542.967670627248</v>
      </c>
      <c r="H158" s="428">
        <f t="shared" si="15"/>
        <v>16641.33738601824</v>
      </c>
      <c r="I158" s="426">
        <f t="shared" si="16"/>
        <v>1522.0293724966625</v>
      </c>
      <c r="J158" s="426">
        <f t="shared" si="16"/>
        <v>2075.4945988590853</v>
      </c>
      <c r="K158" s="426">
        <f t="shared" si="16"/>
        <v>2222.1628838451275</v>
      </c>
      <c r="L158" s="427">
        <f t="shared" si="17"/>
        <v>1342.7308790411489</v>
      </c>
      <c r="M158" s="427">
        <f t="shared" si="17"/>
        <v>1830.9966532379306</v>
      </c>
      <c r="N158" s="427">
        <f t="shared" si="17"/>
        <v>1960.3870834000775</v>
      </c>
      <c r="AB158" s="94"/>
      <c r="AC158" s="94"/>
      <c r="AD158" s="94"/>
      <c r="AE158" s="94"/>
      <c r="AF158" s="94"/>
      <c r="AG158" s="94"/>
      <c r="AH158" s="94"/>
    </row>
    <row r="159" spans="2:34" s="27" customFormat="1" ht="13.5" thickBot="1" x14ac:dyDescent="0.4">
      <c r="B159" s="28"/>
      <c r="C159" s="27" t="str" cm="1">
        <f t="array" ref="C159">INDEX('List Values'!$B$2:$B$20,(1+ROUNDDOWN((ROW()-ROW($C$127))*1/6,2)))</f>
        <v>Intermediate in Polypropylene Manufacturing</v>
      </c>
      <c r="D159" s="411" t="s">
        <v>168</v>
      </c>
      <c r="E159" s="411" t="s">
        <v>72</v>
      </c>
      <c r="F159" s="428">
        <f t="shared" si="15"/>
        <v>2255.0350418152925</v>
      </c>
      <c r="G159" s="428">
        <f t="shared" si="15"/>
        <v>3075.0477842935807</v>
      </c>
      <c r="H159" s="428">
        <f t="shared" si="15"/>
        <v>3292.3511610503269</v>
      </c>
      <c r="I159" s="426">
        <f t="shared" si="16"/>
        <v>828.29554574638871</v>
      </c>
      <c r="J159" s="426">
        <f t="shared" si="16"/>
        <v>1129.4939260178028</v>
      </c>
      <c r="K159" s="426">
        <f t="shared" si="16"/>
        <v>1209.3114967897272</v>
      </c>
      <c r="L159" s="427">
        <f t="shared" si="17"/>
        <v>605.78501967079853</v>
      </c>
      <c r="M159" s="427">
        <f t="shared" si="17"/>
        <v>826.07048136927085</v>
      </c>
      <c r="N159" s="427">
        <f t="shared" si="17"/>
        <v>884.44612871936602</v>
      </c>
      <c r="AB159" s="94"/>
      <c r="AC159" s="94"/>
      <c r="AD159" s="94"/>
      <c r="AE159" s="94"/>
      <c r="AF159" s="94"/>
      <c r="AG159" s="94"/>
      <c r="AH159" s="94"/>
    </row>
    <row r="160" spans="2:34" s="27" customFormat="1" ht="13.5" thickBot="1" x14ac:dyDescent="0.4">
      <c r="B160" s="28"/>
      <c r="C160" s="27" t="str" cm="1">
        <f t="array" ref="C160">INDEX('List Values'!$B$2:$B$20,(1+ROUNDDOWN((ROW()-ROW($C$127))*1/6,2)))</f>
        <v>Intermediate in Polypropylene Manufacturing</v>
      </c>
      <c r="D160" s="411" t="s">
        <v>168</v>
      </c>
      <c r="E160" s="411" t="s">
        <v>73</v>
      </c>
      <c r="F160" s="428">
        <f t="shared" si="15"/>
        <v>10318.911474164137</v>
      </c>
      <c r="G160" s="428">
        <f t="shared" si="15"/>
        <v>14071.242919314733</v>
      </c>
      <c r="H160" s="428">
        <f t="shared" si="15"/>
        <v>15065.610752279637</v>
      </c>
      <c r="I160" s="426">
        <f t="shared" si="16"/>
        <v>1656.5910914927774</v>
      </c>
      <c r="J160" s="426">
        <f t="shared" si="16"/>
        <v>2258.9878520356056</v>
      </c>
      <c r="K160" s="426">
        <f t="shared" si="16"/>
        <v>2418.6229935794549</v>
      </c>
      <c r="L160" s="427">
        <f t="shared" si="17"/>
        <v>1427.4321038538569</v>
      </c>
      <c r="M160" s="427">
        <f t="shared" si="17"/>
        <v>1946.4983234370775</v>
      </c>
      <c r="N160" s="427">
        <f t="shared" si="17"/>
        <v>2084.0508716266313</v>
      </c>
      <c r="AB160" s="94"/>
      <c r="AC160" s="94"/>
      <c r="AD160" s="94"/>
      <c r="AE160" s="94"/>
      <c r="AF160" s="94"/>
      <c r="AG160" s="94"/>
      <c r="AH160" s="94"/>
    </row>
    <row r="161" spans="2:34" s="27" customFormat="1" ht="13.5" thickBot="1" x14ac:dyDescent="0.4">
      <c r="B161" s="28"/>
      <c r="C161" s="27" t="str" cm="1">
        <f t="array" ref="C161">INDEX('List Values'!$B$2:$B$20,(1+ROUNDDOWN((ROW()-ROW($C$127))*1/6,2)))</f>
        <v>Intermediate in Polypropylene Manufacturing</v>
      </c>
      <c r="D161" s="411" t="s">
        <v>74</v>
      </c>
      <c r="E161" s="411" t="s">
        <v>72</v>
      </c>
      <c r="F161" s="428">
        <f t="shared" si="15"/>
        <v>11398.176291793314</v>
      </c>
      <c r="G161" s="428">
        <f t="shared" si="15"/>
        <v>15542.967670627248</v>
      </c>
      <c r="H161" s="428">
        <f t="shared" si="15"/>
        <v>16641.33738601824</v>
      </c>
      <c r="I161" s="426">
        <f t="shared" si="16"/>
        <v>1522.0293724966625</v>
      </c>
      <c r="J161" s="426">
        <f t="shared" si="16"/>
        <v>2075.4945988590853</v>
      </c>
      <c r="K161" s="426">
        <f t="shared" si="16"/>
        <v>2222.1628838451275</v>
      </c>
      <c r="L161" s="427">
        <f t="shared" si="17"/>
        <v>1342.7308790411489</v>
      </c>
      <c r="M161" s="427">
        <f t="shared" si="17"/>
        <v>1830.9966532379306</v>
      </c>
      <c r="N161" s="427">
        <f t="shared" si="17"/>
        <v>1960.3870834000775</v>
      </c>
      <c r="AB161" s="94"/>
      <c r="AC161" s="94"/>
      <c r="AD161" s="94"/>
      <c r="AE161" s="94"/>
      <c r="AF161" s="94"/>
      <c r="AG161" s="94"/>
      <c r="AH161" s="94"/>
    </row>
    <row r="162" spans="2:34" s="27" customFormat="1" ht="13.5" thickBot="1" x14ac:dyDescent="0.4">
      <c r="B162" s="28"/>
      <c r="C162" s="27" t="str" cm="1">
        <f t="array" ref="C162">INDEX('List Values'!$B$2:$B$20,(1+ROUNDDOWN((ROW()-ROW($C$127))*1/6,2)))</f>
        <v>Intermediate in Polypropylene Manufacturing</v>
      </c>
      <c r="D162" s="411" t="s">
        <v>74</v>
      </c>
      <c r="E162" s="411" t="s">
        <v>73</v>
      </c>
      <c r="F162" s="428">
        <f t="shared" si="15"/>
        <v>11398.176291793314</v>
      </c>
      <c r="G162" s="428">
        <f t="shared" si="15"/>
        <v>15542.967670627248</v>
      </c>
      <c r="H162" s="428">
        <f t="shared" si="15"/>
        <v>16641.33738601824</v>
      </c>
      <c r="I162" s="426">
        <f t="shared" si="16"/>
        <v>3044.058744993325</v>
      </c>
      <c r="J162" s="426">
        <f t="shared" si="16"/>
        <v>4150.9891977181705</v>
      </c>
      <c r="K162" s="426">
        <f t="shared" si="16"/>
        <v>4444.3257676902549</v>
      </c>
      <c r="L162" s="427">
        <f t="shared" si="17"/>
        <v>2402.4479680347977</v>
      </c>
      <c r="M162" s="427">
        <f t="shared" si="17"/>
        <v>3276.0654109565426</v>
      </c>
      <c r="N162" s="427">
        <f t="shared" si="17"/>
        <v>3507.5740333308049</v>
      </c>
      <c r="AB162" s="94"/>
      <c r="AC162" s="94"/>
      <c r="AD162" s="94"/>
      <c r="AE162" s="94"/>
      <c r="AF162" s="94"/>
      <c r="AG162" s="94"/>
      <c r="AH162" s="94"/>
    </row>
    <row r="163" spans="2:34" s="27" customFormat="1" ht="13.5" thickBot="1" x14ac:dyDescent="0.4">
      <c r="B163" s="28"/>
      <c r="C163" s="27" t="str" cm="1">
        <f t="array" ref="C163">INDEX('List Values'!$B$2:$B$20,(1+ROUNDDOWN((ROW()-ROW($C$127))*1/6,2)))</f>
        <v>Plastic Compounding</v>
      </c>
      <c r="D163" s="411" t="s">
        <v>57</v>
      </c>
      <c r="E163" s="411" t="s">
        <v>72</v>
      </c>
      <c r="F163" s="428">
        <f t="shared" si="15"/>
        <v>2171.4285714285716</v>
      </c>
      <c r="G163" s="428">
        <f t="shared" si="15"/>
        <v>2961.0389610389611</v>
      </c>
      <c r="H163" s="428">
        <f t="shared" si="15"/>
        <v>3170.2857142857142</v>
      </c>
      <c r="I163" s="426">
        <f t="shared" si="16"/>
        <v>761.01468624833126</v>
      </c>
      <c r="J163" s="426">
        <f t="shared" si="16"/>
        <v>1037.7472994295426</v>
      </c>
      <c r="K163" s="426">
        <f t="shared" si="16"/>
        <v>1111.0814419225637</v>
      </c>
      <c r="L163" s="427">
        <f t="shared" si="17"/>
        <v>563.5195254572418</v>
      </c>
      <c r="M163" s="427">
        <f t="shared" si="17"/>
        <v>768.43571653260244</v>
      </c>
      <c r="N163" s="427">
        <f t="shared" si="17"/>
        <v>822.73850716757306</v>
      </c>
      <c r="AB163" s="94"/>
      <c r="AC163" s="94"/>
      <c r="AD163" s="94"/>
      <c r="AE163" s="94"/>
      <c r="AF163" s="94"/>
      <c r="AG163" s="94"/>
      <c r="AH163" s="94"/>
    </row>
    <row r="164" spans="2:34" s="27" customFormat="1" ht="13.5" thickBot="1" x14ac:dyDescent="0.4">
      <c r="B164" s="28"/>
      <c r="C164" s="27" t="str" cm="1">
        <f t="array" ref="C164">INDEX('List Values'!$B$2:$B$20,(1+ROUNDDOWN((ROW()-ROW($C$127))*1/6,2)))</f>
        <v>Plastic Compounding</v>
      </c>
      <c r="D164" s="411" t="s">
        <v>57</v>
      </c>
      <c r="E164" s="411" t="s">
        <v>73</v>
      </c>
      <c r="F164" s="428">
        <f t="shared" si="15"/>
        <v>10872.675250357655</v>
      </c>
      <c r="G164" s="428">
        <f t="shared" si="15"/>
        <v>14826.375341396804</v>
      </c>
      <c r="H164" s="428">
        <f t="shared" si="15"/>
        <v>17796.082808881365</v>
      </c>
      <c r="I164" s="426">
        <f t="shared" si="16"/>
        <v>1522.0293724966625</v>
      </c>
      <c r="J164" s="426">
        <f t="shared" si="16"/>
        <v>2075.4945988590853</v>
      </c>
      <c r="K164" s="426">
        <f t="shared" si="16"/>
        <v>2491.2139953420706</v>
      </c>
      <c r="L164" s="427">
        <f t="shared" si="17"/>
        <v>1335.1291210399954</v>
      </c>
      <c r="M164" s="427">
        <f t="shared" si="17"/>
        <v>1820.6306195999939</v>
      </c>
      <c r="N164" s="427">
        <f t="shared" si="17"/>
        <v>2185.3010277112035</v>
      </c>
      <c r="AB164" s="94"/>
      <c r="AC164" s="94"/>
      <c r="AD164" s="94"/>
      <c r="AE164" s="94"/>
      <c r="AF164" s="94"/>
      <c r="AG164" s="94"/>
      <c r="AH164" s="94"/>
    </row>
    <row r="165" spans="2:34" s="27" customFormat="1" ht="13.5" thickBot="1" x14ac:dyDescent="0.4">
      <c r="B165" s="28"/>
      <c r="C165" s="27" t="str" cm="1">
        <f t="array" ref="C165">INDEX('List Values'!$B$2:$B$20,(1+ROUNDDOWN((ROW()-ROW($C$127))*1/6,2)))</f>
        <v>Plastic Compounding</v>
      </c>
      <c r="D165" s="411" t="s">
        <v>168</v>
      </c>
      <c r="E165" s="411" t="s">
        <v>72</v>
      </c>
      <c r="F165" s="428">
        <f t="shared" si="15"/>
        <v>1965.8214285714289</v>
      </c>
      <c r="G165" s="428">
        <f t="shared" si="15"/>
        <v>2680.6655844155848</v>
      </c>
      <c r="H165" s="428">
        <f t="shared" si="15"/>
        <v>2870.099285714286</v>
      </c>
      <c r="I165" s="426">
        <f t="shared" si="16"/>
        <v>828.29554574638871</v>
      </c>
      <c r="J165" s="426">
        <f t="shared" si="16"/>
        <v>1129.4939260178028</v>
      </c>
      <c r="K165" s="426">
        <f t="shared" si="16"/>
        <v>1209.3114967897272</v>
      </c>
      <c r="L165" s="427">
        <f t="shared" si="17"/>
        <v>582.75338791643151</v>
      </c>
      <c r="M165" s="427">
        <f t="shared" si="17"/>
        <v>794.66371079513385</v>
      </c>
      <c r="N165" s="427">
        <f t="shared" si="17"/>
        <v>850.81994635798992</v>
      </c>
      <c r="AB165" s="94"/>
      <c r="AC165" s="94"/>
      <c r="AD165" s="94"/>
      <c r="AE165" s="94"/>
      <c r="AF165" s="94"/>
      <c r="AG165" s="94"/>
      <c r="AH165" s="94"/>
    </row>
    <row r="166" spans="2:34" s="27" customFormat="1" ht="13.5" thickBot="1" x14ac:dyDescent="0.4">
      <c r="B166" s="28"/>
      <c r="C166" s="27" t="str" cm="1">
        <f t="array" ref="C166">INDEX('List Values'!$B$2:$B$20,(1+ROUNDDOWN((ROW()-ROW($C$127))*1/6,2)))</f>
        <v>Plastic Compounding</v>
      </c>
      <c r="D166" s="411" t="s">
        <v>168</v>
      </c>
      <c r="E166" s="411" t="s">
        <v>73</v>
      </c>
      <c r="F166" s="428">
        <f t="shared" si="15"/>
        <v>9843.1688125894161</v>
      </c>
      <c r="G166" s="428">
        <f t="shared" si="15"/>
        <v>13422.502926258294</v>
      </c>
      <c r="H166" s="428">
        <f t="shared" si="15"/>
        <v>16111.016217915414</v>
      </c>
      <c r="I166" s="426">
        <f t="shared" si="16"/>
        <v>1656.5910914927774</v>
      </c>
      <c r="J166" s="426">
        <f t="shared" si="16"/>
        <v>2258.9878520356056</v>
      </c>
      <c r="K166" s="426">
        <f t="shared" si="16"/>
        <v>2711.4607551339177</v>
      </c>
      <c r="L166" s="427">
        <f t="shared" si="17"/>
        <v>1417.9518444734495</v>
      </c>
      <c r="M166" s="427">
        <f t="shared" si="17"/>
        <v>1933.5706970092492</v>
      </c>
      <c r="N166" s="427">
        <f t="shared" si="17"/>
        <v>2320.8628844520586</v>
      </c>
      <c r="AB166" s="94"/>
      <c r="AC166" s="94"/>
      <c r="AD166" s="94"/>
      <c r="AE166" s="94"/>
      <c r="AF166" s="94"/>
      <c r="AG166" s="94"/>
      <c r="AH166" s="94"/>
    </row>
    <row r="167" spans="2:34" s="27" customFormat="1" ht="13.5" thickBot="1" x14ac:dyDescent="0.4">
      <c r="B167" s="28"/>
      <c r="C167" s="27" t="str" cm="1">
        <f t="array" ref="C167">INDEX('List Values'!$B$2:$B$20,(1+ROUNDDOWN((ROW()-ROW($C$127))*1/6,2)))</f>
        <v>Plastic Compounding</v>
      </c>
      <c r="D167" s="411" t="s">
        <v>74</v>
      </c>
      <c r="E167" s="411" t="s">
        <v>72</v>
      </c>
      <c r="F167" s="428">
        <f t="shared" ref="F167:H186" si="18">F$125/F45</f>
        <v>10872.675250357655</v>
      </c>
      <c r="G167" s="428">
        <f t="shared" si="18"/>
        <v>14826.375341396804</v>
      </c>
      <c r="H167" s="428">
        <f t="shared" si="18"/>
        <v>15874.105865522177</v>
      </c>
      <c r="I167" s="426">
        <f t="shared" ref="I167:K186" si="19">IFERROR(I$125/I45,"")</f>
        <v>1522.0293724966625</v>
      </c>
      <c r="J167" s="426">
        <f t="shared" si="19"/>
        <v>2075.4945988590853</v>
      </c>
      <c r="K167" s="426">
        <f t="shared" si="19"/>
        <v>2222.1628838451275</v>
      </c>
      <c r="L167" s="427">
        <f t="shared" ref="L167:N186" si="20">L$125/L45</f>
        <v>1335.1291210399954</v>
      </c>
      <c r="M167" s="427">
        <f t="shared" si="20"/>
        <v>1820.6306195999939</v>
      </c>
      <c r="N167" s="427">
        <f t="shared" si="20"/>
        <v>1949.2885167183936</v>
      </c>
      <c r="AB167" s="94"/>
      <c r="AC167" s="94"/>
      <c r="AD167" s="94"/>
      <c r="AE167" s="94"/>
      <c r="AF167" s="94"/>
      <c r="AG167" s="94"/>
      <c r="AH167" s="94"/>
    </row>
    <row r="168" spans="2:34" s="27" customFormat="1" ht="13.5" thickBot="1" x14ac:dyDescent="0.4">
      <c r="B168" s="28"/>
      <c r="C168" s="27" t="str" cm="1">
        <f t="array" ref="C168">INDEX('List Values'!$B$2:$B$20,(1+ROUNDDOWN((ROW()-ROW($C$127))*1/6,2)))</f>
        <v>Plastic Compounding</v>
      </c>
      <c r="D168" s="411" t="s">
        <v>74</v>
      </c>
      <c r="E168" s="411" t="s">
        <v>73</v>
      </c>
      <c r="F168" s="428">
        <f t="shared" si="18"/>
        <v>10872.675250357655</v>
      </c>
      <c r="G168" s="428">
        <f t="shared" si="18"/>
        <v>14826.375341396804</v>
      </c>
      <c r="H168" s="428">
        <f t="shared" si="18"/>
        <v>17796.082808881365</v>
      </c>
      <c r="I168" s="426">
        <f t="shared" si="19"/>
        <v>3044.058744993325</v>
      </c>
      <c r="J168" s="426">
        <f t="shared" si="19"/>
        <v>4150.9891977181705</v>
      </c>
      <c r="K168" s="426">
        <f t="shared" si="19"/>
        <v>4982.4279906841412</v>
      </c>
      <c r="L168" s="427">
        <f t="shared" si="20"/>
        <v>2378.2205069364768</v>
      </c>
      <c r="M168" s="427">
        <f t="shared" si="20"/>
        <v>3243.0279640042868</v>
      </c>
      <c r="N168" s="427">
        <f t="shared" si="20"/>
        <v>3892.6030718915426</v>
      </c>
      <c r="AB168" s="94"/>
      <c r="AC168" s="94"/>
      <c r="AD168" s="94"/>
      <c r="AE168" s="94"/>
      <c r="AF168" s="94"/>
      <c r="AG168" s="94"/>
      <c r="AH168" s="94"/>
    </row>
    <row r="169" spans="2:34" s="27" customFormat="1" ht="13.5" thickBot="1" x14ac:dyDescent="0.4">
      <c r="B169" s="28"/>
      <c r="C169" s="27" t="str" cm="1">
        <f t="array" ref="C169">INDEX('List Values'!$B$2:$B$20,(1+ROUNDDOWN((ROW()-ROW($C$127))*1/6,2)))</f>
        <v>Plastics Converting</v>
      </c>
      <c r="D169" s="411" t="s">
        <v>57</v>
      </c>
      <c r="E169" s="411" t="s">
        <v>72</v>
      </c>
      <c r="F169" s="428">
        <f t="shared" si="18"/>
        <v>123.81210969318492</v>
      </c>
      <c r="G169" s="428">
        <f t="shared" si="18"/>
        <v>168.83469503616126</v>
      </c>
      <c r="H169" s="428">
        <f t="shared" si="18"/>
        <v>180.76568015204998</v>
      </c>
      <c r="I169" s="426">
        <f t="shared" si="19"/>
        <v>761.01468624833126</v>
      </c>
      <c r="J169" s="426">
        <f t="shared" si="19"/>
        <v>1037.7472994295426</v>
      </c>
      <c r="K169" s="426">
        <f t="shared" si="19"/>
        <v>1111.0814419225637</v>
      </c>
      <c r="L169" s="427">
        <f t="shared" si="20"/>
        <v>106.48731960207373</v>
      </c>
      <c r="M169" s="427">
        <f t="shared" si="20"/>
        <v>145.20998127555507</v>
      </c>
      <c r="N169" s="427">
        <f t="shared" si="20"/>
        <v>155.47148661902764</v>
      </c>
      <c r="AB169" s="94"/>
      <c r="AC169" s="94"/>
      <c r="AD169" s="94"/>
      <c r="AE169" s="94"/>
      <c r="AF169" s="94"/>
      <c r="AG169" s="94"/>
      <c r="AH169" s="94"/>
    </row>
    <row r="170" spans="2:34" s="27" customFormat="1" ht="13.5" thickBot="1" x14ac:dyDescent="0.4">
      <c r="B170" s="28"/>
      <c r="C170" s="27" t="str" cm="1">
        <f t="array" ref="C170">INDEX('List Values'!$B$2:$B$20,(1+ROUNDDOWN((ROW()-ROW($C$127))*1/6,2)))</f>
        <v>Plastics Converting</v>
      </c>
      <c r="D170" s="411" t="s">
        <v>57</v>
      </c>
      <c r="E170" s="411" t="s">
        <v>73</v>
      </c>
      <c r="F170" s="428">
        <f t="shared" si="18"/>
        <v>2171.4285714285716</v>
      </c>
      <c r="G170" s="428">
        <f t="shared" si="18"/>
        <v>2961.0389610389611</v>
      </c>
      <c r="H170" s="428">
        <f t="shared" si="18"/>
        <v>3619.0476190476188</v>
      </c>
      <c r="I170" s="426">
        <f t="shared" si="19"/>
        <v>1522.0293724966625</v>
      </c>
      <c r="J170" s="426">
        <f t="shared" si="19"/>
        <v>2075.4945988590853</v>
      </c>
      <c r="K170" s="426">
        <f t="shared" si="19"/>
        <v>2536.7156208277706</v>
      </c>
      <c r="L170" s="427">
        <f t="shared" si="20"/>
        <v>894.81946624803777</v>
      </c>
      <c r="M170" s="427">
        <f t="shared" si="20"/>
        <v>1220.2083630655061</v>
      </c>
      <c r="N170" s="427">
        <f t="shared" si="20"/>
        <v>1491.3657770800628</v>
      </c>
      <c r="AB170" s="94"/>
      <c r="AC170" s="94"/>
      <c r="AD170" s="94"/>
      <c r="AE170" s="94"/>
      <c r="AF170" s="94"/>
      <c r="AG170" s="94"/>
      <c r="AH170" s="94"/>
    </row>
    <row r="171" spans="2:34" s="27" customFormat="1" ht="13.5" thickBot="1" x14ac:dyDescent="0.4">
      <c r="B171" s="28"/>
      <c r="C171" s="27" t="str" cm="1">
        <f t="array" ref="C171">INDEX('List Values'!$B$2:$B$20,(1+ROUNDDOWN((ROW()-ROW($C$127))*1/6,2)))</f>
        <v>Plastics Converting</v>
      </c>
      <c r="D171" s="411" t="s">
        <v>168</v>
      </c>
      <c r="E171" s="411" t="s">
        <v>72</v>
      </c>
      <c r="F171" s="428">
        <f t="shared" si="18"/>
        <v>112.08865055661148</v>
      </c>
      <c r="G171" s="428">
        <f t="shared" si="18"/>
        <v>152.84815984992474</v>
      </c>
      <c r="H171" s="428">
        <f t="shared" si="18"/>
        <v>163.64942981265278</v>
      </c>
      <c r="I171" s="426">
        <f t="shared" si="19"/>
        <v>828.29554574638871</v>
      </c>
      <c r="J171" s="426">
        <f t="shared" si="19"/>
        <v>1129.4939260178028</v>
      </c>
      <c r="K171" s="426">
        <f t="shared" si="19"/>
        <v>1209.3114967897272</v>
      </c>
      <c r="L171" s="427">
        <f t="shared" si="20"/>
        <v>98.728296742717774</v>
      </c>
      <c r="M171" s="427">
        <f t="shared" si="20"/>
        <v>134.62949555825148</v>
      </c>
      <c r="N171" s="427">
        <f t="shared" si="20"/>
        <v>144.14331324436796</v>
      </c>
      <c r="AB171" s="94"/>
      <c r="AC171" s="94"/>
      <c r="AD171" s="94"/>
      <c r="AE171" s="94"/>
      <c r="AF171" s="94"/>
      <c r="AG171" s="94"/>
      <c r="AH171" s="94"/>
    </row>
    <row r="172" spans="2:34" s="27" customFormat="1" ht="13.5" thickBot="1" x14ac:dyDescent="0.4">
      <c r="B172" s="28"/>
      <c r="C172" s="27" t="str" cm="1">
        <f t="array" ref="C172">INDEX('List Values'!$B$2:$B$20,(1+ROUNDDOWN((ROW()-ROW($C$127))*1/6,2)))</f>
        <v>Plastics Converting</v>
      </c>
      <c r="D172" s="411" t="s">
        <v>168</v>
      </c>
      <c r="E172" s="411" t="s">
        <v>73</v>
      </c>
      <c r="F172" s="428">
        <f t="shared" si="18"/>
        <v>1965.8214285714289</v>
      </c>
      <c r="G172" s="428">
        <f t="shared" si="18"/>
        <v>2680.6655844155848</v>
      </c>
      <c r="H172" s="428">
        <f t="shared" si="18"/>
        <v>3276.3690476190486</v>
      </c>
      <c r="I172" s="426">
        <f t="shared" si="19"/>
        <v>1656.5910914927774</v>
      </c>
      <c r="J172" s="426">
        <f t="shared" si="19"/>
        <v>2258.9878520356056</v>
      </c>
      <c r="K172" s="426">
        <f t="shared" si="19"/>
        <v>2760.9851524879618</v>
      </c>
      <c r="L172" s="427">
        <f t="shared" si="20"/>
        <v>899.00370209059247</v>
      </c>
      <c r="M172" s="427">
        <f t="shared" si="20"/>
        <v>1225.9141392144443</v>
      </c>
      <c r="N172" s="427">
        <f t="shared" si="20"/>
        <v>1498.3395034843209</v>
      </c>
      <c r="AB172" s="94"/>
      <c r="AC172" s="94"/>
      <c r="AD172" s="94"/>
      <c r="AE172" s="94"/>
      <c r="AF172" s="94"/>
      <c r="AG172" s="94"/>
      <c r="AH172" s="94"/>
    </row>
    <row r="173" spans="2:34" s="27" customFormat="1" ht="13.5" thickBot="1" x14ac:dyDescent="0.4">
      <c r="B173" s="28"/>
      <c r="C173" s="27" t="str" cm="1">
        <f t="array" ref="C173">INDEX('List Values'!$B$2:$B$20,(1+ROUNDDOWN((ROW()-ROW($C$127))*1/6,2)))</f>
        <v>Plastics Converting</v>
      </c>
      <c r="D173" s="411" t="s">
        <v>74</v>
      </c>
      <c r="E173" s="411" t="s">
        <v>72</v>
      </c>
      <c r="F173" s="428">
        <f t="shared" si="18"/>
        <v>2171.4285714285716</v>
      </c>
      <c r="G173" s="428">
        <f t="shared" si="18"/>
        <v>2961.0389610389611</v>
      </c>
      <c r="H173" s="428">
        <f t="shared" si="18"/>
        <v>3170.2857142857142</v>
      </c>
      <c r="I173" s="426">
        <f t="shared" si="19"/>
        <v>1522.0293724966625</v>
      </c>
      <c r="J173" s="426">
        <f t="shared" si="19"/>
        <v>2075.4945988590853</v>
      </c>
      <c r="K173" s="426">
        <f t="shared" si="19"/>
        <v>2222.1628838451275</v>
      </c>
      <c r="L173" s="427">
        <f t="shared" si="20"/>
        <v>894.81946624803777</v>
      </c>
      <c r="M173" s="427">
        <f t="shared" si="20"/>
        <v>1220.2083630655061</v>
      </c>
      <c r="N173" s="427">
        <f t="shared" si="20"/>
        <v>1306.4364207221349</v>
      </c>
      <c r="AB173" s="94"/>
      <c r="AC173" s="94"/>
      <c r="AD173" s="94"/>
      <c r="AE173" s="94"/>
      <c r="AF173" s="94"/>
      <c r="AG173" s="94"/>
      <c r="AH173" s="94"/>
    </row>
    <row r="174" spans="2:34" s="27" customFormat="1" ht="13.5" thickBot="1" x14ac:dyDescent="0.4">
      <c r="B174" s="28"/>
      <c r="C174" s="27" t="str" cm="1">
        <f t="array" ref="C174">INDEX('List Values'!$B$2:$B$20,(1+ROUNDDOWN((ROW()-ROW($C$127))*1/6,2)))</f>
        <v>Plastics Converting</v>
      </c>
      <c r="D174" s="411" t="s">
        <v>74</v>
      </c>
      <c r="E174" s="411" t="s">
        <v>73</v>
      </c>
      <c r="F174" s="428">
        <f t="shared" si="18"/>
        <v>2171.4285714285716</v>
      </c>
      <c r="G174" s="428">
        <f t="shared" si="18"/>
        <v>2961.0389610389611</v>
      </c>
      <c r="H174" s="428">
        <f t="shared" si="18"/>
        <v>3619.0476190476188</v>
      </c>
      <c r="I174" s="426">
        <f t="shared" si="19"/>
        <v>3044.058744993325</v>
      </c>
      <c r="J174" s="426">
        <f t="shared" si="19"/>
        <v>4150.9891977181705</v>
      </c>
      <c r="K174" s="426">
        <f t="shared" si="19"/>
        <v>5073.4312416555413</v>
      </c>
      <c r="L174" s="427">
        <f t="shared" si="20"/>
        <v>1267.3707615341857</v>
      </c>
      <c r="M174" s="427">
        <f t="shared" si="20"/>
        <v>1728.2328566375261</v>
      </c>
      <c r="N174" s="427">
        <f t="shared" si="20"/>
        <v>2112.2846025569756</v>
      </c>
      <c r="AB174" s="94"/>
      <c r="AC174" s="94"/>
      <c r="AD174" s="94"/>
      <c r="AE174" s="94"/>
      <c r="AF174" s="94"/>
      <c r="AG174" s="94"/>
      <c r="AH174" s="94"/>
    </row>
    <row r="175" spans="2:34" s="27" customFormat="1" ht="13.5" thickBot="1" x14ac:dyDescent="0.4">
      <c r="B175" s="28"/>
      <c r="C175" s="27" t="str" cm="1">
        <f t="array" ref="C175">INDEX('List Values'!$B$2:$B$20,(1+ROUNDDOWN((ROW()-ROW($C$127))*1/6,2)))</f>
        <v>Rubber Compounding</v>
      </c>
      <c r="D175" s="411" t="s">
        <v>57</v>
      </c>
      <c r="E175" s="411" t="s">
        <v>72</v>
      </c>
      <c r="F175" s="428">
        <f t="shared" si="18"/>
        <v>44.780516547186487</v>
      </c>
      <c r="G175" s="428">
        <f t="shared" si="18"/>
        <v>61.064340746163396</v>
      </c>
      <c r="H175" s="428">
        <f t="shared" si="18"/>
        <v>65.379554158892276</v>
      </c>
      <c r="I175" s="426">
        <f t="shared" si="19"/>
        <v>761.01468624833126</v>
      </c>
      <c r="J175" s="426">
        <f t="shared" si="19"/>
        <v>1037.7472994295426</v>
      </c>
      <c r="K175" s="426">
        <f t="shared" si="19"/>
        <v>1111.0814419225637</v>
      </c>
      <c r="L175" s="427">
        <f t="shared" si="20"/>
        <v>42.291925581050251</v>
      </c>
      <c r="M175" s="427">
        <f t="shared" si="20"/>
        <v>57.670807610523077</v>
      </c>
      <c r="N175" s="427">
        <f t="shared" si="20"/>
        <v>61.746211348333368</v>
      </c>
      <c r="AB175" s="94"/>
      <c r="AC175" s="94"/>
      <c r="AD175" s="94"/>
      <c r="AE175" s="94"/>
      <c r="AF175" s="94"/>
      <c r="AG175" s="94"/>
      <c r="AH175" s="94"/>
    </row>
    <row r="176" spans="2:34" s="27" customFormat="1" ht="13.5" thickBot="1" x14ac:dyDescent="0.4">
      <c r="B176" s="28"/>
      <c r="C176" s="27" t="str" cm="1">
        <f t="array" ref="C176">INDEX('List Values'!$B$2:$B$20,(1+ROUNDDOWN((ROW()-ROW($C$127))*1/6,2)))</f>
        <v>Rubber Compounding</v>
      </c>
      <c r="D176" s="411" t="s">
        <v>57</v>
      </c>
      <c r="E176" s="411" t="s">
        <v>73</v>
      </c>
      <c r="F176" s="428">
        <f t="shared" si="18"/>
        <v>456</v>
      </c>
      <c r="G176" s="428">
        <f t="shared" si="18"/>
        <v>621.81818181818187</v>
      </c>
      <c r="H176" s="428">
        <f t="shared" si="18"/>
        <v>711.28205128205116</v>
      </c>
      <c r="I176" s="426">
        <f t="shared" si="19"/>
        <v>1522.0293724966625</v>
      </c>
      <c r="J176" s="426">
        <f t="shared" si="19"/>
        <v>2075.4945988590853</v>
      </c>
      <c r="K176" s="426">
        <f t="shared" si="19"/>
        <v>2374.1056451336826</v>
      </c>
      <c r="L176" s="427">
        <f t="shared" si="20"/>
        <v>350.87719298245617</v>
      </c>
      <c r="M176" s="427">
        <f t="shared" si="20"/>
        <v>478.46889952153111</v>
      </c>
      <c r="N176" s="427">
        <f t="shared" si="20"/>
        <v>547.3084420452841</v>
      </c>
      <c r="AB176" s="94"/>
      <c r="AC176" s="94"/>
      <c r="AD176" s="94"/>
      <c r="AE176" s="94"/>
      <c r="AF176" s="94"/>
      <c r="AG176" s="94"/>
      <c r="AH176" s="94"/>
    </row>
    <row r="177" spans="2:34" s="27" customFormat="1" ht="13.5" thickBot="1" x14ac:dyDescent="0.4">
      <c r="B177" s="28"/>
      <c r="C177" s="27" t="str" cm="1">
        <f t="array" ref="C177">INDEX('List Values'!$B$2:$B$20,(1+ROUNDDOWN((ROW()-ROW($C$127))*1/6,2)))</f>
        <v>Rubber Compounding</v>
      </c>
      <c r="D177" s="411" t="s">
        <v>168</v>
      </c>
      <c r="E177" s="411" t="s">
        <v>72</v>
      </c>
      <c r="F177" s="428">
        <f t="shared" si="18"/>
        <v>40.540361386624774</v>
      </c>
      <c r="G177" s="428">
        <f t="shared" si="18"/>
        <v>55.28231098176105</v>
      </c>
      <c r="H177" s="428">
        <f t="shared" si="18"/>
        <v>59.188927624472164</v>
      </c>
      <c r="I177" s="426">
        <f t="shared" si="19"/>
        <v>828.29554574638871</v>
      </c>
      <c r="J177" s="426">
        <f t="shared" si="19"/>
        <v>1129.4939260178028</v>
      </c>
      <c r="K177" s="426">
        <f t="shared" si="19"/>
        <v>1209.3114967897272</v>
      </c>
      <c r="L177" s="427">
        <f t="shared" si="20"/>
        <v>38.648725822457735</v>
      </c>
      <c r="M177" s="427">
        <f t="shared" si="20"/>
        <v>52.702807939715093</v>
      </c>
      <c r="N177" s="427">
        <f t="shared" si="20"/>
        <v>56.427139700788288</v>
      </c>
      <c r="AB177" s="94"/>
      <c r="AC177" s="94"/>
      <c r="AD177" s="94"/>
      <c r="AE177" s="94"/>
      <c r="AF177" s="94"/>
      <c r="AG177" s="94"/>
      <c r="AH177" s="94"/>
    </row>
    <row r="178" spans="2:34" s="27" customFormat="1" ht="13.5" thickBot="1" x14ac:dyDescent="0.4">
      <c r="B178" s="28"/>
      <c r="C178" s="27" t="str" cm="1">
        <f t="array" ref="C178">INDEX('List Values'!$B$2:$B$20,(1+ROUNDDOWN((ROW()-ROW($C$127))*1/6,2)))</f>
        <v>Rubber Compounding</v>
      </c>
      <c r="D178" s="411" t="s">
        <v>168</v>
      </c>
      <c r="E178" s="411" t="s">
        <v>73</v>
      </c>
      <c r="F178" s="428">
        <f t="shared" si="18"/>
        <v>412.8225000000001</v>
      </c>
      <c r="G178" s="428">
        <f t="shared" si="18"/>
        <v>562.93977272727284</v>
      </c>
      <c r="H178" s="428">
        <f t="shared" si="18"/>
        <v>643.93253205128212</v>
      </c>
      <c r="I178" s="426">
        <f t="shared" si="19"/>
        <v>1656.5910914927774</v>
      </c>
      <c r="J178" s="426">
        <f t="shared" si="19"/>
        <v>2258.9878520356056</v>
      </c>
      <c r="K178" s="426">
        <f t="shared" si="19"/>
        <v>2583.9989247643748</v>
      </c>
      <c r="L178" s="427">
        <f t="shared" si="20"/>
        <v>330.46950048030749</v>
      </c>
      <c r="M178" s="427">
        <f t="shared" si="20"/>
        <v>450.64022792769202</v>
      </c>
      <c r="N178" s="427">
        <f t="shared" si="20"/>
        <v>515.47593023637694</v>
      </c>
      <c r="AB178" s="94"/>
      <c r="AC178" s="94"/>
      <c r="AD178" s="94"/>
      <c r="AE178" s="94"/>
      <c r="AF178" s="94"/>
      <c r="AG178" s="94"/>
      <c r="AH178" s="94"/>
    </row>
    <row r="179" spans="2:34" s="27" customFormat="1" ht="13.5" thickBot="1" x14ac:dyDescent="0.4">
      <c r="B179" s="28"/>
      <c r="C179" s="27" t="str" cm="1">
        <f t="array" ref="C179">INDEX('List Values'!$B$2:$B$20,(1+ROUNDDOWN((ROW()-ROW($C$127))*1/6,2)))</f>
        <v>Rubber Compounding</v>
      </c>
      <c r="D179" s="411" t="s">
        <v>74</v>
      </c>
      <c r="E179" s="411" t="s">
        <v>72</v>
      </c>
      <c r="F179" s="428">
        <f t="shared" si="18"/>
        <v>456</v>
      </c>
      <c r="G179" s="428">
        <f t="shared" si="18"/>
        <v>621.81818181818187</v>
      </c>
      <c r="H179" s="428">
        <f t="shared" si="18"/>
        <v>665.7600000000001</v>
      </c>
      <c r="I179" s="426">
        <f t="shared" si="19"/>
        <v>1522.0293724966625</v>
      </c>
      <c r="J179" s="426">
        <f t="shared" si="19"/>
        <v>2075.4945988590853</v>
      </c>
      <c r="K179" s="426">
        <f t="shared" si="19"/>
        <v>2222.1628838451275</v>
      </c>
      <c r="L179" s="427">
        <f t="shared" si="20"/>
        <v>350.87719298245617</v>
      </c>
      <c r="M179" s="427">
        <f t="shared" si="20"/>
        <v>478.46889952153111</v>
      </c>
      <c r="N179" s="427">
        <f t="shared" si="20"/>
        <v>512.28070175438609</v>
      </c>
      <c r="AB179" s="94"/>
      <c r="AC179" s="94"/>
      <c r="AD179" s="94"/>
      <c r="AE179" s="94"/>
      <c r="AF179" s="94"/>
      <c r="AG179" s="94"/>
      <c r="AH179" s="94"/>
    </row>
    <row r="180" spans="2:34" s="27" customFormat="1" ht="13.5" thickBot="1" x14ac:dyDescent="0.4">
      <c r="B180" s="28"/>
      <c r="C180" s="27" t="str" cm="1">
        <f t="array" ref="C180">INDEX('List Values'!$B$2:$B$20,(1+ROUNDDOWN((ROW()-ROW($C$127))*1/6,2)))</f>
        <v>Rubber Compounding</v>
      </c>
      <c r="D180" s="411" t="s">
        <v>74</v>
      </c>
      <c r="E180" s="411" t="s">
        <v>73</v>
      </c>
      <c r="F180" s="428">
        <f t="shared" si="18"/>
        <v>456</v>
      </c>
      <c r="G180" s="428">
        <f t="shared" si="18"/>
        <v>621.81818181818187</v>
      </c>
      <c r="H180" s="428">
        <f t="shared" si="18"/>
        <v>711.28205128205116</v>
      </c>
      <c r="I180" s="426">
        <f t="shared" si="19"/>
        <v>3044.058744993325</v>
      </c>
      <c r="J180" s="426">
        <f t="shared" si="19"/>
        <v>4150.9891977181705</v>
      </c>
      <c r="K180" s="426">
        <f t="shared" si="19"/>
        <v>4748.2112902673653</v>
      </c>
      <c r="L180" s="427">
        <f t="shared" si="20"/>
        <v>396.59071142807448</v>
      </c>
      <c r="M180" s="427">
        <f t="shared" si="20"/>
        <v>540.80551558373793</v>
      </c>
      <c r="N180" s="427">
        <f t="shared" si="20"/>
        <v>618.61371654379127</v>
      </c>
      <c r="AB180" s="94"/>
      <c r="AC180" s="94"/>
      <c r="AD180" s="94"/>
      <c r="AE180" s="94"/>
      <c r="AF180" s="94"/>
      <c r="AG180" s="94"/>
      <c r="AH180" s="94"/>
    </row>
    <row r="181" spans="2:34" s="27" customFormat="1" ht="13.5" thickBot="1" x14ac:dyDescent="0.4">
      <c r="B181" s="28"/>
      <c r="C181" s="27" t="str" cm="1">
        <f t="array" ref="C181">INDEX('List Values'!$B$2:$B$20,(1+ROUNDDOWN((ROW()-ROW($C$127))*1/6,2)))</f>
        <v>Rubber Converting</v>
      </c>
      <c r="D181" s="411" t="s">
        <v>57</v>
      </c>
      <c r="E181" s="411" t="s">
        <v>72</v>
      </c>
      <c r="F181" s="428">
        <f t="shared" si="18"/>
        <v>47.584263800480031</v>
      </c>
      <c r="G181" s="428">
        <f t="shared" si="18"/>
        <v>64.887632455200034</v>
      </c>
      <c r="H181" s="428">
        <f t="shared" si="18"/>
        <v>69.473025148700842</v>
      </c>
      <c r="I181" s="426">
        <f t="shared" si="19"/>
        <v>761.01468624833126</v>
      </c>
      <c r="J181" s="426">
        <f t="shared" si="19"/>
        <v>1037.7472994295426</v>
      </c>
      <c r="K181" s="426">
        <f t="shared" si="19"/>
        <v>1111.0814419225637</v>
      </c>
      <c r="L181" s="427">
        <f t="shared" si="20"/>
        <v>44.784034884406125</v>
      </c>
      <c r="M181" s="427">
        <f t="shared" si="20"/>
        <v>61.069138478735631</v>
      </c>
      <c r="N181" s="427">
        <f t="shared" si="20"/>
        <v>65.384690931232953</v>
      </c>
      <c r="AB181" s="94"/>
      <c r="AC181" s="94"/>
      <c r="AD181" s="94"/>
      <c r="AE181" s="94"/>
      <c r="AF181" s="94"/>
      <c r="AG181" s="94"/>
      <c r="AH181" s="94"/>
    </row>
    <row r="182" spans="2:34" s="27" customFormat="1" ht="13.5" thickBot="1" x14ac:dyDescent="0.4">
      <c r="B182" s="28"/>
      <c r="C182" s="27" t="str" cm="1">
        <f t="array" ref="C182">INDEX('List Values'!$B$2:$B$20,(1+ROUNDDOWN((ROW()-ROW($C$127))*1/6,2)))</f>
        <v>Rubber Converting</v>
      </c>
      <c r="D182" s="411" t="s">
        <v>57</v>
      </c>
      <c r="E182" s="411" t="s">
        <v>73</v>
      </c>
      <c r="F182" s="428">
        <f t="shared" si="18"/>
        <v>912</v>
      </c>
      <c r="G182" s="428">
        <f t="shared" si="18"/>
        <v>1243.6363636363637</v>
      </c>
      <c r="H182" s="428">
        <f t="shared" si="18"/>
        <v>1520</v>
      </c>
      <c r="I182" s="426">
        <f t="shared" si="19"/>
        <v>1522.0293724966625</v>
      </c>
      <c r="J182" s="426">
        <f t="shared" si="19"/>
        <v>2075.4945988590853</v>
      </c>
      <c r="K182" s="426">
        <f t="shared" si="19"/>
        <v>2536.7156208277706</v>
      </c>
      <c r="L182" s="427">
        <f t="shared" si="20"/>
        <v>570.28514257128563</v>
      </c>
      <c r="M182" s="427">
        <f t="shared" si="20"/>
        <v>777.66155805175322</v>
      </c>
      <c r="N182" s="427">
        <f t="shared" si="20"/>
        <v>950.47523761880939</v>
      </c>
      <c r="AB182" s="94"/>
      <c r="AC182" s="94"/>
      <c r="AD182" s="94"/>
      <c r="AE182" s="94"/>
      <c r="AF182" s="94"/>
      <c r="AG182" s="94"/>
      <c r="AH182" s="94"/>
    </row>
    <row r="183" spans="2:34" s="27" customFormat="1" ht="13.5" thickBot="1" x14ac:dyDescent="0.4">
      <c r="B183" s="28"/>
      <c r="C183" s="27" t="str" cm="1">
        <f t="array" ref="C183">INDEX('List Values'!$B$2:$B$20,(1+ROUNDDOWN((ROW()-ROW($C$127))*1/6,2)))</f>
        <v>Rubber Converting</v>
      </c>
      <c r="D183" s="411" t="s">
        <v>168</v>
      </c>
      <c r="E183" s="411" t="s">
        <v>72</v>
      </c>
      <c r="F183" s="428">
        <f t="shared" si="18"/>
        <v>43.07862882187208</v>
      </c>
      <c r="G183" s="428">
        <f t="shared" si="18"/>
        <v>58.743584757098297</v>
      </c>
      <c r="H183" s="428">
        <f t="shared" si="18"/>
        <v>62.894798079933238</v>
      </c>
      <c r="I183" s="426">
        <f t="shared" si="19"/>
        <v>828.29554574638871</v>
      </c>
      <c r="J183" s="426">
        <f t="shared" si="19"/>
        <v>1129.4939260178028</v>
      </c>
      <c r="K183" s="426">
        <f t="shared" si="19"/>
        <v>1209.3114967897272</v>
      </c>
      <c r="L183" s="427">
        <f t="shared" si="20"/>
        <v>40.948925744440274</v>
      </c>
      <c r="M183" s="427">
        <f t="shared" si="20"/>
        <v>55.83944419696401</v>
      </c>
      <c r="N183" s="427">
        <f t="shared" si="20"/>
        <v>59.785431586882801</v>
      </c>
      <c r="AB183" s="94"/>
      <c r="AC183" s="94"/>
      <c r="AD183" s="94"/>
      <c r="AE183" s="94"/>
      <c r="AF183" s="94"/>
      <c r="AG183" s="94"/>
      <c r="AH183" s="94"/>
    </row>
    <row r="184" spans="2:34" s="27" customFormat="1" ht="13.5" thickBot="1" x14ac:dyDescent="0.4">
      <c r="B184" s="28"/>
      <c r="C184" s="27" t="str" cm="1">
        <f t="array" ref="C184">INDEX('List Values'!$B$2:$B$20,(1+ROUNDDOWN((ROW()-ROW($C$127))*1/6,2)))</f>
        <v>Rubber Converting</v>
      </c>
      <c r="D184" s="411" t="s">
        <v>168</v>
      </c>
      <c r="E184" s="411" t="s">
        <v>73</v>
      </c>
      <c r="F184" s="428">
        <f t="shared" si="18"/>
        <v>825.64500000000021</v>
      </c>
      <c r="G184" s="428">
        <f t="shared" si="18"/>
        <v>1125.8795454545457</v>
      </c>
      <c r="H184" s="428">
        <f t="shared" si="18"/>
        <v>1376.0750000000003</v>
      </c>
      <c r="I184" s="426">
        <f t="shared" si="19"/>
        <v>1656.5910914927774</v>
      </c>
      <c r="J184" s="426">
        <f t="shared" si="19"/>
        <v>2258.9878520356056</v>
      </c>
      <c r="K184" s="426">
        <f t="shared" si="19"/>
        <v>2760.9851524879618</v>
      </c>
      <c r="L184" s="427">
        <f t="shared" si="20"/>
        <v>551.01775226908717</v>
      </c>
      <c r="M184" s="427">
        <f t="shared" si="20"/>
        <v>751.38784400330064</v>
      </c>
      <c r="N184" s="427">
        <f t="shared" si="20"/>
        <v>918.36292044847858</v>
      </c>
      <c r="AB184" s="94"/>
      <c r="AC184" s="94"/>
      <c r="AD184" s="94"/>
      <c r="AE184" s="94"/>
      <c r="AF184" s="94"/>
      <c r="AG184" s="94"/>
      <c r="AH184" s="94"/>
    </row>
    <row r="185" spans="2:34" s="27" customFormat="1" ht="13.5" thickBot="1" x14ac:dyDescent="0.4">
      <c r="B185" s="28"/>
      <c r="C185" s="27" t="str" cm="1">
        <f t="array" ref="C185">INDEX('List Values'!$B$2:$B$20,(1+ROUNDDOWN((ROW()-ROW($C$127))*1/6,2)))</f>
        <v>Rubber Converting</v>
      </c>
      <c r="D185" s="411" t="s">
        <v>74</v>
      </c>
      <c r="E185" s="411" t="s">
        <v>72</v>
      </c>
      <c r="F185" s="428">
        <f t="shared" si="18"/>
        <v>912</v>
      </c>
      <c r="G185" s="428">
        <f t="shared" si="18"/>
        <v>1243.6363636363637</v>
      </c>
      <c r="H185" s="428">
        <f t="shared" si="18"/>
        <v>1331.5200000000002</v>
      </c>
      <c r="I185" s="426">
        <f t="shared" si="19"/>
        <v>1522.0293724966625</v>
      </c>
      <c r="J185" s="426">
        <f t="shared" si="19"/>
        <v>2075.4945988590853</v>
      </c>
      <c r="K185" s="426">
        <f t="shared" si="19"/>
        <v>2222.1628838451275</v>
      </c>
      <c r="L185" s="427">
        <f t="shared" si="20"/>
        <v>570.28514257128563</v>
      </c>
      <c r="M185" s="427">
        <f t="shared" si="20"/>
        <v>777.66155805175322</v>
      </c>
      <c r="N185" s="427">
        <f t="shared" si="20"/>
        <v>832.61630815407716</v>
      </c>
      <c r="AB185" s="94"/>
      <c r="AC185" s="94"/>
      <c r="AD185" s="94"/>
      <c r="AE185" s="94"/>
      <c r="AF185" s="94"/>
      <c r="AG185" s="94"/>
      <c r="AH185" s="94"/>
    </row>
    <row r="186" spans="2:34" s="27" customFormat="1" ht="13.5" thickBot="1" x14ac:dyDescent="0.4">
      <c r="B186" s="28"/>
      <c r="C186" s="27" t="str" cm="1">
        <f t="array" ref="C186">INDEX('List Values'!$B$2:$B$20,(1+ROUNDDOWN((ROW()-ROW($C$127))*1/6,2)))</f>
        <v>Rubber Converting</v>
      </c>
      <c r="D186" s="411" t="s">
        <v>74</v>
      </c>
      <c r="E186" s="411" t="s">
        <v>73</v>
      </c>
      <c r="F186" s="428">
        <f t="shared" si="18"/>
        <v>912</v>
      </c>
      <c r="G186" s="428">
        <f t="shared" si="18"/>
        <v>1243.6363636363637</v>
      </c>
      <c r="H186" s="428">
        <f t="shared" si="18"/>
        <v>1520</v>
      </c>
      <c r="I186" s="426">
        <f t="shared" si="19"/>
        <v>3044.058744993325</v>
      </c>
      <c r="J186" s="426">
        <f t="shared" si="19"/>
        <v>4150.9891977181705</v>
      </c>
      <c r="K186" s="426">
        <f t="shared" si="19"/>
        <v>5073.4312416555413</v>
      </c>
      <c r="L186" s="427">
        <f t="shared" si="20"/>
        <v>701.75438596491233</v>
      </c>
      <c r="M186" s="427">
        <f t="shared" si="20"/>
        <v>956.93779904306223</v>
      </c>
      <c r="N186" s="427">
        <f t="shared" si="20"/>
        <v>1169.5906432748538</v>
      </c>
      <c r="AB186" s="94"/>
      <c r="AC186" s="94"/>
      <c r="AD186" s="94"/>
      <c r="AE186" s="94"/>
      <c r="AF186" s="94"/>
      <c r="AG186" s="94"/>
      <c r="AH186" s="94"/>
    </row>
    <row r="187" spans="2:34" s="27" customFormat="1" ht="13.5" thickBot="1" x14ac:dyDescent="0.4">
      <c r="B187" s="28"/>
      <c r="C187" s="27" t="str" cm="1">
        <f t="array" ref="C187">INDEX('List Values'!$B$2:$B$20,(1+ROUNDDOWN((ROW()-ROW($C$127))*1/6,2)))</f>
        <v>Application of paints and coatings - Spray application</v>
      </c>
      <c r="D187" s="411" t="s">
        <v>57</v>
      </c>
      <c r="E187" s="411" t="s">
        <v>72</v>
      </c>
      <c r="F187" s="428">
        <f t="shared" ref="F187:H206" si="21">F$125/F65</f>
        <v>2.0633484162895925</v>
      </c>
      <c r="G187" s="428">
        <f t="shared" si="21"/>
        <v>2.8136569313039903</v>
      </c>
      <c r="H187" s="428">
        <f t="shared" si="21"/>
        <v>3.0124886877828057</v>
      </c>
      <c r="I187" s="426">
        <f t="shared" ref="I187:K206" si="22">IFERROR(I$125/I65,"")</f>
        <v>761.01468624833126</v>
      </c>
      <c r="J187" s="426">
        <f t="shared" si="22"/>
        <v>1037.7472994295426</v>
      </c>
      <c r="K187" s="426">
        <f t="shared" si="22"/>
        <v>1111.0814419225637</v>
      </c>
      <c r="L187" s="427">
        <f t="shared" ref="L187:N206" si="23">L$125/L65</f>
        <v>2.0577691616215219</v>
      </c>
      <c r="M187" s="427">
        <f t="shared" si="23"/>
        <v>2.8060488567566213</v>
      </c>
      <c r="N187" s="427">
        <f t="shared" si="23"/>
        <v>3.0043429759674227</v>
      </c>
      <c r="AB187" s="94"/>
      <c r="AC187" s="94"/>
      <c r="AD187" s="94"/>
      <c r="AE187" s="94"/>
      <c r="AF187" s="94"/>
      <c r="AG187" s="94"/>
      <c r="AH187" s="94"/>
    </row>
    <row r="188" spans="2:34" s="27" customFormat="1" ht="13.5" thickBot="1" x14ac:dyDescent="0.4">
      <c r="B188" s="28"/>
      <c r="C188" s="27" t="str" cm="1">
        <f t="array" ref="C188">INDEX('List Values'!$B$2:$B$20,(1+ROUNDDOWN((ROW()-ROW($C$127))*1/6,2)))</f>
        <v>Application of paints and coatings - Spray application</v>
      </c>
      <c r="D188" s="411" t="s">
        <v>57</v>
      </c>
      <c r="E188" s="411" t="s">
        <v>73</v>
      </c>
      <c r="F188" s="428">
        <f t="shared" si="21"/>
        <v>134.91124260355028</v>
      </c>
      <c r="G188" s="428">
        <f t="shared" si="21"/>
        <v>183.96987627756857</v>
      </c>
      <c r="H188" s="428">
        <f t="shared" si="21"/>
        <v>196.97041420118344</v>
      </c>
      <c r="I188" s="426">
        <f t="shared" si="22"/>
        <v>1522.0293724966625</v>
      </c>
      <c r="J188" s="426">
        <f t="shared" si="22"/>
        <v>2075.4945988590853</v>
      </c>
      <c r="K188" s="426">
        <f t="shared" si="22"/>
        <v>2222.1628838451275</v>
      </c>
      <c r="L188" s="427">
        <f t="shared" si="23"/>
        <v>123.92651375149472</v>
      </c>
      <c r="M188" s="427">
        <f t="shared" si="23"/>
        <v>168.99070057022007</v>
      </c>
      <c r="N188" s="427">
        <f t="shared" si="23"/>
        <v>180.93271007718232</v>
      </c>
      <c r="AB188" s="94"/>
      <c r="AC188" s="94"/>
      <c r="AD188" s="94"/>
      <c r="AE188" s="94"/>
      <c r="AF188" s="94"/>
      <c r="AG188" s="94"/>
      <c r="AH188" s="94"/>
    </row>
    <row r="189" spans="2:34" s="27" customFormat="1" ht="13.5" thickBot="1" x14ac:dyDescent="0.4">
      <c r="B189" s="28"/>
      <c r="C189" s="27" t="str" cm="1">
        <f t="array" ref="C189">INDEX('List Values'!$B$2:$B$20,(1+ROUNDDOWN((ROW()-ROW($C$127))*1/6,2)))</f>
        <v>Application of paints and coatings - Spray application</v>
      </c>
      <c r="D189" s="411" t="s">
        <v>168</v>
      </c>
      <c r="E189" s="411" t="s">
        <v>72</v>
      </c>
      <c r="F189" s="428">
        <f t="shared" si="21"/>
        <v>1.8679751131221722</v>
      </c>
      <c r="G189" s="428">
        <f t="shared" si="21"/>
        <v>2.5472387906211438</v>
      </c>
      <c r="H189" s="428">
        <f t="shared" si="21"/>
        <v>2.7272436651583711</v>
      </c>
      <c r="I189" s="426">
        <f t="shared" si="22"/>
        <v>828.29554574638871</v>
      </c>
      <c r="J189" s="426">
        <f t="shared" si="22"/>
        <v>1129.4939260178028</v>
      </c>
      <c r="K189" s="426">
        <f t="shared" si="22"/>
        <v>1209.3114967897272</v>
      </c>
      <c r="L189" s="427">
        <f t="shared" si="23"/>
        <v>1.8637719279236331</v>
      </c>
      <c r="M189" s="427">
        <f t="shared" si="23"/>
        <v>2.541507174441318</v>
      </c>
      <c r="N189" s="427">
        <f t="shared" si="23"/>
        <v>2.7211070147685046</v>
      </c>
      <c r="AB189" s="94"/>
      <c r="AC189" s="94"/>
      <c r="AD189" s="94"/>
      <c r="AE189" s="94"/>
      <c r="AF189" s="94"/>
      <c r="AG189" s="94"/>
      <c r="AH189" s="94"/>
    </row>
    <row r="190" spans="2:34" s="27" customFormat="1" ht="13.5" thickBot="1" x14ac:dyDescent="0.4">
      <c r="B190" s="28"/>
      <c r="C190" s="27" t="str" cm="1">
        <f t="array" ref="C190">INDEX('List Values'!$B$2:$B$20,(1+ROUNDDOWN((ROW()-ROW($C$127))*1/6,2)))</f>
        <v>Application of paints and coatings - Spray application</v>
      </c>
      <c r="D190" s="411" t="s">
        <v>168</v>
      </c>
      <c r="E190" s="411" t="s">
        <v>73</v>
      </c>
      <c r="F190" s="428">
        <f t="shared" si="21"/>
        <v>122.13683431952664</v>
      </c>
      <c r="G190" s="428">
        <f t="shared" si="21"/>
        <v>166.55022861753631</v>
      </c>
      <c r="H190" s="428">
        <f t="shared" si="21"/>
        <v>178.31977810650886</v>
      </c>
      <c r="I190" s="426">
        <f t="shared" si="22"/>
        <v>1656.5910914927774</v>
      </c>
      <c r="J190" s="426">
        <f t="shared" si="22"/>
        <v>2258.9878520356056</v>
      </c>
      <c r="K190" s="426">
        <f t="shared" si="22"/>
        <v>2418.6229935794549</v>
      </c>
      <c r="L190" s="427">
        <f t="shared" si="23"/>
        <v>113.75027554281937</v>
      </c>
      <c r="M190" s="427">
        <f t="shared" si="23"/>
        <v>155.11401210384457</v>
      </c>
      <c r="N190" s="427">
        <f t="shared" si="23"/>
        <v>166.07540229251626</v>
      </c>
      <c r="AB190" s="94"/>
      <c r="AC190" s="94"/>
      <c r="AD190" s="94"/>
      <c r="AE190" s="94"/>
      <c r="AF190" s="94"/>
      <c r="AG190" s="94"/>
      <c r="AH190" s="94"/>
    </row>
    <row r="191" spans="2:34" s="27" customFormat="1" ht="13.5" thickBot="1" x14ac:dyDescent="0.4">
      <c r="B191" s="28"/>
      <c r="C191" s="27" t="str" cm="1">
        <f t="array" ref="C191">INDEX('List Values'!$B$2:$B$20,(1+ROUNDDOWN((ROW()-ROW($C$127))*1/6,2)))</f>
        <v>Application of paints and coatings - Spray application</v>
      </c>
      <c r="D191" s="411" t="s">
        <v>74</v>
      </c>
      <c r="E191" s="411" t="s">
        <v>72</v>
      </c>
      <c r="F191" s="428">
        <f t="shared" si="21"/>
        <v>134.91124260355028</v>
      </c>
      <c r="G191" s="428">
        <f t="shared" si="21"/>
        <v>183.96987627756857</v>
      </c>
      <c r="H191" s="428">
        <f t="shared" si="21"/>
        <v>196.97041420118344</v>
      </c>
      <c r="I191" s="426">
        <f t="shared" si="22"/>
        <v>1522.0293724966625</v>
      </c>
      <c r="J191" s="426">
        <f t="shared" si="22"/>
        <v>2075.4945988590853</v>
      </c>
      <c r="K191" s="426">
        <f t="shared" si="22"/>
        <v>2222.1628838451275</v>
      </c>
      <c r="L191" s="427">
        <f t="shared" si="23"/>
        <v>123.92651375149472</v>
      </c>
      <c r="M191" s="427">
        <f t="shared" si="23"/>
        <v>168.99070057022007</v>
      </c>
      <c r="N191" s="427">
        <f t="shared" si="23"/>
        <v>180.93271007718232</v>
      </c>
      <c r="AB191" s="94"/>
      <c r="AC191" s="94"/>
      <c r="AD191" s="94"/>
      <c r="AE191" s="94"/>
      <c r="AF191" s="94"/>
      <c r="AG191" s="94"/>
      <c r="AH191" s="94"/>
    </row>
    <row r="192" spans="2:34" s="27" customFormat="1" ht="13.5" thickBot="1" x14ac:dyDescent="0.4">
      <c r="B192" s="28"/>
      <c r="C192" s="27" t="str" cm="1">
        <f t="array" ref="C192">INDEX('List Values'!$B$2:$B$20,(1+ROUNDDOWN((ROW()-ROW($C$127))*1/6,2)))</f>
        <v>Application of paints and coatings - Spray application</v>
      </c>
      <c r="D192" s="411" t="s">
        <v>74</v>
      </c>
      <c r="E192" s="411" t="s">
        <v>73</v>
      </c>
      <c r="F192" s="428">
        <f t="shared" si="21"/>
        <v>134.91124260355028</v>
      </c>
      <c r="G192" s="428">
        <f t="shared" si="21"/>
        <v>183.96987627756857</v>
      </c>
      <c r="H192" s="428">
        <f t="shared" si="21"/>
        <v>196.97041420118344</v>
      </c>
      <c r="I192" s="426">
        <f t="shared" si="22"/>
        <v>3044.058744993325</v>
      </c>
      <c r="J192" s="426">
        <f t="shared" si="22"/>
        <v>4150.9891977181705</v>
      </c>
      <c r="K192" s="426">
        <f t="shared" si="22"/>
        <v>4444.3257676902549</v>
      </c>
      <c r="L192" s="427">
        <f t="shared" si="23"/>
        <v>129.18578956314806</v>
      </c>
      <c r="M192" s="427">
        <f t="shared" si="23"/>
        <v>176.16244031338368</v>
      </c>
      <c r="N192" s="427">
        <f t="shared" si="23"/>
        <v>188.61125276219619</v>
      </c>
      <c r="AB192" s="94"/>
      <c r="AC192" s="94"/>
      <c r="AD192" s="94"/>
      <c r="AE192" s="94"/>
      <c r="AF192" s="94"/>
      <c r="AG192" s="94"/>
      <c r="AH192" s="94"/>
    </row>
    <row r="193" spans="2:34" s="27" customFormat="1" ht="13.5" thickBot="1" x14ac:dyDescent="0.4">
      <c r="B193" s="28"/>
      <c r="C193" s="27" t="str" cm="1">
        <f t="array" ref="C193">INDEX('List Values'!$B$2:$B$20,(1+ROUNDDOWN((ROW()-ROW($C$127))*1/6,2)))</f>
        <v>Application of paints and coatings - Non spray application</v>
      </c>
      <c r="D193" s="411" t="s">
        <v>57</v>
      </c>
      <c r="E193" s="411" t="s">
        <v>72</v>
      </c>
      <c r="F193" s="428">
        <f t="shared" si="21"/>
        <v>2491.8032786885246</v>
      </c>
      <c r="G193" s="428">
        <f t="shared" si="21"/>
        <v>3397.9135618479881</v>
      </c>
      <c r="H193" s="428">
        <f t="shared" si="21"/>
        <v>3638.032786885246</v>
      </c>
      <c r="I193" s="426">
        <f t="shared" si="22"/>
        <v>761.01468624833126</v>
      </c>
      <c r="J193" s="426">
        <f t="shared" si="22"/>
        <v>1037.7472994295426</v>
      </c>
      <c r="K193" s="426">
        <f t="shared" si="22"/>
        <v>1111.0814419225637</v>
      </c>
      <c r="L193" s="427">
        <f t="shared" si="23"/>
        <v>582.97110713372547</v>
      </c>
      <c r="M193" s="427">
        <f t="shared" si="23"/>
        <v>794.96060063689833</v>
      </c>
      <c r="N193" s="427">
        <f t="shared" si="23"/>
        <v>851.13781641523917</v>
      </c>
      <c r="AB193" s="94"/>
      <c r="AC193" s="94"/>
      <c r="AD193" s="94"/>
      <c r="AE193" s="94"/>
      <c r="AF193" s="94"/>
      <c r="AG193" s="94"/>
      <c r="AH193" s="94"/>
    </row>
    <row r="194" spans="2:34" s="27" customFormat="1" ht="13.5" thickBot="1" x14ac:dyDescent="0.4">
      <c r="B194" s="28"/>
      <c r="C194" s="27" t="str" cm="1">
        <f t="array" ref="C194">INDEX('List Values'!$B$2:$B$20,(1+ROUNDDOWN((ROW()-ROW($C$127))*1/6,2)))</f>
        <v>Application of paints and coatings - Non spray application</v>
      </c>
      <c r="D194" s="411" t="s">
        <v>57</v>
      </c>
      <c r="E194" s="411" t="s">
        <v>73</v>
      </c>
      <c r="F194" s="428">
        <f t="shared" si="21"/>
        <v>11400</v>
      </c>
      <c r="G194" s="428">
        <f t="shared" si="21"/>
        <v>15545.454545454546</v>
      </c>
      <c r="H194" s="428">
        <f t="shared" si="21"/>
        <v>16644</v>
      </c>
      <c r="I194" s="426">
        <f t="shared" si="22"/>
        <v>1522.0293724966625</v>
      </c>
      <c r="J194" s="426">
        <f t="shared" si="22"/>
        <v>2075.4945988590853</v>
      </c>
      <c r="K194" s="426">
        <f t="shared" si="22"/>
        <v>2222.1628838451275</v>
      </c>
      <c r="L194" s="427">
        <f t="shared" si="23"/>
        <v>1342.7561837455833</v>
      </c>
      <c r="M194" s="427">
        <f t="shared" si="23"/>
        <v>1831.0311596530682</v>
      </c>
      <c r="N194" s="427">
        <f t="shared" si="23"/>
        <v>1960.4240282685516</v>
      </c>
      <c r="AB194" s="94"/>
      <c r="AC194" s="94"/>
      <c r="AD194" s="94"/>
      <c r="AE194" s="94"/>
      <c r="AF194" s="94"/>
      <c r="AG194" s="94"/>
      <c r="AH194" s="94"/>
    </row>
    <row r="195" spans="2:34" s="27" customFormat="1" ht="13.5" thickBot="1" x14ac:dyDescent="0.4">
      <c r="B195" s="28"/>
      <c r="C195" s="27" t="str" cm="1">
        <f t="array" ref="C195">INDEX('List Values'!$B$2:$B$20,(1+ROUNDDOWN((ROW()-ROW($C$127))*1/6,2)))</f>
        <v>Application of paints and coatings - Non spray application</v>
      </c>
      <c r="D195" s="411" t="s">
        <v>168</v>
      </c>
      <c r="E195" s="411" t="s">
        <v>72</v>
      </c>
      <c r="F195" s="428">
        <f t="shared" si="21"/>
        <v>2255.8606557377052</v>
      </c>
      <c r="G195" s="428">
        <f t="shared" si="21"/>
        <v>3076.1736214605071</v>
      </c>
      <c r="H195" s="428">
        <f t="shared" si="21"/>
        <v>3293.55655737705</v>
      </c>
      <c r="I195" s="426">
        <f t="shared" si="22"/>
        <v>828.29554574638871</v>
      </c>
      <c r="J195" s="426">
        <f t="shared" si="22"/>
        <v>1129.4939260178028</v>
      </c>
      <c r="K195" s="426">
        <f t="shared" si="22"/>
        <v>1209.3114967897272</v>
      </c>
      <c r="L195" s="427">
        <f t="shared" si="23"/>
        <v>605.84458467860293</v>
      </c>
      <c r="M195" s="427">
        <f t="shared" si="23"/>
        <v>826.15170637991321</v>
      </c>
      <c r="N195" s="427">
        <f t="shared" si="23"/>
        <v>884.53309363076028</v>
      </c>
      <c r="AB195" s="94"/>
      <c r="AC195" s="94"/>
      <c r="AD195" s="94"/>
      <c r="AE195" s="94"/>
      <c r="AF195" s="94"/>
      <c r="AG195" s="94"/>
      <c r="AH195" s="94"/>
    </row>
    <row r="196" spans="2:34" s="27" customFormat="1" ht="13.5" thickBot="1" x14ac:dyDescent="0.4">
      <c r="B196" s="28"/>
      <c r="C196" s="27" t="str" cm="1">
        <f t="array" ref="C196">INDEX('List Values'!$B$2:$B$20,(1+ROUNDDOWN((ROW()-ROW($C$127))*1/6,2)))</f>
        <v>Application of paints and coatings - Non spray application</v>
      </c>
      <c r="D196" s="411" t="s">
        <v>168</v>
      </c>
      <c r="E196" s="411" t="s">
        <v>73</v>
      </c>
      <c r="F196" s="428">
        <f t="shared" si="21"/>
        <v>10320.562500000002</v>
      </c>
      <c r="G196" s="428">
        <f t="shared" si="21"/>
        <v>14073.494318181818</v>
      </c>
      <c r="H196" s="428">
        <f t="shared" si="21"/>
        <v>15068.02125</v>
      </c>
      <c r="I196" s="426">
        <f t="shared" si="22"/>
        <v>1656.5910914927774</v>
      </c>
      <c r="J196" s="426">
        <f t="shared" si="22"/>
        <v>2258.9878520356056</v>
      </c>
      <c r="K196" s="426">
        <f t="shared" si="22"/>
        <v>2418.6229935794549</v>
      </c>
      <c r="L196" s="427">
        <f t="shared" si="23"/>
        <v>1427.4636929460585</v>
      </c>
      <c r="M196" s="427">
        <f t="shared" si="23"/>
        <v>1946.5413994718976</v>
      </c>
      <c r="N196" s="427">
        <f t="shared" si="23"/>
        <v>2084.0969917012453</v>
      </c>
      <c r="AB196" s="94"/>
      <c r="AC196" s="94"/>
      <c r="AD196" s="94"/>
      <c r="AE196" s="94"/>
      <c r="AF196" s="94"/>
      <c r="AG196" s="94"/>
      <c r="AH196" s="94"/>
    </row>
    <row r="197" spans="2:34" s="27" customFormat="1" ht="13.5" thickBot="1" x14ac:dyDescent="0.4">
      <c r="B197" s="28"/>
      <c r="C197" s="27" t="str" cm="1">
        <f t="array" ref="C197">INDEX('List Values'!$B$2:$B$20,(1+ROUNDDOWN((ROW()-ROW($C$127))*1/6,2)))</f>
        <v>Application of paints and coatings - Non spray application</v>
      </c>
      <c r="D197" s="411" t="s">
        <v>74</v>
      </c>
      <c r="E197" s="411" t="s">
        <v>72</v>
      </c>
      <c r="F197" s="428">
        <f t="shared" si="21"/>
        <v>11400</v>
      </c>
      <c r="G197" s="428">
        <f t="shared" si="21"/>
        <v>15545.454545454546</v>
      </c>
      <c r="H197" s="428">
        <f t="shared" si="21"/>
        <v>16644</v>
      </c>
      <c r="I197" s="426" t="str">
        <f t="shared" si="22"/>
        <v/>
      </c>
      <c r="J197" s="426" t="str">
        <f t="shared" si="22"/>
        <v/>
      </c>
      <c r="K197" s="426" t="str">
        <f t="shared" si="22"/>
        <v/>
      </c>
      <c r="L197" s="427">
        <f t="shared" si="23"/>
        <v>11400</v>
      </c>
      <c r="M197" s="427">
        <f t="shared" si="23"/>
        <v>15545.454545454546</v>
      </c>
      <c r="N197" s="427">
        <f t="shared" si="23"/>
        <v>16644</v>
      </c>
      <c r="AB197" s="94"/>
      <c r="AC197" s="94"/>
      <c r="AD197" s="94"/>
      <c r="AE197" s="94"/>
      <c r="AF197" s="94"/>
      <c r="AG197" s="94"/>
      <c r="AH197" s="94"/>
    </row>
    <row r="198" spans="2:34" s="27" customFormat="1" ht="13.5" thickBot="1" x14ac:dyDescent="0.4">
      <c r="B198" s="28"/>
      <c r="C198" s="27" t="str" cm="1">
        <f t="array" ref="C198">INDEX('List Values'!$B$2:$B$20,(1+ROUNDDOWN((ROW()-ROW($C$127))*1/6,2)))</f>
        <v>Application of paints and coatings - Non spray application</v>
      </c>
      <c r="D198" s="411" t="s">
        <v>74</v>
      </c>
      <c r="E198" s="411" t="s">
        <v>73</v>
      </c>
      <c r="F198" s="428">
        <f t="shared" si="21"/>
        <v>11400</v>
      </c>
      <c r="G198" s="428">
        <f t="shared" si="21"/>
        <v>15545.454545454546</v>
      </c>
      <c r="H198" s="428">
        <f t="shared" si="21"/>
        <v>16644</v>
      </c>
      <c r="I198" s="426" t="str">
        <f t="shared" si="22"/>
        <v/>
      </c>
      <c r="J198" s="426" t="str">
        <f t="shared" si="22"/>
        <v/>
      </c>
      <c r="K198" s="426" t="str">
        <f t="shared" si="22"/>
        <v/>
      </c>
      <c r="L198" s="427">
        <f t="shared" si="23"/>
        <v>11400</v>
      </c>
      <c r="M198" s="427">
        <f t="shared" si="23"/>
        <v>15545.454545454546</v>
      </c>
      <c r="N198" s="427">
        <f t="shared" si="23"/>
        <v>16644</v>
      </c>
      <c r="AB198" s="94"/>
      <c r="AC198" s="94"/>
      <c r="AD198" s="94"/>
      <c r="AE198" s="94"/>
      <c r="AF198" s="94"/>
      <c r="AG198" s="94"/>
      <c r="AH198" s="94"/>
    </row>
    <row r="199" spans="2:34" s="27" customFormat="1" ht="13.5" thickBot="1" x14ac:dyDescent="0.4">
      <c r="B199" s="28"/>
      <c r="C199" s="27" t="str" cm="1">
        <f t="array" ref="C199">INDEX('List Values'!$B$2:$B$20,(1+ROUNDDOWN((ROW()-ROW($C$127))*1/6,2)))</f>
        <v>Application of Adhesives and Sealants - Spray application</v>
      </c>
      <c r="D199" s="411" t="s">
        <v>57</v>
      </c>
      <c r="E199" s="411" t="s">
        <v>72</v>
      </c>
      <c r="F199" s="428">
        <f t="shared" si="21"/>
        <v>2.0633484162895925</v>
      </c>
      <c r="G199" s="428">
        <f t="shared" si="21"/>
        <v>2.8136569313039903</v>
      </c>
      <c r="H199" s="428">
        <f t="shared" si="21"/>
        <v>3.0124886877828057</v>
      </c>
      <c r="I199" s="426">
        <f t="shared" si="22"/>
        <v>761.01468624833126</v>
      </c>
      <c r="J199" s="426">
        <f t="shared" si="22"/>
        <v>1037.7472994295426</v>
      </c>
      <c r="K199" s="426">
        <f t="shared" si="22"/>
        <v>1111.0814419225637</v>
      </c>
      <c r="L199" s="427">
        <f t="shared" si="23"/>
        <v>2.0577691616215219</v>
      </c>
      <c r="M199" s="427">
        <f t="shared" si="23"/>
        <v>2.8060488567566213</v>
      </c>
      <c r="N199" s="427">
        <f t="shared" si="23"/>
        <v>3.0043429759674227</v>
      </c>
      <c r="AB199" s="94"/>
      <c r="AC199" s="94"/>
      <c r="AD199" s="94"/>
      <c r="AE199" s="94"/>
      <c r="AF199" s="94"/>
      <c r="AG199" s="94"/>
      <c r="AH199" s="94"/>
    </row>
    <row r="200" spans="2:34" s="27" customFormat="1" ht="13.5" thickBot="1" x14ac:dyDescent="0.4">
      <c r="B200" s="28"/>
      <c r="C200" s="27" t="str" cm="1">
        <f t="array" ref="C200">INDEX('List Values'!$B$2:$B$20,(1+ROUNDDOWN((ROW()-ROW($C$127))*1/6,2)))</f>
        <v>Application of Adhesives and Sealants - Spray application</v>
      </c>
      <c r="D200" s="411" t="s">
        <v>57</v>
      </c>
      <c r="E200" s="411" t="s">
        <v>73</v>
      </c>
      <c r="F200" s="428">
        <f t="shared" si="21"/>
        <v>22.463054187192121</v>
      </c>
      <c r="G200" s="428">
        <f t="shared" si="21"/>
        <v>30.631437527989256</v>
      </c>
      <c r="H200" s="428">
        <f t="shared" si="21"/>
        <v>35.340580941056565</v>
      </c>
      <c r="I200" s="426">
        <f t="shared" si="22"/>
        <v>1522.0293724966625</v>
      </c>
      <c r="J200" s="426">
        <f t="shared" si="22"/>
        <v>2075.4945988590853</v>
      </c>
      <c r="K200" s="426">
        <f t="shared" si="22"/>
        <v>2394.5720731089732</v>
      </c>
      <c r="L200" s="427">
        <f t="shared" si="23"/>
        <v>22.136352162177911</v>
      </c>
      <c r="M200" s="427">
        <f t="shared" si="23"/>
        <v>30.185934766606241</v>
      </c>
      <c r="N200" s="427">
        <f t="shared" si="23"/>
        <v>34.826588531012661</v>
      </c>
      <c r="AB200" s="94"/>
      <c r="AC200" s="94"/>
      <c r="AD200" s="94"/>
      <c r="AE200" s="94"/>
      <c r="AF200" s="94"/>
      <c r="AG200" s="94"/>
      <c r="AH200" s="94"/>
    </row>
    <row r="201" spans="2:34" s="27" customFormat="1" ht="13.5" thickBot="1" x14ac:dyDescent="0.4">
      <c r="B201" s="28"/>
      <c r="C201" s="27" t="str" cm="1">
        <f t="array" ref="C201">INDEX('List Values'!$B$2:$B$20,(1+ROUNDDOWN((ROW()-ROW($C$127))*1/6,2)))</f>
        <v>Application of Adhesives and Sealants - Spray application</v>
      </c>
      <c r="D201" s="411" t="s">
        <v>168</v>
      </c>
      <c r="E201" s="411" t="s">
        <v>72</v>
      </c>
      <c r="F201" s="428">
        <f t="shared" si="21"/>
        <v>1.8679751131221722</v>
      </c>
      <c r="G201" s="428">
        <f t="shared" si="21"/>
        <v>2.5472387906211438</v>
      </c>
      <c r="H201" s="428">
        <f t="shared" si="21"/>
        <v>2.7272436651583711</v>
      </c>
      <c r="I201" s="426">
        <f t="shared" si="22"/>
        <v>828.29554574638871</v>
      </c>
      <c r="J201" s="426">
        <f t="shared" si="22"/>
        <v>1129.4939260178028</v>
      </c>
      <c r="K201" s="426">
        <f t="shared" si="22"/>
        <v>1209.3114967897272</v>
      </c>
      <c r="L201" s="427">
        <f t="shared" si="23"/>
        <v>1.8637719279236331</v>
      </c>
      <c r="M201" s="427">
        <f t="shared" si="23"/>
        <v>2.541507174441318</v>
      </c>
      <c r="N201" s="427">
        <f t="shared" si="23"/>
        <v>2.7211070147685046</v>
      </c>
      <c r="AB201" s="94"/>
      <c r="AC201" s="94"/>
      <c r="AD201" s="94"/>
      <c r="AE201" s="94"/>
      <c r="AF201" s="94"/>
      <c r="AG201" s="94"/>
      <c r="AH201" s="94"/>
    </row>
    <row r="202" spans="2:34" s="27" customFormat="1" ht="13.5" thickBot="1" x14ac:dyDescent="0.4">
      <c r="B202" s="28"/>
      <c r="C202" s="27" t="str" cm="1">
        <f t="array" ref="C202">INDEX('List Values'!$B$2:$B$20,(1+ROUNDDOWN((ROW()-ROW($C$127))*1/6,2)))</f>
        <v>Application of Adhesives and Sealants - Spray application</v>
      </c>
      <c r="D202" s="411" t="s">
        <v>168</v>
      </c>
      <c r="E202" s="411" t="s">
        <v>73</v>
      </c>
      <c r="F202" s="428">
        <f t="shared" si="21"/>
        <v>20.336083743842373</v>
      </c>
      <c r="G202" s="428">
        <f t="shared" si="21"/>
        <v>27.731023287057781</v>
      </c>
      <c r="H202" s="428">
        <f t="shared" si="21"/>
        <v>31.994269683200283</v>
      </c>
      <c r="I202" s="426">
        <f t="shared" si="22"/>
        <v>1656.5910914927774</v>
      </c>
      <c r="J202" s="426">
        <f t="shared" si="22"/>
        <v>2258.9878520356056</v>
      </c>
      <c r="K202" s="426">
        <f t="shared" si="22"/>
        <v>2606.2747775640678</v>
      </c>
      <c r="L202" s="427">
        <f t="shared" si="23"/>
        <v>20.089468203141735</v>
      </c>
      <c r="M202" s="427">
        <f t="shared" si="23"/>
        <v>27.394729367920547</v>
      </c>
      <c r="N202" s="427">
        <f t="shared" si="23"/>
        <v>31.606275405804887</v>
      </c>
      <c r="AB202" s="94"/>
      <c r="AC202" s="94"/>
      <c r="AD202" s="94"/>
      <c r="AE202" s="94"/>
      <c r="AF202" s="94"/>
      <c r="AG202" s="94"/>
      <c r="AH202" s="94"/>
    </row>
    <row r="203" spans="2:34" s="27" customFormat="1" ht="13.5" thickBot="1" x14ac:dyDescent="0.4">
      <c r="B203" s="28"/>
      <c r="C203" s="27" t="str" cm="1">
        <f t="array" ref="C203">INDEX('List Values'!$B$2:$B$20,(1+ROUNDDOWN((ROW()-ROW($C$127))*1/6,2)))</f>
        <v>Application of Adhesives and Sealants - Spray application</v>
      </c>
      <c r="D203" s="411" t="s">
        <v>74</v>
      </c>
      <c r="E203" s="411" t="s">
        <v>72</v>
      </c>
      <c r="F203" s="428">
        <f t="shared" si="21"/>
        <v>22.463054187192121</v>
      </c>
      <c r="G203" s="428">
        <f t="shared" si="21"/>
        <v>30.631437527989256</v>
      </c>
      <c r="H203" s="428">
        <f t="shared" si="21"/>
        <v>32.796059113300501</v>
      </c>
      <c r="I203" s="426">
        <f t="shared" si="22"/>
        <v>1522.0293724966625</v>
      </c>
      <c r="J203" s="426">
        <f t="shared" si="22"/>
        <v>2075.4945988590853</v>
      </c>
      <c r="K203" s="426">
        <f t="shared" si="22"/>
        <v>2222.1628838451275</v>
      </c>
      <c r="L203" s="427">
        <f t="shared" si="23"/>
        <v>22.136352162177911</v>
      </c>
      <c r="M203" s="427">
        <f t="shared" si="23"/>
        <v>30.185934766606241</v>
      </c>
      <c r="N203" s="427">
        <f t="shared" si="23"/>
        <v>32.319074156779749</v>
      </c>
      <c r="AB203" s="94"/>
      <c r="AC203" s="94"/>
      <c r="AD203" s="94"/>
      <c r="AE203" s="94"/>
      <c r="AF203" s="94"/>
      <c r="AG203" s="94"/>
      <c r="AH203" s="94"/>
    </row>
    <row r="204" spans="2:34" s="27" customFormat="1" ht="13.5" thickBot="1" x14ac:dyDescent="0.4">
      <c r="B204" s="28"/>
      <c r="C204" s="27" t="str" cm="1">
        <f t="array" ref="C204">INDEX('List Values'!$B$2:$B$20,(1+ROUNDDOWN((ROW()-ROW($C$127))*1/6,2)))</f>
        <v>Application of Adhesives and Sealants - Spray application</v>
      </c>
      <c r="D204" s="411" t="s">
        <v>74</v>
      </c>
      <c r="E204" s="411" t="s">
        <v>73</v>
      </c>
      <c r="F204" s="428">
        <f t="shared" si="21"/>
        <v>22.463054187192121</v>
      </c>
      <c r="G204" s="428">
        <f t="shared" si="21"/>
        <v>30.631437527989256</v>
      </c>
      <c r="H204" s="428">
        <f t="shared" si="21"/>
        <v>35.340580941056565</v>
      </c>
      <c r="I204" s="426">
        <f t="shared" si="22"/>
        <v>3044.058744993325</v>
      </c>
      <c r="J204" s="426">
        <f t="shared" si="22"/>
        <v>4150.9891977181705</v>
      </c>
      <c r="K204" s="426">
        <f t="shared" si="22"/>
        <v>4789.1441462179464</v>
      </c>
      <c r="L204" s="427">
        <f t="shared" si="23"/>
        <v>22.298506586861489</v>
      </c>
      <c r="M204" s="427">
        <f t="shared" si="23"/>
        <v>30.407054436629299</v>
      </c>
      <c r="N204" s="427">
        <f t="shared" si="23"/>
        <v>35.081702173295014</v>
      </c>
      <c r="AB204" s="94"/>
      <c r="AC204" s="94"/>
      <c r="AD204" s="94"/>
      <c r="AE204" s="94"/>
      <c r="AF204" s="94"/>
      <c r="AG204" s="94"/>
      <c r="AH204" s="94"/>
    </row>
    <row r="205" spans="2:34" s="27" customFormat="1" ht="13.5" thickBot="1" x14ac:dyDescent="0.4">
      <c r="B205" s="28"/>
      <c r="C205" s="27" t="str" cm="1">
        <f t="array" ref="C205">INDEX('List Values'!$B$2:$B$20,(1+ROUNDDOWN((ROW()-ROW($C$127))*1/6,2)))</f>
        <v>Application of Adhesives and Sealants - Non spray application</v>
      </c>
      <c r="D205" s="411" t="s">
        <v>57</v>
      </c>
      <c r="E205" s="411" t="s">
        <v>72</v>
      </c>
      <c r="F205" s="428">
        <f t="shared" si="21"/>
        <v>2491.8032786885246</v>
      </c>
      <c r="G205" s="428">
        <f t="shared" si="21"/>
        <v>3397.9135618479881</v>
      </c>
      <c r="H205" s="428">
        <f t="shared" si="21"/>
        <v>3638.032786885246</v>
      </c>
      <c r="I205" s="426">
        <f t="shared" si="22"/>
        <v>761.01468624833126</v>
      </c>
      <c r="J205" s="426">
        <f t="shared" si="22"/>
        <v>1037.7472994295426</v>
      </c>
      <c r="K205" s="426">
        <f t="shared" si="22"/>
        <v>1111.0814419225637</v>
      </c>
      <c r="L205" s="427">
        <f t="shared" si="23"/>
        <v>582.97110713372547</v>
      </c>
      <c r="M205" s="427">
        <f t="shared" si="23"/>
        <v>794.96060063689833</v>
      </c>
      <c r="N205" s="427">
        <f t="shared" si="23"/>
        <v>851.13781641523917</v>
      </c>
      <c r="AB205" s="94"/>
      <c r="AC205" s="94"/>
      <c r="AD205" s="94"/>
      <c r="AE205" s="94"/>
      <c r="AF205" s="94"/>
      <c r="AG205" s="94"/>
      <c r="AH205" s="94"/>
    </row>
    <row r="206" spans="2:34" s="27" customFormat="1" ht="13.5" thickBot="1" x14ac:dyDescent="0.4">
      <c r="B206" s="28"/>
      <c r="C206" s="27" t="str" cm="1">
        <f t="array" ref="C206">INDEX('List Values'!$B$2:$B$20,(1+ROUNDDOWN((ROW()-ROW($C$127))*1/6,2)))</f>
        <v>Application of Adhesives and Sealants - Non spray application</v>
      </c>
      <c r="D206" s="411" t="s">
        <v>57</v>
      </c>
      <c r="E206" s="411" t="s">
        <v>73</v>
      </c>
      <c r="F206" s="428">
        <f t="shared" si="21"/>
        <v>11400</v>
      </c>
      <c r="G206" s="428">
        <f t="shared" si="21"/>
        <v>15545.454545454546</v>
      </c>
      <c r="H206" s="428">
        <f t="shared" si="21"/>
        <v>17935.344827586207</v>
      </c>
      <c r="I206" s="426">
        <f t="shared" si="22"/>
        <v>1522.0293724966625</v>
      </c>
      <c r="J206" s="426">
        <f t="shared" si="22"/>
        <v>2075.4945988590853</v>
      </c>
      <c r="K206" s="426">
        <f t="shared" si="22"/>
        <v>2394.5720731089732</v>
      </c>
      <c r="L206" s="427">
        <f t="shared" si="23"/>
        <v>1342.7561837455833</v>
      </c>
      <c r="M206" s="427">
        <f t="shared" si="23"/>
        <v>1831.0311596530682</v>
      </c>
      <c r="N206" s="427">
        <f t="shared" si="23"/>
        <v>2112.5258925307667</v>
      </c>
      <c r="AB206" s="94"/>
      <c r="AC206" s="94"/>
      <c r="AD206" s="94"/>
      <c r="AE206" s="94"/>
      <c r="AF206" s="94"/>
      <c r="AG206" s="94"/>
      <c r="AH206" s="94"/>
    </row>
    <row r="207" spans="2:34" s="27" customFormat="1" ht="13.5" thickBot="1" x14ac:dyDescent="0.4">
      <c r="B207" s="28"/>
      <c r="C207" s="27" t="str" cm="1">
        <f t="array" ref="C207">INDEX('List Values'!$B$2:$B$20,(1+ROUNDDOWN((ROW()-ROW($C$127))*1/6,2)))</f>
        <v>Application of Adhesives and Sealants - Non spray application</v>
      </c>
      <c r="D207" s="411" t="s">
        <v>168</v>
      </c>
      <c r="E207" s="411" t="s">
        <v>72</v>
      </c>
      <c r="F207" s="428">
        <f t="shared" ref="F207:H222" si="24">F$125/F85</f>
        <v>2255.8606557377052</v>
      </c>
      <c r="G207" s="428">
        <f t="shared" si="24"/>
        <v>3076.1736214605071</v>
      </c>
      <c r="H207" s="428">
        <f t="shared" si="24"/>
        <v>3293.55655737705</v>
      </c>
      <c r="I207" s="426">
        <f t="shared" ref="I207:K222" si="25">IFERROR(I$125/I85,"")</f>
        <v>828.29554574638871</v>
      </c>
      <c r="J207" s="426">
        <f t="shared" si="25"/>
        <v>1129.4939260178028</v>
      </c>
      <c r="K207" s="426">
        <f t="shared" si="25"/>
        <v>1209.3114967897272</v>
      </c>
      <c r="L207" s="427">
        <f t="shared" ref="L207:N222" si="26">L$125/L85</f>
        <v>605.84458467860293</v>
      </c>
      <c r="M207" s="427">
        <f t="shared" si="26"/>
        <v>826.15170637991321</v>
      </c>
      <c r="N207" s="427">
        <f t="shared" si="26"/>
        <v>884.53309363076028</v>
      </c>
      <c r="AB207" s="94"/>
      <c r="AC207" s="94"/>
      <c r="AD207" s="94"/>
      <c r="AE207" s="94"/>
      <c r="AF207" s="94"/>
      <c r="AG207" s="94"/>
      <c r="AH207" s="94"/>
    </row>
    <row r="208" spans="2:34" s="27" customFormat="1" ht="13.5" thickBot="1" x14ac:dyDescent="0.4">
      <c r="B208" s="28"/>
      <c r="C208" s="27" t="str" cm="1">
        <f t="array" ref="C208">INDEX('List Values'!$B$2:$B$20,(1+ROUNDDOWN((ROW()-ROW($C$127))*1/6,2)))</f>
        <v>Application of Adhesives and Sealants - Non spray application</v>
      </c>
      <c r="D208" s="411" t="s">
        <v>168</v>
      </c>
      <c r="E208" s="411" t="s">
        <v>73</v>
      </c>
      <c r="F208" s="428">
        <f t="shared" si="24"/>
        <v>10320.562500000002</v>
      </c>
      <c r="G208" s="428">
        <f t="shared" si="24"/>
        <v>14073.494318181818</v>
      </c>
      <c r="H208" s="428">
        <f t="shared" si="24"/>
        <v>16237.091864224141</v>
      </c>
      <c r="I208" s="426">
        <f t="shared" si="25"/>
        <v>1656.5910914927774</v>
      </c>
      <c r="J208" s="426">
        <f t="shared" si="25"/>
        <v>2258.9878520356056</v>
      </c>
      <c r="K208" s="426">
        <f t="shared" si="25"/>
        <v>2606.2747775640678</v>
      </c>
      <c r="L208" s="427">
        <f t="shared" si="26"/>
        <v>1427.4636929460585</v>
      </c>
      <c r="M208" s="427">
        <f t="shared" si="26"/>
        <v>1946.5413994718976</v>
      </c>
      <c r="N208" s="427">
        <f t="shared" si="26"/>
        <v>2245.7941720918593</v>
      </c>
      <c r="AB208" s="94"/>
      <c r="AC208" s="94"/>
      <c r="AD208" s="94"/>
      <c r="AE208" s="94"/>
      <c r="AF208" s="94"/>
      <c r="AG208" s="94"/>
      <c r="AH208" s="94"/>
    </row>
    <row r="209" spans="2:34" s="27" customFormat="1" ht="13.5" thickBot="1" x14ac:dyDescent="0.4">
      <c r="B209" s="28"/>
      <c r="C209" s="27" t="str" cm="1">
        <f t="array" ref="C209">INDEX('List Values'!$B$2:$B$20,(1+ROUNDDOWN((ROW()-ROW($C$127))*1/6,2)))</f>
        <v>Application of Adhesives and Sealants - Non spray application</v>
      </c>
      <c r="D209" s="411" t="s">
        <v>74</v>
      </c>
      <c r="E209" s="411" t="s">
        <v>72</v>
      </c>
      <c r="F209" s="428">
        <f t="shared" si="24"/>
        <v>11400</v>
      </c>
      <c r="G209" s="428">
        <f t="shared" si="24"/>
        <v>15545.454545454546</v>
      </c>
      <c r="H209" s="428">
        <f t="shared" si="24"/>
        <v>16644</v>
      </c>
      <c r="I209" s="426" t="str">
        <f t="shared" si="25"/>
        <v/>
      </c>
      <c r="J209" s="426" t="str">
        <f t="shared" si="25"/>
        <v/>
      </c>
      <c r="K209" s="426" t="str">
        <f t="shared" si="25"/>
        <v/>
      </c>
      <c r="L209" s="427">
        <f t="shared" si="26"/>
        <v>11400</v>
      </c>
      <c r="M209" s="427">
        <f t="shared" si="26"/>
        <v>15545.454545454546</v>
      </c>
      <c r="N209" s="427">
        <f t="shared" si="26"/>
        <v>16644</v>
      </c>
      <c r="AB209" s="94"/>
      <c r="AC209" s="94"/>
      <c r="AD209" s="94"/>
      <c r="AE209" s="94"/>
      <c r="AF209" s="94"/>
      <c r="AG209" s="94"/>
      <c r="AH209" s="94"/>
    </row>
    <row r="210" spans="2:34" s="27" customFormat="1" ht="13.5" thickBot="1" x14ac:dyDescent="0.4">
      <c r="B210" s="28"/>
      <c r="C210" s="27" t="str" cm="1">
        <f t="array" ref="C210">INDEX('List Values'!$B$2:$B$20,(1+ROUNDDOWN((ROW()-ROW($C$127))*1/6,2)))</f>
        <v>Application of Adhesives and Sealants - Non spray application</v>
      </c>
      <c r="D210" s="411" t="s">
        <v>74</v>
      </c>
      <c r="E210" s="411" t="s">
        <v>73</v>
      </c>
      <c r="F210" s="428">
        <f t="shared" si="24"/>
        <v>11400</v>
      </c>
      <c r="G210" s="428">
        <f t="shared" si="24"/>
        <v>15545.454545454546</v>
      </c>
      <c r="H210" s="428">
        <f t="shared" si="24"/>
        <v>17935.344827586207</v>
      </c>
      <c r="I210" s="426" t="str">
        <f t="shared" si="25"/>
        <v/>
      </c>
      <c r="J210" s="426" t="str">
        <f t="shared" si="25"/>
        <v/>
      </c>
      <c r="K210" s="426" t="str">
        <f t="shared" si="25"/>
        <v/>
      </c>
      <c r="L210" s="427">
        <f t="shared" si="26"/>
        <v>11400</v>
      </c>
      <c r="M210" s="427">
        <f t="shared" si="26"/>
        <v>15545.454545454546</v>
      </c>
      <c r="N210" s="427">
        <f t="shared" si="26"/>
        <v>17935.344827586207</v>
      </c>
      <c r="AB210" s="94"/>
      <c r="AC210" s="94"/>
      <c r="AD210" s="94"/>
      <c r="AE210" s="94"/>
      <c r="AF210" s="94"/>
      <c r="AG210" s="94"/>
      <c r="AH210" s="94"/>
    </row>
    <row r="211" spans="2:34" s="27" customFormat="1" ht="13.5" thickBot="1" x14ac:dyDescent="0.4">
      <c r="B211" s="28"/>
      <c r="C211" s="27" t="str" cm="1">
        <f t="array" ref="C211">INDEX('List Values'!$B$2:$B$20,(1+ROUNDDOWN((ROW()-ROW($C$127))*1/6,2)))</f>
        <v>Use of Laboratory Chemicals (Liquids)</v>
      </c>
      <c r="D211" s="411" t="s">
        <v>57</v>
      </c>
      <c r="E211" s="411" t="s">
        <v>72</v>
      </c>
      <c r="F211" s="428">
        <f t="shared" si="24"/>
        <v>2491.8032786885246</v>
      </c>
      <c r="G211" s="428">
        <f t="shared" si="24"/>
        <v>3397.9135618479881</v>
      </c>
      <c r="H211" s="428">
        <f t="shared" si="24"/>
        <v>3638.032786885246</v>
      </c>
      <c r="I211" s="426">
        <f t="shared" si="25"/>
        <v>761.01468624833126</v>
      </c>
      <c r="J211" s="426">
        <f t="shared" si="25"/>
        <v>1037.7472994295426</v>
      </c>
      <c r="K211" s="426">
        <f t="shared" si="25"/>
        <v>1111.0814419225637</v>
      </c>
      <c r="L211" s="427">
        <f t="shared" si="26"/>
        <v>582.97110713372547</v>
      </c>
      <c r="M211" s="427">
        <f t="shared" si="26"/>
        <v>794.96060063689833</v>
      </c>
      <c r="N211" s="427">
        <f t="shared" si="26"/>
        <v>851.13781641523917</v>
      </c>
      <c r="AB211" s="94"/>
      <c r="AC211" s="94"/>
      <c r="AD211" s="94"/>
      <c r="AE211" s="94"/>
      <c r="AF211" s="94"/>
      <c r="AG211" s="94"/>
      <c r="AH211" s="94"/>
    </row>
    <row r="212" spans="2:34" s="27" customFormat="1" ht="13.5" thickBot="1" x14ac:dyDescent="0.4">
      <c r="B212" s="28"/>
      <c r="C212" s="27" t="str" cm="1">
        <f t="array" ref="C212">INDEX('List Values'!$B$2:$B$20,(1+ROUNDDOWN((ROW()-ROW($C$127))*1/6,2)))</f>
        <v>Use of Laboratory Chemicals (Liquids)</v>
      </c>
      <c r="D212" s="411" t="s">
        <v>57</v>
      </c>
      <c r="E212" s="411" t="s">
        <v>73</v>
      </c>
      <c r="F212" s="428">
        <f t="shared" si="24"/>
        <v>11400</v>
      </c>
      <c r="G212" s="428">
        <f t="shared" si="24"/>
        <v>15545.454545454546</v>
      </c>
      <c r="H212" s="428">
        <f t="shared" si="24"/>
        <v>17706.382978723406</v>
      </c>
      <c r="I212" s="426">
        <f t="shared" si="25"/>
        <v>1522.0293724966625</v>
      </c>
      <c r="J212" s="426">
        <f t="shared" si="25"/>
        <v>2075.4945988590853</v>
      </c>
      <c r="K212" s="426">
        <f t="shared" si="25"/>
        <v>2364.0030679203478</v>
      </c>
      <c r="L212" s="427">
        <f t="shared" si="26"/>
        <v>1342.7561837455833</v>
      </c>
      <c r="M212" s="427">
        <f t="shared" si="26"/>
        <v>1831.0311596530682</v>
      </c>
      <c r="N212" s="427">
        <f t="shared" si="26"/>
        <v>2085.5574768814377</v>
      </c>
      <c r="AB212" s="94"/>
      <c r="AC212" s="94"/>
      <c r="AD212" s="94"/>
      <c r="AE212" s="94"/>
      <c r="AF212" s="94"/>
      <c r="AG212" s="94"/>
      <c r="AH212" s="94"/>
    </row>
    <row r="213" spans="2:34" s="27" customFormat="1" ht="13.5" thickBot="1" x14ac:dyDescent="0.4">
      <c r="B213" s="28"/>
      <c r="C213" s="27" t="str" cm="1">
        <f t="array" ref="C213">INDEX('List Values'!$B$2:$B$20,(1+ROUNDDOWN((ROW()-ROW($C$127))*1/6,2)))</f>
        <v>Use of Laboratory Chemicals (Liquids)</v>
      </c>
      <c r="D213" s="411" t="s">
        <v>168</v>
      </c>
      <c r="E213" s="411" t="s">
        <v>72</v>
      </c>
      <c r="F213" s="428">
        <f t="shared" si="24"/>
        <v>2255.8606557377052</v>
      </c>
      <c r="G213" s="428">
        <f t="shared" si="24"/>
        <v>3076.1736214605071</v>
      </c>
      <c r="H213" s="428">
        <f t="shared" si="24"/>
        <v>3293.55655737705</v>
      </c>
      <c r="I213" s="426">
        <f t="shared" si="25"/>
        <v>828.29554574638871</v>
      </c>
      <c r="J213" s="426">
        <f t="shared" si="25"/>
        <v>1129.4939260178028</v>
      </c>
      <c r="K213" s="426">
        <f t="shared" si="25"/>
        <v>1209.3114967897272</v>
      </c>
      <c r="L213" s="427">
        <f t="shared" si="26"/>
        <v>605.84458467860293</v>
      </c>
      <c r="M213" s="427">
        <f t="shared" si="26"/>
        <v>826.15170637991321</v>
      </c>
      <c r="N213" s="427">
        <f t="shared" si="26"/>
        <v>884.53309363076028</v>
      </c>
      <c r="AB213" s="94"/>
      <c r="AC213" s="94"/>
      <c r="AD213" s="94"/>
      <c r="AE213" s="94"/>
      <c r="AF213" s="94"/>
      <c r="AG213" s="94"/>
      <c r="AH213" s="94"/>
    </row>
    <row r="214" spans="2:34" s="27" customFormat="1" ht="13.5" thickBot="1" x14ac:dyDescent="0.4">
      <c r="B214" s="28"/>
      <c r="C214" s="27" t="str" cm="1">
        <f t="array" ref="C214">INDEX('List Values'!$B$2:$B$20,(1+ROUNDDOWN((ROW()-ROW($C$127))*1/6,2)))</f>
        <v>Use of Laboratory Chemicals (Liquids)</v>
      </c>
      <c r="D214" s="411" t="s">
        <v>168</v>
      </c>
      <c r="E214" s="411" t="s">
        <v>73</v>
      </c>
      <c r="F214" s="428">
        <f t="shared" si="24"/>
        <v>10320.562500000002</v>
      </c>
      <c r="G214" s="428">
        <f t="shared" si="24"/>
        <v>14073.494318181818</v>
      </c>
      <c r="H214" s="428">
        <f t="shared" si="24"/>
        <v>16029.809840425534</v>
      </c>
      <c r="I214" s="426">
        <f t="shared" si="25"/>
        <v>1656.5910914927774</v>
      </c>
      <c r="J214" s="426">
        <f t="shared" si="25"/>
        <v>2258.9878520356056</v>
      </c>
      <c r="K214" s="426">
        <f t="shared" si="25"/>
        <v>2573.0031846589941</v>
      </c>
      <c r="L214" s="427">
        <f t="shared" si="26"/>
        <v>1427.4636929460585</v>
      </c>
      <c r="M214" s="427">
        <f t="shared" si="26"/>
        <v>1946.5413994718976</v>
      </c>
      <c r="N214" s="427">
        <f t="shared" si="26"/>
        <v>2217.1244592566436</v>
      </c>
      <c r="AB214" s="94"/>
      <c r="AC214" s="94"/>
      <c r="AD214" s="94"/>
      <c r="AE214" s="94"/>
      <c r="AF214" s="94"/>
      <c r="AG214" s="94"/>
      <c r="AH214" s="94"/>
    </row>
    <row r="215" spans="2:34" s="27" customFormat="1" ht="13.5" thickBot="1" x14ac:dyDescent="0.4">
      <c r="B215" s="28"/>
      <c r="C215" s="27" t="str" cm="1">
        <f t="array" ref="C215">INDEX('List Values'!$B$2:$B$20,(1+ROUNDDOWN((ROW()-ROW($C$127))*1/6,2)))</f>
        <v>Use of Laboratory Chemicals (Liquids)</v>
      </c>
      <c r="D215" s="411" t="s">
        <v>74</v>
      </c>
      <c r="E215" s="411" t="s">
        <v>72</v>
      </c>
      <c r="F215" s="428">
        <f>F$125/F93</f>
        <v>11400</v>
      </c>
      <c r="G215" s="428">
        <f t="shared" si="24"/>
        <v>15545.454545454546</v>
      </c>
      <c r="H215" s="428">
        <f t="shared" si="24"/>
        <v>16644</v>
      </c>
      <c r="I215" s="426" t="str">
        <f t="shared" si="25"/>
        <v/>
      </c>
      <c r="J215" s="426" t="str">
        <f t="shared" si="25"/>
        <v/>
      </c>
      <c r="K215" s="426" t="str">
        <f t="shared" si="25"/>
        <v/>
      </c>
      <c r="L215" s="427">
        <f t="shared" si="26"/>
        <v>11400</v>
      </c>
      <c r="M215" s="427">
        <f t="shared" si="26"/>
        <v>15545.454545454546</v>
      </c>
      <c r="N215" s="427">
        <f t="shared" si="26"/>
        <v>16644</v>
      </c>
      <c r="AB215" s="94"/>
      <c r="AC215" s="94"/>
      <c r="AD215" s="94"/>
      <c r="AE215" s="94"/>
      <c r="AF215" s="94"/>
      <c r="AG215" s="94"/>
      <c r="AH215" s="94"/>
    </row>
    <row r="216" spans="2:34" s="27" customFormat="1" ht="13.5" thickBot="1" x14ac:dyDescent="0.4">
      <c r="B216" s="28"/>
      <c r="C216" s="27" t="str" cm="1">
        <f t="array" ref="C216">INDEX('List Values'!$B$2:$B$20,(1+ROUNDDOWN((ROW()-ROW($C$127))*1/6,2)))</f>
        <v>Use of Laboratory Chemicals (Liquids)</v>
      </c>
      <c r="D216" s="411" t="s">
        <v>74</v>
      </c>
      <c r="E216" s="411" t="s">
        <v>73</v>
      </c>
      <c r="F216" s="428">
        <f>F$125/F94</f>
        <v>11400</v>
      </c>
      <c r="G216" s="428">
        <f t="shared" si="24"/>
        <v>15545.454545454546</v>
      </c>
      <c r="H216" s="428">
        <f t="shared" si="24"/>
        <v>17706.382978723406</v>
      </c>
      <c r="I216" s="426" t="str">
        <f t="shared" si="25"/>
        <v/>
      </c>
      <c r="J216" s="426" t="str">
        <f t="shared" si="25"/>
        <v/>
      </c>
      <c r="K216" s="426" t="str">
        <f t="shared" si="25"/>
        <v/>
      </c>
      <c r="L216" s="427">
        <f t="shared" si="26"/>
        <v>11400</v>
      </c>
      <c r="M216" s="427">
        <f t="shared" si="26"/>
        <v>15545.454545454546</v>
      </c>
      <c r="N216" s="427">
        <f t="shared" si="26"/>
        <v>17706.382978723406</v>
      </c>
      <c r="AB216" s="94"/>
      <c r="AC216" s="94"/>
      <c r="AD216" s="94"/>
      <c r="AE216" s="94"/>
      <c r="AF216" s="94"/>
      <c r="AG216" s="94"/>
      <c r="AH216" s="94"/>
    </row>
    <row r="217" spans="2:34" s="27" customFormat="1" ht="13.5" thickBot="1" x14ac:dyDescent="0.4">
      <c r="B217" s="28"/>
      <c r="C217" s="27" t="str" cm="1">
        <f t="array" ref="C217">INDEX('List Values'!$B$2:$B$20,(1+ROUNDDOWN((ROW()-ROW($C$127))*1/6,2)))</f>
        <v>Use of Laboratory Chemicals (Solids)</v>
      </c>
      <c r="D217" s="411" t="s">
        <v>168</v>
      </c>
      <c r="E217" s="411" t="s">
        <v>72</v>
      </c>
      <c r="F217" s="428">
        <f t="shared" si="24"/>
        <v>16888.888888888887</v>
      </c>
      <c r="G217" s="428">
        <f t="shared" si="24"/>
        <v>23030.303030303032</v>
      </c>
      <c r="H217" s="428">
        <f t="shared" si="24"/>
        <v>24657.777777777781</v>
      </c>
      <c r="I217" s="426">
        <f t="shared" si="25"/>
        <v>761.01468624833126</v>
      </c>
      <c r="J217" s="426">
        <f t="shared" si="25"/>
        <v>1037.7472994295426</v>
      </c>
      <c r="K217" s="426">
        <f t="shared" si="25"/>
        <v>1111.0814419225637</v>
      </c>
      <c r="L217" s="427">
        <f t="shared" si="26"/>
        <v>728.20185244330889</v>
      </c>
      <c r="M217" s="427">
        <f t="shared" si="26"/>
        <v>993.00252605905769</v>
      </c>
      <c r="N217" s="427">
        <f t="shared" si="26"/>
        <v>1063.1747045672309</v>
      </c>
      <c r="AB217" s="94"/>
      <c r="AC217" s="94"/>
      <c r="AD217" s="94"/>
      <c r="AE217" s="94"/>
      <c r="AF217" s="94"/>
      <c r="AG217" s="94"/>
      <c r="AH217" s="94"/>
    </row>
    <row r="218" spans="2:34" s="27" customFormat="1" ht="13.5" thickBot="1" x14ac:dyDescent="0.4">
      <c r="B218" s="28"/>
      <c r="C218" s="27" t="str" cm="1">
        <f t="array" ref="C218">INDEX('List Values'!$B$2:$B$20,(1+ROUNDDOWN((ROW()-ROW($C$127))*1/6,2)))</f>
        <v>Use of Laboratory Chemicals (Solids)</v>
      </c>
      <c r="D218" s="411" t="s">
        <v>168</v>
      </c>
      <c r="E218" s="411" t="s">
        <v>73</v>
      </c>
      <c r="F218" s="428">
        <f t="shared" si="24"/>
        <v>240000</v>
      </c>
      <c r="G218" s="428">
        <f t="shared" si="24"/>
        <v>327272.72727272724</v>
      </c>
      <c r="H218" s="428">
        <f t="shared" si="24"/>
        <v>372765.95744680858</v>
      </c>
      <c r="I218" s="426">
        <f t="shared" si="25"/>
        <v>1522.0293724966625</v>
      </c>
      <c r="J218" s="426">
        <f t="shared" si="25"/>
        <v>2075.4945988590853</v>
      </c>
      <c r="K218" s="426">
        <f t="shared" si="25"/>
        <v>2364.0030679203478</v>
      </c>
      <c r="L218" s="427">
        <f t="shared" si="26"/>
        <v>1512.4378109452739</v>
      </c>
      <c r="M218" s="427">
        <f t="shared" si="26"/>
        <v>2062.415196743555</v>
      </c>
      <c r="N218" s="427">
        <f t="shared" si="26"/>
        <v>2349.1055361490421</v>
      </c>
      <c r="AB218" s="94"/>
      <c r="AC218" s="94"/>
      <c r="AD218" s="94"/>
      <c r="AE218" s="94"/>
      <c r="AF218" s="94"/>
      <c r="AG218" s="94"/>
      <c r="AH218" s="94"/>
    </row>
    <row r="219" spans="2:34" s="27" customFormat="1" ht="13.5" thickBot="1" x14ac:dyDescent="0.4">
      <c r="B219" s="28"/>
      <c r="C219" s="27" t="str" cm="1">
        <f t="array" ref="C219">INDEX('List Values'!$B$2:$B$20,(1+ROUNDDOWN((ROW()-ROW($C$127))*1/6,2)))</f>
        <v>Use of Laboratory Chemicals (Solids)</v>
      </c>
      <c r="D219" s="411" t="s">
        <v>74</v>
      </c>
      <c r="E219" s="411" t="s">
        <v>72</v>
      </c>
      <c r="F219" s="428">
        <f t="shared" si="24"/>
        <v>15289.722222222224</v>
      </c>
      <c r="G219" s="428">
        <f t="shared" si="24"/>
        <v>20849.621212121216</v>
      </c>
      <c r="H219" s="428">
        <f t="shared" si="24"/>
        <v>22322.994444444448</v>
      </c>
      <c r="I219" s="426">
        <f t="shared" si="25"/>
        <v>828.29554574638871</v>
      </c>
      <c r="J219" s="426">
        <f t="shared" si="25"/>
        <v>1129.4939260178028</v>
      </c>
      <c r="K219" s="426">
        <f t="shared" si="25"/>
        <v>1209.3114967897272</v>
      </c>
      <c r="L219" s="427">
        <f t="shared" si="26"/>
        <v>785.72992006090612</v>
      </c>
      <c r="M219" s="427">
        <f t="shared" si="26"/>
        <v>1071.4498909921449</v>
      </c>
      <c r="N219" s="427">
        <f t="shared" si="26"/>
        <v>1147.165683288923</v>
      </c>
      <c r="AB219" s="94"/>
      <c r="AC219" s="94"/>
      <c r="AD219" s="94"/>
      <c r="AE219" s="94"/>
      <c r="AF219" s="94"/>
      <c r="AG219" s="94"/>
      <c r="AH219" s="94"/>
    </row>
    <row r="220" spans="2:34" s="27" customFormat="1" ht="13.5" thickBot="1" x14ac:dyDescent="0.4">
      <c r="B220" s="28"/>
      <c r="C220" s="27" t="str" cm="1">
        <f t="array" ref="C220">INDEX('List Values'!$B$2:$B$20,(1+ROUNDDOWN((ROW()-ROW($C$127))*1/6,2)))</f>
        <v>Use of Laboratory Chemicals (Solids)</v>
      </c>
      <c r="D220" s="411" t="s">
        <v>74</v>
      </c>
      <c r="E220" s="411" t="s">
        <v>73</v>
      </c>
      <c r="F220" s="428">
        <f t="shared" si="24"/>
        <v>217275</v>
      </c>
      <c r="G220" s="428">
        <f t="shared" si="24"/>
        <v>296284.09090909088</v>
      </c>
      <c r="H220" s="428">
        <f t="shared" si="24"/>
        <v>337469.68085106387</v>
      </c>
      <c r="I220" s="426">
        <f t="shared" si="25"/>
        <v>1656.5910914927774</v>
      </c>
      <c r="J220" s="426">
        <f t="shared" si="25"/>
        <v>2258.9878520356056</v>
      </c>
      <c r="K220" s="426">
        <f t="shared" si="25"/>
        <v>2573.0031846589941</v>
      </c>
      <c r="L220" s="427">
        <f t="shared" si="26"/>
        <v>1644.056152927121</v>
      </c>
      <c r="M220" s="427">
        <f t="shared" si="26"/>
        <v>2241.8947539915284</v>
      </c>
      <c r="N220" s="427">
        <f t="shared" si="26"/>
        <v>2553.5340247591453</v>
      </c>
      <c r="AB220" s="94"/>
      <c r="AC220" s="94"/>
      <c r="AD220" s="94"/>
      <c r="AE220" s="94"/>
      <c r="AF220" s="94"/>
      <c r="AG220" s="94"/>
      <c r="AH220" s="94"/>
    </row>
    <row r="221" spans="2:34" s="27" customFormat="1" ht="13.5" thickBot="1" x14ac:dyDescent="0.4">
      <c r="B221" s="28"/>
      <c r="C221" s="27" t="str" cm="1">
        <f t="array" ref="C221">INDEX('List Values'!$B$2:$B$20,(1+ROUNDDOWN((ROW()-ROW($C$127))*1/6,2)))</f>
        <v>Use of Laboratory Chemicals (Solids)</v>
      </c>
      <c r="D221" s="411" t="s">
        <v>57</v>
      </c>
      <c r="E221" s="411" t="s">
        <v>72</v>
      </c>
      <c r="F221" s="428">
        <f t="shared" si="24"/>
        <v>240000</v>
      </c>
      <c r="G221" s="428">
        <f t="shared" si="24"/>
        <v>327272.72727272724</v>
      </c>
      <c r="H221" s="428">
        <f t="shared" si="24"/>
        <v>350400</v>
      </c>
      <c r="I221" s="426">
        <f t="shared" si="25"/>
        <v>1522.0293724966625</v>
      </c>
      <c r="J221" s="426">
        <f t="shared" si="25"/>
        <v>2075.4945988590853</v>
      </c>
      <c r="K221" s="426">
        <f t="shared" si="25"/>
        <v>2222.1628838451275</v>
      </c>
      <c r="L221" s="427">
        <f t="shared" si="26"/>
        <v>1512.4378109452739</v>
      </c>
      <c r="M221" s="427">
        <f t="shared" si="26"/>
        <v>2062.415196743555</v>
      </c>
      <c r="N221" s="427">
        <f t="shared" si="26"/>
        <v>2208.1592039800998</v>
      </c>
      <c r="AB221" s="94"/>
      <c r="AC221" s="94"/>
      <c r="AD221" s="94"/>
      <c r="AE221" s="94"/>
      <c r="AF221" s="94"/>
      <c r="AG221" s="94"/>
      <c r="AH221" s="94"/>
    </row>
    <row r="222" spans="2:34" s="27" customFormat="1" ht="13.5" thickBot="1" x14ac:dyDescent="0.4">
      <c r="B222" s="28"/>
      <c r="C222" s="27" t="str" cm="1">
        <f t="array" ref="C222">INDEX('List Values'!$B$2:$B$20,(1+ROUNDDOWN((ROW()-ROW($C$127))*1/6,2)))</f>
        <v>Use of Laboratory Chemicals (Solids)</v>
      </c>
      <c r="D222" s="411" t="s">
        <v>57</v>
      </c>
      <c r="E222" s="411" t="s">
        <v>73</v>
      </c>
      <c r="F222" s="428">
        <f t="shared" si="24"/>
        <v>240000</v>
      </c>
      <c r="G222" s="428">
        <f t="shared" si="24"/>
        <v>327272.72727272724</v>
      </c>
      <c r="H222" s="428">
        <f t="shared" si="24"/>
        <v>372765.95744680858</v>
      </c>
      <c r="I222" s="426">
        <f t="shared" si="25"/>
        <v>3044.058744993325</v>
      </c>
      <c r="J222" s="426">
        <f t="shared" si="25"/>
        <v>4150.9891977181705</v>
      </c>
      <c r="K222" s="426">
        <f t="shared" si="25"/>
        <v>4728.0061358406956</v>
      </c>
      <c r="L222" s="427">
        <f t="shared" si="26"/>
        <v>3005.9327620303234</v>
      </c>
      <c r="M222" s="427">
        <f t="shared" si="26"/>
        <v>4098.9992209504417</v>
      </c>
      <c r="N222" s="427">
        <f t="shared" si="26"/>
        <v>4668.7891835790124</v>
      </c>
      <c r="AB222" s="94"/>
      <c r="AC222" s="94"/>
      <c r="AD222" s="94"/>
      <c r="AE222" s="94"/>
      <c r="AF222" s="94"/>
      <c r="AG222" s="94"/>
      <c r="AH222" s="94"/>
    </row>
    <row r="223" spans="2:34" s="27" customFormat="1" ht="13.5" thickBot="1" x14ac:dyDescent="0.4">
      <c r="B223" s="28"/>
      <c r="C223" s="27" t="str" cm="1">
        <f t="array" ref="C223">INDEX('List Values'!$B$2:$B$20,(1+ROUNDDOWN((ROW()-ROW($C$127))*1/6,2)))</f>
        <v>Recycling</v>
      </c>
      <c r="D223" s="411" t="s">
        <v>57</v>
      </c>
      <c r="E223" s="411" t="s">
        <v>72</v>
      </c>
      <c r="F223" s="428">
        <f t="shared" ref="F223:H223" si="27">F$125/F101</f>
        <v>63.483224279548942</v>
      </c>
      <c r="G223" s="428">
        <f t="shared" si="27"/>
        <v>86.568033108475831</v>
      </c>
      <c r="H223" s="428">
        <f t="shared" si="27"/>
        <v>92.68550744814145</v>
      </c>
      <c r="I223" s="426">
        <f t="shared" ref="I223:K223" si="28">IFERROR(I$125/I101,"")</f>
        <v>761.01468624833126</v>
      </c>
      <c r="J223" s="426">
        <f t="shared" si="28"/>
        <v>1037.7472994295426</v>
      </c>
      <c r="K223" s="426">
        <f t="shared" si="28"/>
        <v>1111.0814419225637</v>
      </c>
      <c r="L223" s="427">
        <f t="shared" ref="L223:N223" si="29">L$125/L101</f>
        <v>58.595255840250836</v>
      </c>
      <c r="M223" s="427">
        <f t="shared" si="29"/>
        <v>79.902621600342059</v>
      </c>
      <c r="N223" s="427">
        <f t="shared" si="29"/>
        <v>85.549073526766222</v>
      </c>
      <c r="AB223" s="94"/>
      <c r="AC223" s="94"/>
      <c r="AD223" s="94"/>
      <c r="AE223" s="94"/>
      <c r="AF223" s="94"/>
      <c r="AG223" s="94"/>
      <c r="AH223" s="94"/>
    </row>
    <row r="224" spans="2:34" s="27" customFormat="1" ht="13.5" thickBot="1" x14ac:dyDescent="0.4">
      <c r="B224" s="28"/>
      <c r="C224" s="27" t="str" cm="1">
        <f t="array" ref="C224">INDEX('List Values'!$B$2:$B$20,(1+ROUNDDOWN((ROW()-ROW($C$127))*1/6,2)))</f>
        <v>Recycling</v>
      </c>
      <c r="D224" s="411" t="s">
        <v>57</v>
      </c>
      <c r="E224" s="411" t="s">
        <v>73</v>
      </c>
      <c r="F224" s="428">
        <f t="shared" ref="F224:H224" si="30">F$125/F102</f>
        <v>876.92307692307691</v>
      </c>
      <c r="G224" s="428">
        <f t="shared" si="30"/>
        <v>1195.8041958041956</v>
      </c>
      <c r="H224" s="428">
        <f t="shared" si="30"/>
        <v>1435.3225250086234</v>
      </c>
      <c r="I224" s="426">
        <f t="shared" ref="I224:K224" si="31">IFERROR(I$125/I102,"")</f>
        <v>1522.0293724966625</v>
      </c>
      <c r="J224" s="426">
        <f t="shared" si="31"/>
        <v>2075.4945988590853</v>
      </c>
      <c r="K224" s="426">
        <f t="shared" si="31"/>
        <v>2491.2139953420706</v>
      </c>
      <c r="L224" s="427">
        <f t="shared" ref="L224:N224" si="32">L$125/L102</f>
        <v>556.36896046852121</v>
      </c>
      <c r="M224" s="427">
        <f t="shared" si="32"/>
        <v>758.68494609343804</v>
      </c>
      <c r="N224" s="427">
        <f t="shared" si="32"/>
        <v>910.6487469552028</v>
      </c>
      <c r="AB224" s="94"/>
      <c r="AC224" s="94"/>
      <c r="AD224" s="94"/>
      <c r="AE224" s="94"/>
      <c r="AF224" s="94"/>
      <c r="AG224" s="94"/>
      <c r="AH224" s="94"/>
    </row>
    <row r="225" spans="2:34" s="27" customFormat="1" ht="13.5" thickBot="1" x14ac:dyDescent="0.4">
      <c r="B225" s="28"/>
      <c r="C225" s="27" t="str" cm="1">
        <f t="array" ref="C225">INDEX('List Values'!$B$2:$B$20,(1+ROUNDDOWN((ROW()-ROW($C$127))*1/6,2)))</f>
        <v>Recycling</v>
      </c>
      <c r="D225" s="411" t="s">
        <v>168</v>
      </c>
      <c r="E225" s="411" t="s">
        <v>72</v>
      </c>
      <c r="F225" s="428">
        <f t="shared" ref="F225:H225" si="33">F$125/F103</f>
        <v>57.472156480579159</v>
      </c>
      <c r="G225" s="428">
        <f t="shared" si="33"/>
        <v>78.371122473517033</v>
      </c>
      <c r="H225" s="428">
        <f t="shared" si="33"/>
        <v>83.909348461645578</v>
      </c>
      <c r="I225" s="426">
        <f t="shared" ref="I225:K225" si="34">IFERROR(I$125/I103,"")</f>
        <v>828.29554574638871</v>
      </c>
      <c r="J225" s="426">
        <f t="shared" si="34"/>
        <v>1129.4939260178028</v>
      </c>
      <c r="K225" s="426">
        <f t="shared" si="34"/>
        <v>1209.3114967897272</v>
      </c>
      <c r="L225" s="427">
        <f t="shared" ref="L225:N225" si="35">L$125/L103</f>
        <v>53.743132762256892</v>
      </c>
      <c r="M225" s="427">
        <f t="shared" si="35"/>
        <v>73.286090130350303</v>
      </c>
      <c r="N225" s="427">
        <f t="shared" si="35"/>
        <v>78.464973832895069</v>
      </c>
      <c r="AB225" s="94"/>
      <c r="AC225" s="94"/>
      <c r="AD225" s="94"/>
      <c r="AE225" s="94"/>
      <c r="AF225" s="94"/>
      <c r="AG225" s="94"/>
      <c r="AH225" s="94"/>
    </row>
    <row r="226" spans="2:34" s="27" customFormat="1" ht="13.5" thickBot="1" x14ac:dyDescent="0.4">
      <c r="B226" s="28"/>
      <c r="C226" s="27" t="str" cm="1">
        <f t="array" ref="C226">INDEX('List Values'!$B$2:$B$20,(1+ROUNDDOWN((ROW()-ROW($C$127))*1/6,2)))</f>
        <v>Recycling</v>
      </c>
      <c r="D226" s="411" t="s">
        <v>168</v>
      </c>
      <c r="E226" s="411" t="s">
        <v>73</v>
      </c>
      <c r="F226" s="428">
        <f t="shared" ref="F226:H226" si="36">F$125/F104</f>
        <v>793.88942307692321</v>
      </c>
      <c r="G226" s="428">
        <f t="shared" si="36"/>
        <v>1082.5764860139861</v>
      </c>
      <c r="H226" s="428">
        <f t="shared" si="36"/>
        <v>1299.4154234218697</v>
      </c>
      <c r="I226" s="426">
        <f t="shared" ref="I226:K226" si="37">IFERROR(I$125/I104,"")</f>
        <v>1656.5910914927774</v>
      </c>
      <c r="J226" s="426">
        <f t="shared" si="37"/>
        <v>2258.9878520356056</v>
      </c>
      <c r="K226" s="426">
        <f t="shared" si="37"/>
        <v>2711.4607551339177</v>
      </c>
      <c r="L226" s="427">
        <f t="shared" ref="L226:N226" si="38">L$125/L104</f>
        <v>536.69071762870522</v>
      </c>
      <c r="M226" s="427">
        <f t="shared" si="38"/>
        <v>731.85097858459801</v>
      </c>
      <c r="N226" s="427">
        <f t="shared" si="38"/>
        <v>878.43996383173715</v>
      </c>
      <c r="AB226" s="94"/>
      <c r="AC226" s="94"/>
      <c r="AD226" s="94"/>
      <c r="AE226" s="94"/>
      <c r="AF226" s="94"/>
      <c r="AG226" s="94"/>
      <c r="AH226" s="94"/>
    </row>
    <row r="227" spans="2:34" s="27" customFormat="1" ht="13.5" thickBot="1" x14ac:dyDescent="0.4">
      <c r="B227" s="28"/>
      <c r="C227" s="27" t="str" cm="1">
        <f t="array" ref="C227">INDEX('List Values'!$B$2:$B$20,(1+ROUNDDOWN((ROW()-ROW($C$127))*1/6,2)))</f>
        <v>Recycling</v>
      </c>
      <c r="D227" s="411" t="s">
        <v>74</v>
      </c>
      <c r="E227" s="411" t="s">
        <v>72</v>
      </c>
      <c r="F227" s="428">
        <f t="shared" ref="F227:H227" si="39">F$125/F105</f>
        <v>876.92307692307691</v>
      </c>
      <c r="G227" s="428">
        <f t="shared" si="39"/>
        <v>1195.8041958041956</v>
      </c>
      <c r="H227" s="428">
        <f t="shared" si="39"/>
        <v>1280.3076923076922</v>
      </c>
      <c r="I227" s="426">
        <f t="shared" ref="I227:K227" si="40">IFERROR(I$125/I105,"")</f>
        <v>1522.0293724966625</v>
      </c>
      <c r="J227" s="426">
        <f t="shared" si="40"/>
        <v>2075.4945988590853</v>
      </c>
      <c r="K227" s="426">
        <f t="shared" si="40"/>
        <v>2222.1628838451275</v>
      </c>
      <c r="L227" s="427">
        <f t="shared" ref="L227:N227" si="41">L$125/L105</f>
        <v>556.36896046852121</v>
      </c>
      <c r="M227" s="427">
        <f t="shared" si="41"/>
        <v>758.68494609343804</v>
      </c>
      <c r="N227" s="427">
        <f t="shared" si="41"/>
        <v>812.29868228404098</v>
      </c>
      <c r="AB227" s="94"/>
      <c r="AC227" s="94"/>
      <c r="AD227" s="94"/>
      <c r="AE227" s="94"/>
      <c r="AF227" s="94"/>
      <c r="AG227" s="94"/>
      <c r="AH227" s="94"/>
    </row>
    <row r="228" spans="2:34" s="27" customFormat="1" ht="13.5" thickBot="1" x14ac:dyDescent="0.4">
      <c r="B228" s="28"/>
      <c r="C228" s="27" t="str" cm="1">
        <f t="array" ref="C228">INDEX('List Values'!$B$2:$B$20,(1+ROUNDDOWN((ROW()-ROW($C$127))*1/6,2)))</f>
        <v>Recycling</v>
      </c>
      <c r="D228" s="411" t="s">
        <v>74</v>
      </c>
      <c r="E228" s="411" t="s">
        <v>73</v>
      </c>
      <c r="F228" s="428">
        <f t="shared" ref="F228:H228" si="42">F$125/F106</f>
        <v>876.92307692307691</v>
      </c>
      <c r="G228" s="428">
        <f t="shared" si="42"/>
        <v>1195.8041958041956</v>
      </c>
      <c r="H228" s="428">
        <f t="shared" si="42"/>
        <v>1435.3225250086234</v>
      </c>
      <c r="I228" s="426">
        <f t="shared" ref="I228:K228" si="43">IFERROR(I$125/I106,"")</f>
        <v>3044.058744993325</v>
      </c>
      <c r="J228" s="426">
        <f t="shared" si="43"/>
        <v>4150.9891977181705</v>
      </c>
      <c r="K228" s="426">
        <f t="shared" si="43"/>
        <v>4982.4279906841412</v>
      </c>
      <c r="L228" s="427">
        <f t="shared" ref="L228:N228" si="44">L$125/L106</f>
        <v>680.8002388772768</v>
      </c>
      <c r="M228" s="427">
        <f t="shared" si="44"/>
        <v>928.36396210537737</v>
      </c>
      <c r="N228" s="427">
        <f t="shared" si="44"/>
        <v>1114.3142923327623</v>
      </c>
      <c r="AB228" s="94"/>
      <c r="AC228" s="94"/>
      <c r="AD228" s="94"/>
      <c r="AE228" s="94"/>
      <c r="AF228" s="94"/>
      <c r="AG228" s="94"/>
      <c r="AH228" s="94"/>
    </row>
    <row r="229" spans="2:34" s="27" customFormat="1" ht="13.5" thickBot="1" x14ac:dyDescent="0.4">
      <c r="B229" s="28"/>
      <c r="C229" s="27" t="str" cm="1">
        <f t="array" ref="C229">INDEX('List Values'!$B$2:$B$20,(1+ROUNDDOWN((ROW()-ROW($C$127))*1/6,2)))</f>
        <v>Waste handling, treatment, and disposal</v>
      </c>
      <c r="D229" s="411" t="s">
        <v>57</v>
      </c>
      <c r="E229" s="411" t="s">
        <v>72</v>
      </c>
      <c r="F229" s="428">
        <f t="shared" ref="F229:H229" si="45">F$125/F107</f>
        <v>63.483224279548942</v>
      </c>
      <c r="G229" s="428">
        <f t="shared" si="45"/>
        <v>86.568033108475831</v>
      </c>
      <c r="H229" s="428">
        <f t="shared" si="45"/>
        <v>92.68550744814145</v>
      </c>
      <c r="I229" s="426">
        <f t="shared" ref="I229:K229" si="46">IFERROR(I$125/I107,"")</f>
        <v>761.01468624833126</v>
      </c>
      <c r="J229" s="426">
        <f t="shared" si="46"/>
        <v>1037.7472994295426</v>
      </c>
      <c r="K229" s="426">
        <f t="shared" si="46"/>
        <v>1111.0814419225637</v>
      </c>
      <c r="L229" s="427">
        <f t="shared" ref="L229:N229" si="47">L$125/L107</f>
        <v>58.595255840250836</v>
      </c>
      <c r="M229" s="427">
        <f t="shared" si="47"/>
        <v>79.902621600342059</v>
      </c>
      <c r="N229" s="427">
        <f t="shared" si="47"/>
        <v>85.549073526766222</v>
      </c>
      <c r="AB229" s="94"/>
      <c r="AC229" s="94"/>
      <c r="AD229" s="94"/>
      <c r="AE229" s="94"/>
      <c r="AF229" s="94"/>
      <c r="AG229" s="94"/>
      <c r="AH229" s="94"/>
    </row>
    <row r="230" spans="2:34" s="27" customFormat="1" ht="13.5" thickBot="1" x14ac:dyDescent="0.4">
      <c r="B230" s="28"/>
      <c r="C230" s="27" t="str" cm="1">
        <f t="array" ref="C230">INDEX('List Values'!$B$2:$B$20,(1+ROUNDDOWN((ROW()-ROW($C$127))*1/6,2)))</f>
        <v>Waste handling, treatment, and disposal</v>
      </c>
      <c r="D230" s="411" t="s">
        <v>57</v>
      </c>
      <c r="E230" s="411" t="s">
        <v>73</v>
      </c>
      <c r="F230" s="428">
        <f t="shared" ref="F230:H230" si="48">F$125/F108</f>
        <v>876.92307692307691</v>
      </c>
      <c r="G230" s="428">
        <f t="shared" si="48"/>
        <v>1195.8041958041956</v>
      </c>
      <c r="H230" s="428">
        <f t="shared" si="48"/>
        <v>1435.3225250086234</v>
      </c>
      <c r="I230" s="426">
        <f t="shared" ref="I230:K230" si="49">IFERROR(I$125/I108,"")</f>
        <v>1522.0293724966625</v>
      </c>
      <c r="J230" s="426">
        <f t="shared" si="49"/>
        <v>2075.4945988590853</v>
      </c>
      <c r="K230" s="426">
        <f t="shared" si="49"/>
        <v>2491.2139953420706</v>
      </c>
      <c r="L230" s="427">
        <f t="shared" ref="L230:N230" si="50">L$125/L108</f>
        <v>556.36896046852121</v>
      </c>
      <c r="M230" s="427">
        <f t="shared" si="50"/>
        <v>758.68494609343804</v>
      </c>
      <c r="N230" s="427">
        <f t="shared" si="50"/>
        <v>910.6487469552028</v>
      </c>
      <c r="AB230" s="94"/>
      <c r="AC230" s="94"/>
      <c r="AD230" s="94"/>
      <c r="AE230" s="94"/>
      <c r="AF230" s="94"/>
      <c r="AG230" s="94"/>
      <c r="AH230" s="94"/>
    </row>
    <row r="231" spans="2:34" s="27" customFormat="1" ht="13.5" thickBot="1" x14ac:dyDescent="0.4">
      <c r="B231" s="28"/>
      <c r="C231" s="27" t="str" cm="1">
        <f t="array" ref="C231">INDEX('List Values'!$B$2:$B$20,(1+ROUNDDOWN((ROW()-ROW($C$127))*1/6,2)))</f>
        <v>Waste handling, treatment, and disposal</v>
      </c>
      <c r="D231" s="411" t="s">
        <v>168</v>
      </c>
      <c r="E231" s="411" t="s">
        <v>72</v>
      </c>
      <c r="F231" s="428">
        <f t="shared" ref="F231:H231" si="51">F$125/F109</f>
        <v>57.472156480579159</v>
      </c>
      <c r="G231" s="428">
        <f t="shared" si="51"/>
        <v>78.371122473517033</v>
      </c>
      <c r="H231" s="428">
        <f t="shared" si="51"/>
        <v>83.909348461645578</v>
      </c>
      <c r="I231" s="426">
        <f t="shared" ref="I231:K231" si="52">IFERROR(I$125/I109,"")</f>
        <v>828.29554574638871</v>
      </c>
      <c r="J231" s="426">
        <f t="shared" si="52"/>
        <v>1129.4939260178028</v>
      </c>
      <c r="K231" s="426">
        <f t="shared" si="52"/>
        <v>1209.3114967897272</v>
      </c>
      <c r="L231" s="427">
        <f t="shared" ref="L231:N231" si="53">L$125/L109</f>
        <v>53.743132762256892</v>
      </c>
      <c r="M231" s="427">
        <f t="shared" si="53"/>
        <v>73.286090130350303</v>
      </c>
      <c r="N231" s="427">
        <f t="shared" si="53"/>
        <v>78.464973832895069</v>
      </c>
      <c r="AB231" s="94"/>
      <c r="AC231" s="94"/>
      <c r="AD231" s="94"/>
      <c r="AE231" s="94"/>
      <c r="AF231" s="94"/>
      <c r="AG231" s="94"/>
      <c r="AH231" s="94"/>
    </row>
    <row r="232" spans="2:34" s="27" customFormat="1" ht="13.5" thickBot="1" x14ac:dyDescent="0.4">
      <c r="B232" s="28"/>
      <c r="C232" s="27" t="str" cm="1">
        <f t="array" ref="C232">INDEX('List Values'!$B$2:$B$20,(1+ROUNDDOWN((ROW()-ROW($C$127))*1/6,2)))</f>
        <v>Waste handling, treatment, and disposal</v>
      </c>
      <c r="D232" s="411" t="s">
        <v>168</v>
      </c>
      <c r="E232" s="411" t="s">
        <v>73</v>
      </c>
      <c r="F232" s="428">
        <f t="shared" ref="F232:H232" si="54">F$125/F110</f>
        <v>793.88942307692321</v>
      </c>
      <c r="G232" s="428">
        <f t="shared" si="54"/>
        <v>1082.5764860139861</v>
      </c>
      <c r="H232" s="428">
        <f t="shared" si="54"/>
        <v>1299.4154234218697</v>
      </c>
      <c r="I232" s="426">
        <f t="shared" ref="I232:K232" si="55">IFERROR(I$125/I110,"")</f>
        <v>1656.5910914927774</v>
      </c>
      <c r="J232" s="426">
        <f t="shared" si="55"/>
        <v>2258.9878520356056</v>
      </c>
      <c r="K232" s="426">
        <f t="shared" si="55"/>
        <v>2711.4607551339177</v>
      </c>
      <c r="L232" s="427">
        <f t="shared" ref="L232:N232" si="56">L$125/L110</f>
        <v>536.69071762870522</v>
      </c>
      <c r="M232" s="427">
        <f t="shared" si="56"/>
        <v>731.85097858459801</v>
      </c>
      <c r="N232" s="427">
        <f t="shared" si="56"/>
        <v>878.43996383173715</v>
      </c>
      <c r="AB232" s="94"/>
      <c r="AC232" s="94"/>
      <c r="AD232" s="94"/>
      <c r="AE232" s="94"/>
      <c r="AF232" s="94"/>
      <c r="AG232" s="94"/>
      <c r="AH232" s="94"/>
    </row>
    <row r="233" spans="2:34" s="27" customFormat="1" ht="13.5" thickBot="1" x14ac:dyDescent="0.4">
      <c r="B233" s="28"/>
      <c r="C233" s="27" t="str" cm="1">
        <f t="array" ref="C233">INDEX('List Values'!$B$2:$B$20,(1+ROUNDDOWN((ROW()-ROW($C$127))*1/6,2)))</f>
        <v>Waste handling, treatment, and disposal</v>
      </c>
      <c r="D233" s="411" t="s">
        <v>74</v>
      </c>
      <c r="E233" s="411" t="s">
        <v>72</v>
      </c>
      <c r="F233" s="428">
        <f t="shared" ref="F233:H233" si="57">F$125/F111</f>
        <v>876.92307692307691</v>
      </c>
      <c r="G233" s="428">
        <f t="shared" si="57"/>
        <v>1195.8041958041956</v>
      </c>
      <c r="H233" s="428">
        <f t="shared" si="57"/>
        <v>1280.3076923076922</v>
      </c>
      <c r="I233" s="426">
        <f t="shared" ref="I233:K233" si="58">IFERROR(I$125/I111,"")</f>
        <v>1522.0293724966625</v>
      </c>
      <c r="J233" s="426">
        <f t="shared" si="58"/>
        <v>2075.4945988590853</v>
      </c>
      <c r="K233" s="426">
        <f t="shared" si="58"/>
        <v>2222.1628838451275</v>
      </c>
      <c r="L233" s="427">
        <f t="shared" ref="L233:N233" si="59">L$125/L111</f>
        <v>556.36896046852121</v>
      </c>
      <c r="M233" s="427">
        <f t="shared" si="59"/>
        <v>758.68494609343804</v>
      </c>
      <c r="N233" s="427">
        <f t="shared" si="59"/>
        <v>812.29868228404098</v>
      </c>
      <c r="AB233" s="94"/>
      <c r="AC233" s="94"/>
      <c r="AD233" s="94"/>
      <c r="AE233" s="94"/>
      <c r="AF233" s="94"/>
      <c r="AG233" s="94"/>
      <c r="AH233" s="94"/>
    </row>
    <row r="234" spans="2:34" s="27" customFormat="1" ht="13.5" thickBot="1" x14ac:dyDescent="0.4">
      <c r="B234" s="28"/>
      <c r="C234" s="27" t="str" cm="1">
        <f t="array" ref="C234">INDEX('List Values'!$B$2:$B$20,(1+ROUNDDOWN((ROW()-ROW($C$127))*1/6,2)))</f>
        <v>Waste handling, treatment, and disposal</v>
      </c>
      <c r="D234" s="411" t="s">
        <v>74</v>
      </c>
      <c r="E234" s="411" t="s">
        <v>73</v>
      </c>
      <c r="F234" s="428">
        <f t="shared" ref="F234:H234" si="60">F$125/F112</f>
        <v>876.92307692307691</v>
      </c>
      <c r="G234" s="428">
        <f t="shared" si="60"/>
        <v>1195.8041958041956</v>
      </c>
      <c r="H234" s="428">
        <f t="shared" si="60"/>
        <v>1435.3225250086234</v>
      </c>
      <c r="I234" s="426">
        <f t="shared" ref="I234:K234" si="61">IFERROR(I$125/I112,"")</f>
        <v>3044.058744993325</v>
      </c>
      <c r="J234" s="426">
        <f t="shared" si="61"/>
        <v>4150.9891977181705</v>
      </c>
      <c r="K234" s="426">
        <f t="shared" si="61"/>
        <v>4982.4279906841412</v>
      </c>
      <c r="L234" s="427">
        <f t="shared" ref="L234:N234" si="62">L$125/L112</f>
        <v>680.8002388772768</v>
      </c>
      <c r="M234" s="427">
        <f t="shared" si="62"/>
        <v>928.36396210537737</v>
      </c>
      <c r="N234" s="427">
        <f t="shared" si="62"/>
        <v>1114.3142923327623</v>
      </c>
      <c r="AB234" s="94"/>
      <c r="AC234" s="94"/>
      <c r="AD234" s="94"/>
      <c r="AE234" s="94"/>
      <c r="AF234" s="94"/>
      <c r="AG234" s="94"/>
      <c r="AH234" s="94"/>
    </row>
    <row r="235" spans="2:34" s="27" customFormat="1" ht="13.5" thickBot="1" x14ac:dyDescent="0.4">
      <c r="B235" s="28"/>
      <c r="C235" s="27" t="str" cm="1">
        <f t="array" ref="C235">INDEX('List Values'!$B$2:$B$20,(1+ROUNDDOWN((ROW()-ROW($C$127))*1/6,2)))</f>
        <v>Fabrication or Use of Final Products and Articles</v>
      </c>
      <c r="D235" s="411" t="s">
        <v>57</v>
      </c>
      <c r="E235" s="411" t="s">
        <v>72</v>
      </c>
      <c r="F235" s="428">
        <f t="shared" ref="F235:H235" si="63">F$125/F113</f>
        <v>126.66666666666667</v>
      </c>
      <c r="G235" s="428">
        <f t="shared" si="63"/>
        <v>172.72727272727272</v>
      </c>
      <c r="H235" s="428">
        <f t="shared" si="63"/>
        <v>184.93333333333334</v>
      </c>
      <c r="I235" s="426">
        <f t="shared" ref="I235:K235" si="64">IFERROR(I$125/I113,"")</f>
        <v>761.01468624833126</v>
      </c>
      <c r="J235" s="426">
        <f t="shared" si="64"/>
        <v>1037.7472994295426</v>
      </c>
      <c r="K235" s="426">
        <f t="shared" si="64"/>
        <v>1111.0814419225637</v>
      </c>
      <c r="L235" s="427">
        <f t="shared" ref="L235:N235" si="65">L$125/L113</f>
        <v>108.59211278338732</v>
      </c>
      <c r="M235" s="427">
        <f t="shared" si="65"/>
        <v>148.08015379552816</v>
      </c>
      <c r="N235" s="427">
        <f t="shared" si="65"/>
        <v>158.54448466374549</v>
      </c>
      <c r="AB235" s="94"/>
      <c r="AC235" s="94"/>
      <c r="AD235" s="94"/>
      <c r="AE235" s="94"/>
      <c r="AF235" s="94"/>
      <c r="AG235" s="94"/>
      <c r="AH235" s="94"/>
    </row>
    <row r="236" spans="2:34" s="27" customFormat="1" ht="13.5" thickBot="1" x14ac:dyDescent="0.4">
      <c r="B236" s="28"/>
      <c r="C236" s="27" t="str" cm="1">
        <f t="array" ref="C236">INDEX('List Values'!$B$2:$B$20,(1+ROUNDDOWN((ROW()-ROW($C$127))*1/6,2)))</f>
        <v>Fabrication or Use of Final Products and Articles</v>
      </c>
      <c r="D236" s="411" t="s">
        <v>57</v>
      </c>
      <c r="E236" s="411" t="s">
        <v>73</v>
      </c>
      <c r="F236" s="428">
        <f t="shared" ref="F236:H236" si="66">F$125/F114</f>
        <v>1140</v>
      </c>
      <c r="G236" s="428">
        <f t="shared" si="66"/>
        <v>1554.5454545454547</v>
      </c>
      <c r="H236" s="428">
        <f t="shared" si="66"/>
        <v>1664.4</v>
      </c>
      <c r="I236" s="426">
        <f t="shared" ref="I236:K236" si="67">IFERROR(I$125/I114,"")</f>
        <v>1522.0293724966625</v>
      </c>
      <c r="J236" s="426">
        <f t="shared" si="67"/>
        <v>2075.4945988590853</v>
      </c>
      <c r="K236" s="426">
        <f t="shared" si="67"/>
        <v>2222.1628838451275</v>
      </c>
      <c r="L236" s="427">
        <f t="shared" ref="L236:N236" si="68">L$125/L114</f>
        <v>651.80102915951977</v>
      </c>
      <c r="M236" s="427">
        <f t="shared" si="68"/>
        <v>888.81958521752699</v>
      </c>
      <c r="N236" s="427">
        <f t="shared" si="68"/>
        <v>951.6295025728989</v>
      </c>
      <c r="AB236" s="94"/>
      <c r="AC236" s="94"/>
      <c r="AD236" s="94"/>
      <c r="AE236" s="94"/>
      <c r="AF236" s="94"/>
      <c r="AG236" s="94"/>
      <c r="AH236" s="94"/>
    </row>
    <row r="237" spans="2:34" s="27" customFormat="1" ht="13.5" thickBot="1" x14ac:dyDescent="0.4">
      <c r="B237" s="28"/>
      <c r="C237" s="27" t="str" cm="1">
        <f t="array" ref="C237">INDEX('List Values'!$B$2:$B$20,(1+ROUNDDOWN((ROW()-ROW($C$127))*1/6,2)))</f>
        <v>Fabrication or Use of Final Products and Articles</v>
      </c>
      <c r="D237" s="411" t="s">
        <v>168</v>
      </c>
      <c r="E237" s="411" t="s">
        <v>72</v>
      </c>
      <c r="F237" s="428">
        <f t="shared" ref="F237:H237" si="69">F$125/F115</f>
        <v>114.67291666666671</v>
      </c>
      <c r="G237" s="428">
        <f t="shared" si="69"/>
        <v>156.37215909090915</v>
      </c>
      <c r="H237" s="428">
        <f t="shared" si="69"/>
        <v>167.42245833333337</v>
      </c>
      <c r="I237" s="426">
        <f t="shared" ref="I237:K237" si="70">IFERROR(I$125/I115,"")</f>
        <v>828.29554574638871</v>
      </c>
      <c r="J237" s="426">
        <f t="shared" si="70"/>
        <v>1129.4939260178028</v>
      </c>
      <c r="K237" s="426">
        <f t="shared" si="70"/>
        <v>1209.3114967897272</v>
      </c>
      <c r="L237" s="427">
        <f t="shared" ref="L237:N237" si="71">L$125/L115</f>
        <v>100.72772301385909</v>
      </c>
      <c r="M237" s="427">
        <f t="shared" si="71"/>
        <v>137.35598592798968</v>
      </c>
      <c r="N237" s="427">
        <f t="shared" si="71"/>
        <v>147.06247560023428</v>
      </c>
      <c r="AB237" s="94"/>
      <c r="AC237" s="94"/>
      <c r="AD237" s="94"/>
      <c r="AE237" s="94"/>
      <c r="AF237" s="94"/>
      <c r="AG237" s="94"/>
      <c r="AH237" s="94"/>
    </row>
    <row r="238" spans="2:34" s="27" customFormat="1" ht="13.5" thickBot="1" x14ac:dyDescent="0.4">
      <c r="B238" s="28"/>
      <c r="C238" s="27" t="str" cm="1">
        <f t="array" ref="C238">INDEX('List Values'!$B$2:$B$20,(1+ROUNDDOWN((ROW()-ROW($C$127))*1/6,2)))</f>
        <v>Fabrication or Use of Final Products and Articles</v>
      </c>
      <c r="D238" s="411" t="s">
        <v>168</v>
      </c>
      <c r="E238" s="411" t="s">
        <v>73</v>
      </c>
      <c r="F238" s="428">
        <f t="shared" ref="F238:H238" si="72">F$125/F116</f>
        <v>1032.0562500000001</v>
      </c>
      <c r="G238" s="428">
        <f t="shared" si="72"/>
        <v>1407.349431818182</v>
      </c>
      <c r="H238" s="428">
        <f t="shared" si="72"/>
        <v>1506.8021250000002</v>
      </c>
      <c r="I238" s="426">
        <f t="shared" ref="I238:K238" si="73">IFERROR(I$125/I116,"")</f>
        <v>1656.5910914927774</v>
      </c>
      <c r="J238" s="426">
        <f t="shared" si="73"/>
        <v>2258.9878520356056</v>
      </c>
      <c r="K238" s="426">
        <f t="shared" si="73"/>
        <v>2418.6229935794549</v>
      </c>
      <c r="L238" s="427">
        <f t="shared" ref="L238:N238" si="74">L$125/L116</f>
        <v>635.8941774491683</v>
      </c>
      <c r="M238" s="427">
        <f t="shared" si="74"/>
        <v>867.12842379432038</v>
      </c>
      <c r="N238" s="427">
        <f t="shared" si="74"/>
        <v>928.40549907578566</v>
      </c>
      <c r="AB238" s="94"/>
      <c r="AC238" s="94"/>
      <c r="AD238" s="94"/>
      <c r="AE238" s="94"/>
      <c r="AF238" s="94"/>
      <c r="AG238" s="94"/>
      <c r="AH238" s="94"/>
    </row>
    <row r="239" spans="2:34" s="27" customFormat="1" ht="13.5" thickBot="1" x14ac:dyDescent="0.4">
      <c r="B239" s="28"/>
      <c r="C239" s="27" t="str" cm="1">
        <f t="array" ref="C239">INDEX('List Values'!$B$2:$B$20,(1+ROUNDDOWN((ROW()-ROW($C$127))*1/6,2)))</f>
        <v>Fabrication or Use of Final Products and Articles</v>
      </c>
      <c r="D239" s="411" t="s">
        <v>74</v>
      </c>
      <c r="E239" s="411" t="s">
        <v>72</v>
      </c>
      <c r="F239" s="428">
        <f t="shared" ref="F239:H239" si="75">F$125/F117</f>
        <v>1140</v>
      </c>
      <c r="G239" s="428">
        <f t="shared" si="75"/>
        <v>1554.5454545454547</v>
      </c>
      <c r="H239" s="428">
        <f t="shared" si="75"/>
        <v>1664.4</v>
      </c>
      <c r="I239" s="426">
        <f t="shared" ref="I239:K239" si="76">IFERROR(I$125/I117,"")</f>
        <v>1522.0293724966625</v>
      </c>
      <c r="J239" s="426">
        <f t="shared" si="76"/>
        <v>2075.4945988590853</v>
      </c>
      <c r="K239" s="426">
        <f t="shared" si="76"/>
        <v>2222.1628838451275</v>
      </c>
      <c r="L239" s="427">
        <f t="shared" ref="L239:N239" si="77">L$125/L117</f>
        <v>651.80102915951977</v>
      </c>
      <c r="M239" s="427">
        <f t="shared" si="77"/>
        <v>888.81958521752699</v>
      </c>
      <c r="N239" s="427">
        <f t="shared" si="77"/>
        <v>951.6295025728989</v>
      </c>
      <c r="AB239" s="94"/>
      <c r="AC239" s="94"/>
      <c r="AD239" s="94"/>
      <c r="AE239" s="94"/>
      <c r="AF239" s="94"/>
      <c r="AG239" s="94"/>
      <c r="AH239" s="94"/>
    </row>
    <row r="240" spans="2:34" s="27" customFormat="1" x14ac:dyDescent="0.35">
      <c r="B240" s="28"/>
      <c r="C240" s="27" t="str" cm="1">
        <f t="array" ref="C240">INDEX('List Values'!$B$2:$B$20,(1+ROUNDDOWN((ROW()-ROW($C$127))*1/6,2)))</f>
        <v>Fabrication or Use of Final Products and Articles</v>
      </c>
      <c r="D240" s="411" t="s">
        <v>74</v>
      </c>
      <c r="E240" s="411" t="s">
        <v>73</v>
      </c>
      <c r="F240" s="428">
        <f t="shared" ref="F240:H240" si="78">F$125/F118</f>
        <v>1140</v>
      </c>
      <c r="G240" s="428">
        <f t="shared" si="78"/>
        <v>1554.5454545454547</v>
      </c>
      <c r="H240" s="428">
        <f t="shared" si="78"/>
        <v>1664.4</v>
      </c>
      <c r="I240" s="426">
        <f t="shared" ref="I240:K240" si="79">IFERROR(I$125/I118,"")</f>
        <v>3044.058744993325</v>
      </c>
      <c r="J240" s="426">
        <f t="shared" si="79"/>
        <v>4150.9891977181705</v>
      </c>
      <c r="K240" s="426">
        <f t="shared" si="79"/>
        <v>4444.3257676902549</v>
      </c>
      <c r="L240" s="427">
        <f t="shared" ref="L240:N240" si="80">L$125/L118</f>
        <v>829.39250636595125</v>
      </c>
      <c r="M240" s="427">
        <f t="shared" si="80"/>
        <v>1130.9897814081155</v>
      </c>
      <c r="N240" s="427">
        <f t="shared" si="80"/>
        <v>1210.913059294289</v>
      </c>
      <c r="AB240" s="94"/>
      <c r="AC240" s="94"/>
      <c r="AD240" s="94"/>
      <c r="AE240" s="94"/>
      <c r="AF240" s="94"/>
      <c r="AG240" s="94"/>
      <c r="AH240" s="94"/>
    </row>
    <row r="241" spans="2:34" s="27" customFormat="1" x14ac:dyDescent="0.35">
      <c r="B241" s="28"/>
      <c r="D241" s="28"/>
      <c r="AB241" s="94"/>
      <c r="AC241" s="94"/>
      <c r="AD241" s="94"/>
      <c r="AE241" s="94"/>
      <c r="AF241" s="94"/>
      <c r="AG241" s="94"/>
      <c r="AH241" s="94"/>
    </row>
    <row r="242" spans="2:34" s="27" customFormat="1" x14ac:dyDescent="0.35">
      <c r="B242" s="28"/>
      <c r="D242" s="28"/>
      <c r="AB242" s="94"/>
      <c r="AC242" s="94"/>
      <c r="AD242" s="94"/>
      <c r="AE242" s="94"/>
      <c r="AF242" s="94"/>
      <c r="AG242" s="94"/>
      <c r="AH242" s="94"/>
    </row>
  </sheetData>
  <sheetProtection sheet="1" objects="1" scenarios="1" formatCells="0" formatColumns="0" formatRows="0" sort="0" autoFilter="0"/>
  <autoFilter ref="C126:N222" xr:uid="{F916B0BD-3A26-46B1-9811-A8C9CF09E75F}"/>
  <dataConsolidate link="1"/>
  <mergeCells count="6">
    <mergeCell ref="F123:H123"/>
    <mergeCell ref="I123:K123"/>
    <mergeCell ref="L123:N123"/>
    <mergeCell ref="L3:N3"/>
    <mergeCell ref="F3:H3"/>
    <mergeCell ref="I3:K3"/>
  </mergeCells>
  <conditionalFormatting sqref="F5:N119 G120:L121">
    <cfRule type="cellIs" dxfId="119" priority="1" operator="equal">
      <formula>0</formula>
    </cfRule>
    <cfRule type="cellIs" dxfId="118" priority="2" operator="greaterThan">
      <formula>10000</formula>
    </cfRule>
    <cfRule type="cellIs" dxfId="117" priority="3" operator="between">
      <formula>10</formula>
      <formula>9999.999</formula>
    </cfRule>
    <cfRule type="cellIs" dxfId="116" priority="4" operator="between">
      <formula>1</formula>
      <formula>9.999</formula>
    </cfRule>
    <cfRule type="cellIs" dxfId="115" priority="5" operator="between">
      <formula>0.1</formula>
      <formula>0.999</formula>
    </cfRule>
    <cfRule type="cellIs" dxfId="114" priority="6" operator="lessThan">
      <formula>0.1</formula>
    </cfRule>
  </conditionalFormatting>
  <conditionalFormatting sqref="F127:N240">
    <cfRule type="cellIs" dxfId="113" priority="7" stopIfTrue="1" operator="equal">
      <formula>0</formula>
    </cfRule>
    <cfRule type="containsBlanks" dxfId="112" priority="15" stopIfTrue="1">
      <formula>LEN(TRIM(F127))=0</formula>
    </cfRule>
    <cfRule type="cellIs" dxfId="111" priority="29" operator="greaterThanOrEqual">
      <formula>F$124</formula>
    </cfRule>
    <cfRule type="cellIs" dxfId="110" priority="30" operator="lessThan">
      <formula>F$124</formula>
    </cfRule>
    <cfRule type="cellIs" dxfId="109" priority="32" operator="lessThan">
      <formula>0.1</formula>
    </cfRule>
    <cfRule type="cellIs" dxfId="108" priority="33" operator="lessThan">
      <formula>10</formula>
    </cfRule>
    <cfRule type="cellIs" dxfId="107" priority="963" operator="greaterThanOrEqual">
      <formula>10</formula>
    </cfRule>
  </conditionalFormatting>
  <conditionalFormatting sqref="I127:K240">
    <cfRule type="cellIs" dxfId="106" priority="1020" operator="greaterThanOrEqual">
      <formula>P$124</formula>
    </cfRule>
    <cfRule type="cellIs" dxfId="105" priority="1021" operator="lessThan">
      <formula>P$124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35426-BDBC-475C-88AC-FB17AC9ACD28}">
  <sheetPr codeName="Sheet12">
    <tabColor rgb="FF92D050"/>
  </sheetPr>
  <dimension ref="A1:FF44"/>
  <sheetViews>
    <sheetView zoomScale="60" zoomScaleNormal="60" workbookViewId="0"/>
  </sheetViews>
  <sheetFormatPr defaultColWidth="8.90625" defaultRowHeight="13" x14ac:dyDescent="0.35"/>
  <cols>
    <col min="1" max="1" width="4.54296875" style="27" customWidth="1"/>
    <col min="2" max="2" width="5.08984375" style="28" hidden="1" customWidth="1"/>
    <col min="3" max="3" width="30.6328125" style="27" bestFit="1" customWidth="1"/>
    <col min="4" max="4" width="49" style="28" bestFit="1" customWidth="1"/>
    <col min="5" max="5" width="19.54296875" style="27" bestFit="1" customWidth="1"/>
    <col min="6" max="6" width="10.81640625" style="27" bestFit="1" customWidth="1"/>
    <col min="7" max="7" width="31.90625" style="27" bestFit="1" customWidth="1"/>
    <col min="8" max="8" width="44.81640625" style="27" bestFit="1" customWidth="1"/>
    <col min="9" max="9" width="31.90625" style="27" bestFit="1" customWidth="1"/>
    <col min="10" max="10" width="2.90625" style="27" customWidth="1"/>
    <col min="11" max="11" width="25.08984375" style="27" bestFit="1" customWidth="1"/>
    <col min="12" max="12" width="35.453125" style="27" bestFit="1" customWidth="1"/>
    <col min="13" max="13" width="17.453125" style="27" bestFit="1" customWidth="1"/>
    <col min="14" max="14" width="13.90625" style="27" customWidth="1"/>
    <col min="15" max="15" width="31.90625" style="27" bestFit="1" customWidth="1"/>
    <col min="16" max="16" width="44.81640625" style="27" bestFit="1" customWidth="1"/>
    <col min="17" max="17" width="31.90625" style="27" bestFit="1" customWidth="1"/>
    <col min="18" max="18" width="2.54296875" style="27" customWidth="1"/>
    <col min="19" max="19" width="29" style="27" bestFit="1" customWidth="1"/>
    <col min="20" max="20" width="35.453125" style="27" bestFit="1" customWidth="1"/>
    <col min="21" max="21" width="17.453125" style="27" customWidth="1"/>
    <col min="22" max="22" width="28.54296875" style="27" bestFit="1" customWidth="1"/>
    <col min="23" max="23" width="44.81640625" style="27" bestFit="1" customWidth="1"/>
    <col min="24" max="24" width="31.90625" style="27" bestFit="1" customWidth="1"/>
    <col min="25" max="26" width="20.453125" style="27" customWidth="1"/>
    <col min="27" max="28" width="18.90625" style="27" customWidth="1"/>
    <col min="29" max="29" width="28.453125" style="94" customWidth="1"/>
    <col min="30" max="30" width="26.90625" style="94" customWidth="1"/>
    <col min="31" max="31" width="15.08984375" style="94" customWidth="1"/>
    <col min="32" max="32" width="17.90625" style="94" customWidth="1"/>
    <col min="33" max="33" width="22.453125" style="94" customWidth="1"/>
    <col min="34" max="34" width="21.90625" style="94" customWidth="1"/>
    <col min="35" max="35" width="17.453125" style="94" customWidth="1"/>
    <col min="36" max="36" width="14.54296875" style="27" customWidth="1"/>
    <col min="37" max="37" width="17.08984375" style="27" customWidth="1"/>
    <col min="38" max="38" width="16" style="27" customWidth="1"/>
    <col min="39" max="39" width="24.08984375" style="27" customWidth="1"/>
    <col min="40" max="40" width="15.54296875" style="27" customWidth="1"/>
    <col min="41" max="41" width="14.08984375" style="27" customWidth="1"/>
    <col min="42" max="43" width="8.90625" style="27"/>
    <col min="44" max="44" width="18.453125" style="27" customWidth="1"/>
    <col min="45" max="45" width="15" style="27" customWidth="1"/>
    <col min="46" max="46" width="21.453125" style="27" customWidth="1"/>
    <col min="47" max="47" width="15.453125" style="27" customWidth="1"/>
    <col min="48" max="48" width="16.54296875" style="27" customWidth="1"/>
    <col min="49" max="50" width="8.90625" style="27"/>
    <col min="51" max="51" width="17.90625" style="27" customWidth="1"/>
    <col min="52" max="52" width="14.453125" style="27" customWidth="1"/>
    <col min="53" max="53" width="18.54296875" style="27" customWidth="1"/>
    <col min="54" max="54" width="13.54296875" style="27" customWidth="1"/>
    <col min="55" max="55" width="15.08984375" style="27" customWidth="1"/>
    <col min="56" max="57" width="8.90625" style="27"/>
    <col min="58" max="58" width="16.08984375" style="27" customWidth="1"/>
    <col min="59" max="59" width="12" style="27" customWidth="1"/>
    <col min="60" max="60" width="18" style="27" customWidth="1"/>
    <col min="61" max="61" width="16.08984375" style="27" customWidth="1"/>
    <col min="62" max="62" width="14.08984375" style="27" customWidth="1"/>
    <col min="63" max="63" width="10.08984375" style="27" customWidth="1"/>
    <col min="64" max="16384" width="8.90625" style="27"/>
  </cols>
  <sheetData>
    <row r="1" spans="1:162" ht="13.5" thickBot="1" x14ac:dyDescent="0.4">
      <c r="J1" s="29"/>
      <c r="K1" s="29"/>
      <c r="AC1" s="27"/>
      <c r="AD1" s="27"/>
      <c r="AE1" s="27"/>
      <c r="AF1" s="27"/>
      <c r="AG1" s="27"/>
      <c r="AH1" s="27"/>
      <c r="AI1" s="27"/>
    </row>
    <row r="2" spans="1:162" s="29" customFormat="1" ht="14" thickBot="1" x14ac:dyDescent="0.35">
      <c r="B2" s="30"/>
      <c r="C2" s="31" t="s">
        <v>47</v>
      </c>
      <c r="D2" s="429" t="s">
        <v>214</v>
      </c>
      <c r="H2" s="430"/>
    </row>
    <row r="3" spans="1:162" s="29" customFormat="1" ht="26" x14ac:dyDescent="0.3">
      <c r="B3" s="30"/>
      <c r="C3" s="37" t="s">
        <v>51</v>
      </c>
      <c r="D3" s="431" t="s">
        <v>52</v>
      </c>
      <c r="H3" s="430"/>
    </row>
    <row r="4" spans="1:162" s="29" customFormat="1" ht="26" x14ac:dyDescent="0.3">
      <c r="B4" s="30"/>
      <c r="C4" s="43" t="s">
        <v>401</v>
      </c>
      <c r="D4" s="432" t="str">
        <f>_xlfn.XLOOKUP($C$4,Inhalation_Exp[OES],Inhalation_Exp[Data Type])</f>
        <v>Modeled Data</v>
      </c>
      <c r="H4" s="430"/>
    </row>
    <row r="5" spans="1:162" s="29" customFormat="1" x14ac:dyDescent="0.35">
      <c r="B5" s="30"/>
      <c r="C5" s="49"/>
      <c r="D5" s="49"/>
      <c r="E5" s="49"/>
      <c r="H5" s="50"/>
      <c r="I5" s="51"/>
      <c r="K5" s="49"/>
    </row>
    <row r="6" spans="1:162" ht="13.5" x14ac:dyDescent="0.35">
      <c r="A6" s="29"/>
      <c r="C6" s="52" t="s">
        <v>58</v>
      </c>
      <c r="D6" s="30"/>
      <c r="E6" s="30"/>
      <c r="F6" s="50"/>
      <c r="G6" s="50"/>
      <c r="H6" s="50"/>
      <c r="I6" s="50"/>
      <c r="K6" s="52" t="s">
        <v>50</v>
      </c>
      <c r="M6" s="29"/>
      <c r="N6" s="29"/>
      <c r="O6" s="50"/>
      <c r="P6" s="50"/>
      <c r="S6" s="52" t="s">
        <v>59</v>
      </c>
      <c r="T6" s="30"/>
      <c r="U6" s="50"/>
      <c r="V6" s="50"/>
      <c r="W6" s="50"/>
      <c r="X6" s="50"/>
      <c r="Y6" s="29"/>
      <c r="Z6" s="29"/>
      <c r="AA6" s="29"/>
      <c r="AB6" s="29"/>
      <c r="AC6" s="27"/>
      <c r="AD6" s="27"/>
      <c r="AE6" s="27"/>
      <c r="AF6" s="27"/>
      <c r="AG6" s="27"/>
      <c r="AH6" s="27"/>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row>
    <row r="7" spans="1:162" ht="13.5" thickBot="1" x14ac:dyDescent="0.4">
      <c r="A7" s="29"/>
      <c r="C7" s="53" t="s">
        <v>60</v>
      </c>
      <c r="E7" s="28"/>
      <c r="H7" s="54"/>
      <c r="I7" s="55"/>
      <c r="K7" s="53" t="s">
        <v>60</v>
      </c>
      <c r="N7" s="57"/>
      <c r="O7" s="50"/>
      <c r="P7" s="50"/>
      <c r="S7" s="53" t="s">
        <v>60</v>
      </c>
      <c r="T7" s="28"/>
      <c r="V7" s="54"/>
      <c r="W7" s="54"/>
      <c r="X7" s="56"/>
      <c r="AC7" s="27"/>
      <c r="AD7" s="27"/>
      <c r="AE7" s="27"/>
      <c r="AF7" s="27"/>
      <c r="AG7" s="27"/>
      <c r="AH7" s="27"/>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row>
    <row r="8" spans="1:162" x14ac:dyDescent="0.35">
      <c r="A8" s="29"/>
      <c r="C8" s="58" t="s">
        <v>61</v>
      </c>
      <c r="D8" s="59" t="s">
        <v>62</v>
      </c>
      <c r="E8" s="59" t="s">
        <v>215</v>
      </c>
      <c r="F8" s="60" t="s">
        <v>63</v>
      </c>
      <c r="G8" s="60" t="s">
        <v>64</v>
      </c>
      <c r="H8" s="60" t="s">
        <v>65</v>
      </c>
      <c r="I8" s="61"/>
      <c r="J8" s="62"/>
      <c r="K8" s="58" t="s">
        <v>61</v>
      </c>
      <c r="L8" s="64" t="s">
        <v>62</v>
      </c>
      <c r="M8" s="59" t="s">
        <v>216</v>
      </c>
      <c r="N8" s="60" t="s">
        <v>63</v>
      </c>
      <c r="O8" s="60" t="s">
        <v>64</v>
      </c>
      <c r="P8" s="60" t="s">
        <v>65</v>
      </c>
      <c r="Q8" s="61"/>
      <c r="S8" s="58" t="s">
        <v>61</v>
      </c>
      <c r="T8" s="59" t="s">
        <v>62</v>
      </c>
      <c r="U8" s="60" t="s">
        <v>63</v>
      </c>
      <c r="V8" s="60" t="s">
        <v>66</v>
      </c>
      <c r="W8" s="60" t="s">
        <v>65</v>
      </c>
      <c r="X8" s="61"/>
      <c r="Y8" s="62"/>
      <c r="Z8" s="62"/>
      <c r="AA8" s="62"/>
      <c r="AB8" s="62"/>
      <c r="AC8" s="62"/>
      <c r="AD8" s="27"/>
      <c r="AE8" s="27"/>
      <c r="AF8" s="27"/>
      <c r="AG8" s="27"/>
      <c r="AH8" s="27"/>
      <c r="AI8" s="27"/>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row>
    <row r="9" spans="1:162" ht="26.5" thickBot="1" x14ac:dyDescent="0.4">
      <c r="A9" s="29"/>
      <c r="C9" s="65"/>
      <c r="D9" s="66"/>
      <c r="E9" s="147"/>
      <c r="F9" s="70" t="s">
        <v>67</v>
      </c>
      <c r="G9" s="70" t="s">
        <v>68</v>
      </c>
      <c r="H9" s="70" t="s">
        <v>69</v>
      </c>
      <c r="I9" s="61"/>
      <c r="J9" s="62"/>
      <c r="K9" s="433"/>
      <c r="L9" s="69"/>
      <c r="M9" s="147"/>
      <c r="N9" s="70" t="s">
        <v>67</v>
      </c>
      <c r="O9" s="70" t="s">
        <v>68</v>
      </c>
      <c r="P9" s="70" t="s">
        <v>69</v>
      </c>
      <c r="Q9" s="61"/>
      <c r="S9" s="65"/>
      <c r="T9" s="66"/>
      <c r="U9" s="70" t="s">
        <v>71</v>
      </c>
      <c r="V9" s="70" t="s">
        <v>68</v>
      </c>
      <c r="W9" s="70" t="s">
        <v>69</v>
      </c>
      <c r="X9" s="61"/>
      <c r="Y9" s="62"/>
      <c r="Z9" s="62"/>
      <c r="AA9" s="62"/>
      <c r="AB9" s="62"/>
      <c r="AC9" s="62"/>
      <c r="AD9" s="27"/>
      <c r="AE9" s="27"/>
      <c r="AF9" s="27"/>
      <c r="AG9" s="27"/>
      <c r="AH9" s="27"/>
      <c r="AI9" s="27"/>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row>
    <row r="10" spans="1:162" x14ac:dyDescent="0.35">
      <c r="A10" s="29"/>
      <c r="C10" s="434" t="s">
        <v>57</v>
      </c>
      <c r="D10" s="435" t="s">
        <v>72</v>
      </c>
      <c r="E10" s="78">
        <f>SUMIFS(Inhalation_Exp[All Routes_HE],Inhalation_Exp[OES],$C$4,Inhalation_Exp[Worker Type],$C10,Inhalation_Exp[Data Type],$D$4)</f>
        <v>1.83E-2</v>
      </c>
      <c r="F10" s="78">
        <f>SUMIFS(Inhalation_Exp[24hr_High-End],Inhalation_Exp[OES],$C$4,Inhalation_Exp[Worker Type],$C10,Inhalation_Exp[Data Type],$D$4)</f>
        <v>2.2875E-3</v>
      </c>
      <c r="G10" s="78">
        <f>SUMIFS(Inhalation_Exp[Int_High-End],Inhalation_Exp[OES],$C$4,Inhalation_Exp[Worker Type],$C10,Inhalation_Exp[Data Type],$D$4)</f>
        <v>1.6775E-3</v>
      </c>
      <c r="H10" s="78">
        <f>SUMIFS(Inhalation_Exp[ADD_High-End],Inhalation_Exp[OES],$C$4,Inhalation_Exp[Worker Type],$C10,Inhalation_Exp[Data Type],$D$4)</f>
        <v>1.5667808219178082E-3</v>
      </c>
      <c r="I10" s="75"/>
      <c r="J10" s="62"/>
      <c r="K10" s="434" t="s">
        <v>57</v>
      </c>
      <c r="L10" s="435" t="s">
        <v>72</v>
      </c>
      <c r="M10" s="78">
        <f>N10*BW_default</f>
        <v>0.59919999999999995</v>
      </c>
      <c r="N10" s="78">
        <f>SUMIFS(Dermal_Exp[High-End AD (mg/kg-day)],Dermal_Exp[Worker Type],$K10,Dermal_Exp[OES],$C$4)</f>
        <v>7.4899999999999993E-3</v>
      </c>
      <c r="O10" s="78">
        <f>SUMIFS(Dermal_Exp[High-End IADD (mg/kg-day)],Dermal_Exp[Worker Type],$K10,Dermal_Exp[OES],$C$4)</f>
        <v>5.4926666666666657E-3</v>
      </c>
      <c r="P10" s="78">
        <f>SUMIFS(Dermal_Exp[High-End ADD (mg/kg-day)],Dermal_Exp[Worker Type],$K10,Dermal_Exp[OES],$C$4)</f>
        <v>5.1301369863013691E-3</v>
      </c>
      <c r="Q10" s="75"/>
      <c r="S10" s="434" t="s">
        <v>57</v>
      </c>
      <c r="T10" s="435" t="s">
        <v>72</v>
      </c>
      <c r="U10" s="78">
        <f>N10+F10</f>
        <v>9.7774999999999997E-3</v>
      </c>
      <c r="V10" s="78">
        <f>O10+G10</f>
        <v>7.1701666666666658E-3</v>
      </c>
      <c r="W10" s="78">
        <f>P10+H10</f>
        <v>6.6969178082191775E-3</v>
      </c>
      <c r="X10" s="75"/>
      <c r="Y10" s="62"/>
      <c r="Z10" s="62"/>
      <c r="AA10" s="62"/>
      <c r="AB10" s="62"/>
      <c r="AC10" s="62"/>
      <c r="AD10" s="27"/>
      <c r="AE10" s="27"/>
      <c r="AF10" s="27"/>
      <c r="AG10" s="27"/>
      <c r="AH10" s="27"/>
      <c r="AI10" s="27"/>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row>
    <row r="11" spans="1:162" x14ac:dyDescent="0.35">
      <c r="A11" s="29"/>
      <c r="C11" s="436" t="s">
        <v>168</v>
      </c>
      <c r="D11" s="437"/>
      <c r="E11" s="327">
        <f>SUMIFS(Inhalation_Exp[All Routes_HE],Inhalation_Exp[OES],$C$4,Inhalation_Exp[Worker Type],$C11,Inhalation_Exp[Data Type],$D$4)</f>
        <v>1.83E-2</v>
      </c>
      <c r="F11" s="327">
        <f>SUMIFS(Inhalation_Exp[24hr_High-End],Inhalation_Exp[OES],$C$4,Inhalation_Exp[Worker Type],$C11,Inhalation_Exp[Data Type],$D$4)</f>
        <v>2.5267518122195371E-3</v>
      </c>
      <c r="G11" s="327">
        <f>SUMIFS(Inhalation_Exp[Int_High-End],Inhalation_Exp[OES],$C$4,Inhalation_Exp[Worker Type],$C11,Inhalation_Exp[Data Type],$D$4)</f>
        <v>1.8529513289609939E-3</v>
      </c>
      <c r="H11" s="327">
        <f>SUMIFS(Inhalation_Exp[ADD_High-End],Inhalation_Exp[OES],$C$4,Inhalation_Exp[Worker Type],$C11,Inhalation_Exp[Data Type],$D$4)</f>
        <v>1.7306519261777651E-3</v>
      </c>
      <c r="I11" s="75"/>
      <c r="J11" s="76"/>
      <c r="K11" s="436" t="s">
        <v>168</v>
      </c>
      <c r="L11" s="437"/>
      <c r="M11" s="327">
        <f>N11*BW_F</f>
        <v>0.49839999999999995</v>
      </c>
      <c r="N11" s="327">
        <f>SUMIFS(Dermal_Exp[High-End AD (mg/kg-day)],Dermal_Exp[Worker Type],$K11,Dermal_Exp[OES],$C$4)</f>
        <v>6.8816016568864326E-3</v>
      </c>
      <c r="O11" s="327">
        <f>SUMIFS(Dermal_Exp[High-End IADD (mg/kg-day)],Dermal_Exp[Worker Type],$K11,Dermal_Exp[OES],$C$4)</f>
        <v>5.0465078817167174E-3</v>
      </c>
      <c r="P11" s="327">
        <f>SUMIFS(Dermal_Exp[High-End ADD (mg/kg-day)],Dermal_Exp[Worker Type],$K11,Dermal_Exp[OES],$C$4)</f>
        <v>4.713425792387968E-3</v>
      </c>
      <c r="Q11" s="75"/>
      <c r="S11" s="436" t="s">
        <v>168</v>
      </c>
      <c r="T11" s="437"/>
      <c r="U11" s="327">
        <f t="shared" ref="U11:W12" si="0">F11+N11</f>
        <v>9.4083534691059706E-3</v>
      </c>
      <c r="V11" s="327">
        <f t="shared" si="0"/>
        <v>6.8994592106777115E-3</v>
      </c>
      <c r="W11" s="327">
        <f t="shared" si="0"/>
        <v>6.4440777185657333E-3</v>
      </c>
      <c r="X11" s="75"/>
      <c r="Y11" s="76"/>
      <c r="Z11" s="76"/>
      <c r="AA11" s="76"/>
      <c r="AB11" s="76"/>
      <c r="AC11" s="76"/>
      <c r="AD11" s="27"/>
      <c r="AE11" s="27"/>
      <c r="AF11" s="27"/>
      <c r="AG11" s="27"/>
      <c r="AH11" s="27"/>
      <c r="AI11" s="27"/>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row>
    <row r="12" spans="1:162" ht="13.5" thickBot="1" x14ac:dyDescent="0.4">
      <c r="A12" s="29"/>
      <c r="C12" s="399" t="s">
        <v>74</v>
      </c>
      <c r="D12" s="437"/>
      <c r="E12" s="82">
        <f>SUMIFS(Inhalation_Exp[All Routes_HE],Inhalation_Exp[OES],$C$4,Inhalation_Exp[Worker Type],$C12,Inhalation_Exp[Data Type],$D$4)</f>
        <v>4.0000000000000001E-3</v>
      </c>
      <c r="F12" s="82">
        <f>SUMIFS(Inhalation_Exp[24hr_High-End],Inhalation_Exp[OES],$C$4,Inhalation_Exp[Worker Type],$C12,Inhalation_Exp[Data Type],$D$4)</f>
        <v>5.0000000000000001E-4</v>
      </c>
      <c r="G12" s="82">
        <f>SUMIFS(Inhalation_Exp[Int_High-End],Inhalation_Exp[OES],$C$4,Inhalation_Exp[Worker Type],$C12,Inhalation_Exp[Data Type],$D$4)</f>
        <v>3.6666666666666667E-4</v>
      </c>
      <c r="H12" s="82">
        <f>SUMIFS(Inhalation_Exp[ADD_High-End],Inhalation_Exp[OES],$C$4,Inhalation_Exp[Worker Type],$C12,Inhalation_Exp[Data Type],$D$4)</f>
        <v>3.4246575342465754E-4</v>
      </c>
      <c r="I12" s="75"/>
      <c r="J12" s="76"/>
      <c r="K12" s="438" t="s">
        <v>74</v>
      </c>
      <c r="L12" s="439"/>
      <c r="M12" s="90">
        <f>N12*BW_default</f>
        <v>0</v>
      </c>
      <c r="N12" s="90">
        <f>SUMIFS(Dermal_Exp[High-End AD (mg/kg-day)],Dermal_Exp[Worker Type],$K12,Dermal_Exp[OES],$C$4)</f>
        <v>0</v>
      </c>
      <c r="O12" s="90">
        <f>SUMIFS(Dermal_Exp[High-End IADD (mg/kg-day)],Dermal_Exp[Worker Type],$K12,Dermal_Exp[OES],$C$4)</f>
        <v>0</v>
      </c>
      <c r="P12" s="90">
        <f>SUMIFS(Dermal_Exp[High-End ADD (mg/kg-day)],Dermal_Exp[Worker Type],$K12,Dermal_Exp[OES],$C$4)</f>
        <v>0</v>
      </c>
      <c r="Q12" s="75"/>
      <c r="S12" s="438" t="s">
        <v>74</v>
      </c>
      <c r="T12" s="439"/>
      <c r="U12" s="90">
        <f t="shared" si="0"/>
        <v>5.0000000000000001E-4</v>
      </c>
      <c r="V12" s="90">
        <f t="shared" si="0"/>
        <v>3.6666666666666667E-4</v>
      </c>
      <c r="W12" s="90">
        <f t="shared" si="0"/>
        <v>3.4246575342465754E-4</v>
      </c>
      <c r="X12" s="75"/>
      <c r="Y12" s="76"/>
      <c r="Z12" s="76"/>
      <c r="AA12" s="76"/>
      <c r="AB12" s="76"/>
      <c r="AC12" s="76"/>
      <c r="AD12" s="27"/>
      <c r="AE12" s="27"/>
      <c r="AF12" s="27"/>
      <c r="AG12" s="27"/>
      <c r="AH12" s="27"/>
      <c r="AI12" s="27"/>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row>
    <row r="13" spans="1:162" x14ac:dyDescent="0.35">
      <c r="A13" s="29"/>
      <c r="C13" s="440" t="s">
        <v>57</v>
      </c>
      <c r="D13" s="435" t="s">
        <v>73</v>
      </c>
      <c r="E13" s="78">
        <f>SUMIFS(Inhalation_Exp[All Routes_CT],Inhalation_Exp[OES],$C$4,Inhalation_Exp[Worker Type],$C10,Inhalation_Exp[Data Type],$D$4)</f>
        <v>4.0000000000000001E-3</v>
      </c>
      <c r="F13" s="74">
        <f>SUMIFS(Inhalation_Exp[24hr_Central Tendency],Inhalation_Exp[OES],$C$4,Inhalation_Exp[Worker Type],$C13,Inhalation_Exp[Data Type],$D$4)</f>
        <v>5.0000000000000001E-4</v>
      </c>
      <c r="G13" s="74">
        <f>SUMIFS(Inhalation_Exp[Int_Central Tendency],Inhalation_Exp[OES],$C$4,Inhalation_Exp[Worker Type],$C13,Inhalation_Exp[Data Type],$D$4)</f>
        <v>3.6666666666666667E-4</v>
      </c>
      <c r="H13" s="74">
        <f>SUMIFS(Inhalation_Exp[ADD_Central Tendency],Inhalation_Exp[OES],$C$4,Inhalation_Exp[Worker Type],$C13,Inhalation_Exp[Data Type],$D$4)</f>
        <v>3.178082191780822E-4</v>
      </c>
      <c r="I13" s="75"/>
      <c r="J13" s="76"/>
      <c r="K13" s="436" t="s">
        <v>57</v>
      </c>
      <c r="L13" s="435" t="s">
        <v>73</v>
      </c>
      <c r="M13" s="78">
        <f>N13*BW_default</f>
        <v>0.29959999999999998</v>
      </c>
      <c r="N13" s="78">
        <f>SUMIFS(Dermal_Exp[Central Tendency AD (mg/kg-day)],Dermal_Exp[Worker Type],$K13,Dermal_Exp[OES],$C$4)</f>
        <v>3.7449999999999996E-3</v>
      </c>
      <c r="O13" s="78">
        <f>SUMIFS(Dermal_Exp[Central Tendency IADD (mg/kg-day)],Dermal_Exp[Worker Type],$K13,Dermal_Exp[OES],$C$4)</f>
        <v>2.7463333333333328E-3</v>
      </c>
      <c r="P13" s="78">
        <f>SUMIFS(Dermal_Exp[Central Tendency ADD (mg/kg-day)],Dermal_Exp[Worker Type],$K13,Dermal_Exp[OES],$C$4)</f>
        <v>2.3803835616438354E-3</v>
      </c>
      <c r="Q13" s="75"/>
      <c r="S13" s="436" t="s">
        <v>57</v>
      </c>
      <c r="T13" s="435" t="s">
        <v>73</v>
      </c>
      <c r="U13" s="441">
        <f>N13+F13</f>
        <v>4.2449999999999996E-3</v>
      </c>
      <c r="V13" s="441">
        <f>O13+G13</f>
        <v>3.1129999999999994E-3</v>
      </c>
      <c r="W13" s="441">
        <f>P13+H13</f>
        <v>2.6981917808219175E-3</v>
      </c>
      <c r="X13" s="75"/>
      <c r="Y13" s="76"/>
      <c r="Z13" s="76"/>
      <c r="AA13" s="76"/>
      <c r="AB13" s="76"/>
      <c r="AC13" s="76"/>
      <c r="AD13" s="27"/>
      <c r="AE13" s="27"/>
      <c r="AF13" s="27"/>
      <c r="AG13" s="27"/>
      <c r="AH13" s="27"/>
      <c r="AI13" s="27"/>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row>
    <row r="14" spans="1:162" x14ac:dyDescent="0.35">
      <c r="A14" s="29"/>
      <c r="C14" s="436" t="s">
        <v>168</v>
      </c>
      <c r="D14" s="437"/>
      <c r="E14" s="327">
        <f>SUMIFS(Inhalation_Exp[All Routes_CT],Inhalation_Exp[OES],$C$4,Inhalation_Exp[Worker Type],$C11,Inhalation_Exp[Data Type],$D$4)</f>
        <v>4.0000000000000001E-3</v>
      </c>
      <c r="F14" s="327">
        <f>SUMIFS(Inhalation_Exp[24hr_Central Tendency],Inhalation_Exp[OES],$C$4,Inhalation_Exp[Worker Type],$C14,Inhalation_Exp[Data Type],$D$4)</f>
        <v>5.5229547808077317E-4</v>
      </c>
      <c r="G14" s="327">
        <f>SUMIFS(Inhalation_Exp[Int_Central Tendency],Inhalation_Exp[OES],$C$4,Inhalation_Exp[Worker Type],$C14,Inhalation_Exp[Data Type],$D$4)</f>
        <v>4.0501668392590036E-4</v>
      </c>
      <c r="H14" s="327">
        <f>SUMIFS(Inhalation_Exp[ADD_Central Tendency],Inhalation_Exp[OES],$C$4,Inhalation_Exp[Worker Type],$C14,Inhalation_Exp[Data Type],$D$4)</f>
        <v>3.5104808469791607E-4</v>
      </c>
      <c r="I14" s="75"/>
      <c r="J14" s="76"/>
      <c r="K14" s="436" t="s">
        <v>168</v>
      </c>
      <c r="L14" s="437"/>
      <c r="M14" s="327">
        <f>N14*BW_F</f>
        <v>0.24919999999999998</v>
      </c>
      <c r="N14" s="327">
        <f>SUMIFS(Dermal_Exp[Central Tendency AD (mg/kg-day)],Dermal_Exp[Worker Type],$K14,Dermal_Exp[OES],$C$4)</f>
        <v>3.4408008284432163E-3</v>
      </c>
      <c r="O14" s="327">
        <f>SUMIFS(Dermal_Exp[Central Tendency IADD (mg/kg-day)],Dermal_Exp[Worker Type],$K14,Dermal_Exp[OES],$C$4)</f>
        <v>2.5232539408583587E-3</v>
      </c>
      <c r="P14" s="327">
        <f>SUMIFS(Dermal_Exp[Central Tendency ADD (mg/kg-day)],Dermal_Exp[Worker Type],$K14,Dermal_Exp[OES],$C$4)</f>
        <v>2.1870295676680168E-3</v>
      </c>
      <c r="Q14" s="75"/>
      <c r="S14" s="436" t="s">
        <v>168</v>
      </c>
      <c r="T14" s="437"/>
      <c r="U14" s="327">
        <f t="shared" ref="U14:W15" si="1">F14+N14</f>
        <v>3.9930963065239891E-3</v>
      </c>
      <c r="V14" s="327">
        <f t="shared" si="1"/>
        <v>2.9282706247842592E-3</v>
      </c>
      <c r="W14" s="327">
        <f t="shared" si="1"/>
        <v>2.5380776523659327E-3</v>
      </c>
      <c r="X14" s="75"/>
      <c r="Y14" s="76"/>
      <c r="Z14" s="76"/>
      <c r="AA14" s="76"/>
      <c r="AB14" s="76"/>
      <c r="AC14" s="76"/>
      <c r="AD14" s="27"/>
      <c r="AE14" s="27"/>
      <c r="AF14" s="27"/>
      <c r="AG14" s="27"/>
      <c r="AH14" s="27"/>
      <c r="AI14" s="27"/>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row>
    <row r="15" spans="1:162" ht="13.5" thickBot="1" x14ac:dyDescent="0.4">
      <c r="A15" s="29"/>
      <c r="C15" s="438" t="s">
        <v>74</v>
      </c>
      <c r="D15" s="439"/>
      <c r="E15" s="90">
        <f>SUMIFS(Inhalation_Exp[All Routes_CT],Inhalation_Exp[OES],$C$4,Inhalation_Exp[Worker Type],$C12,Inhalation_Exp[Data Type],$D$4)</f>
        <v>4.0000000000000001E-3</v>
      </c>
      <c r="F15" s="90">
        <f>SUMIFS(Inhalation_Exp[24hr_Central Tendency],Inhalation_Exp[OES],$C$4,Inhalation_Exp[Worker Type],$C15,Inhalation_Exp[Data Type],$D$4)</f>
        <v>5.0000000000000001E-4</v>
      </c>
      <c r="G15" s="90">
        <f>SUMIFS(Inhalation_Exp[Int_Central Tendency],Inhalation_Exp[OES],$C$4,Inhalation_Exp[Worker Type],$C15,Inhalation_Exp[Data Type],$D$4)</f>
        <v>3.6666666666666667E-4</v>
      </c>
      <c r="H15" s="90">
        <f>SUMIFS(Inhalation_Exp[ADD_Central Tendency],Inhalation_Exp[OES],$C$4,Inhalation_Exp[Worker Type],$C15,Inhalation_Exp[Data Type],$D$4)</f>
        <v>3.178082191780822E-4</v>
      </c>
      <c r="I15" s="75"/>
      <c r="J15" s="76"/>
      <c r="K15" s="438" t="s">
        <v>74</v>
      </c>
      <c r="L15" s="439"/>
      <c r="M15" s="90">
        <f>N15*BW_default</f>
        <v>0</v>
      </c>
      <c r="N15" s="90">
        <f>SUMIFS(Dermal_Exp[Central Tendency AD (mg/kg-day)],Dermal_Exp[Worker Type],$K15,Dermal_Exp[OES],$C$4)</f>
        <v>0</v>
      </c>
      <c r="O15" s="90">
        <f>SUMIFS(Dermal_Exp[Central Tendency IADD (mg/kg-day)],Dermal_Exp[Worker Type],$K15,Dermal_Exp[OES],$C$4)</f>
        <v>0</v>
      </c>
      <c r="P15" s="90">
        <f>SUMIFS(Dermal_Exp[Central Tendency ADD (mg/kg-day)],Dermal_Exp[Worker Type],$K15,Dermal_Exp[OES],$C$4)</f>
        <v>0</v>
      </c>
      <c r="Q15" s="75"/>
      <c r="R15" s="92"/>
      <c r="S15" s="438" t="s">
        <v>74</v>
      </c>
      <c r="T15" s="439"/>
      <c r="U15" s="90">
        <f t="shared" si="1"/>
        <v>5.0000000000000001E-4</v>
      </c>
      <c r="V15" s="90">
        <f t="shared" si="1"/>
        <v>3.6666666666666667E-4</v>
      </c>
      <c r="W15" s="90">
        <f t="shared" si="1"/>
        <v>3.178082191780822E-4</v>
      </c>
      <c r="X15" s="75"/>
      <c r="Y15" s="76"/>
      <c r="Z15" s="76"/>
      <c r="AA15" s="76"/>
      <c r="AB15" s="76"/>
      <c r="AC15" s="76"/>
      <c r="AD15" s="27"/>
      <c r="AE15" s="27"/>
      <c r="AF15" s="27"/>
      <c r="AG15" s="27"/>
      <c r="AH15" s="27"/>
      <c r="AI15" s="27"/>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row>
    <row r="16" spans="1:162" s="94" customFormat="1" ht="13.5" thickBot="1" x14ac:dyDescent="0.4">
      <c r="A16" s="29"/>
      <c r="B16" s="27"/>
      <c r="C16" s="93"/>
      <c r="D16" s="93"/>
      <c r="E16" s="62"/>
      <c r="F16" s="62"/>
      <c r="G16" s="62"/>
      <c r="H16" s="62"/>
      <c r="I16" s="51"/>
      <c r="J16" s="28"/>
      <c r="K16" s="27"/>
      <c r="L16" s="27"/>
      <c r="M16" s="27"/>
      <c r="N16" s="27"/>
      <c r="O16" s="27"/>
      <c r="P16" s="27"/>
      <c r="Q16" s="27"/>
      <c r="R16" s="29"/>
      <c r="S16" s="29"/>
      <c r="T16" s="29"/>
      <c r="U16" s="29"/>
      <c r="V16" s="29"/>
      <c r="W16" s="29"/>
      <c r="X16" s="29"/>
      <c r="Y16" s="29"/>
      <c r="Z16" s="29"/>
      <c r="AA16" s="29"/>
      <c r="AB16" s="27"/>
      <c r="AC16" s="27"/>
      <c r="AD16" s="27"/>
      <c r="AE16" s="27"/>
      <c r="AF16" s="27"/>
      <c r="AG16" s="27"/>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row>
    <row r="17" spans="1:162" s="454" customFormat="1" ht="14.5" thickBot="1" x14ac:dyDescent="0.4">
      <c r="A17" s="442"/>
      <c r="B17" s="443"/>
      <c r="C17" s="444" t="s">
        <v>217</v>
      </c>
      <c r="D17" s="445" t="s">
        <v>218</v>
      </c>
      <c r="E17" s="446" t="s">
        <v>73</v>
      </c>
      <c r="F17" s="447" t="s">
        <v>219</v>
      </c>
      <c r="G17" s="448"/>
      <c r="H17" s="448"/>
      <c r="I17" s="449"/>
      <c r="J17" s="443"/>
      <c r="K17" s="450" t="s">
        <v>217</v>
      </c>
      <c r="L17" s="445" t="s">
        <v>218</v>
      </c>
      <c r="M17" s="445" t="s">
        <v>73</v>
      </c>
      <c r="N17" s="451" t="s">
        <v>219</v>
      </c>
      <c r="O17" s="443"/>
      <c r="P17" s="443"/>
      <c r="Q17" s="443"/>
      <c r="R17" s="443"/>
      <c r="S17" s="452" t="s">
        <v>217</v>
      </c>
      <c r="T17" s="453" t="s">
        <v>218</v>
      </c>
      <c r="U17" s="453" t="s">
        <v>73</v>
      </c>
      <c r="V17" s="453" t="s">
        <v>219</v>
      </c>
      <c r="W17" s="442"/>
      <c r="X17" s="442"/>
      <c r="Y17" s="442"/>
      <c r="Z17" s="442"/>
      <c r="AA17" s="442"/>
      <c r="AB17" s="443"/>
      <c r="AC17" s="443"/>
      <c r="AD17" s="443"/>
      <c r="AE17" s="443"/>
      <c r="AF17" s="443"/>
      <c r="AG17" s="443"/>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3"/>
      <c r="BR17" s="443"/>
      <c r="BS17" s="443"/>
      <c r="BT17" s="443"/>
      <c r="BU17" s="443"/>
      <c r="BV17" s="443"/>
      <c r="BW17" s="443"/>
      <c r="BX17" s="443"/>
      <c r="BY17" s="443"/>
      <c r="BZ17" s="443"/>
      <c r="CA17" s="443"/>
      <c r="CB17" s="443"/>
      <c r="CC17" s="443"/>
      <c r="CD17" s="443"/>
      <c r="CE17" s="443"/>
      <c r="CF17" s="443"/>
      <c r="CG17" s="443"/>
      <c r="CH17" s="443"/>
      <c r="CI17" s="443"/>
      <c r="CJ17" s="443"/>
      <c r="CK17" s="443"/>
      <c r="CL17" s="443"/>
      <c r="CM17" s="443"/>
      <c r="CN17" s="443"/>
      <c r="CO17" s="443"/>
      <c r="CP17" s="443"/>
      <c r="CQ17" s="443"/>
      <c r="CR17" s="443"/>
      <c r="CS17" s="443"/>
      <c r="CT17" s="443"/>
      <c r="CU17" s="443"/>
      <c r="CV17" s="443"/>
      <c r="CW17" s="443"/>
      <c r="CX17" s="443"/>
      <c r="CY17" s="443"/>
      <c r="CZ17" s="443"/>
      <c r="DA17" s="443"/>
      <c r="DB17" s="443"/>
      <c r="DC17" s="443"/>
      <c r="DD17" s="443"/>
      <c r="DE17" s="443"/>
      <c r="DF17" s="443"/>
      <c r="DG17" s="443"/>
      <c r="DH17" s="443"/>
      <c r="DI17" s="443"/>
      <c r="DJ17" s="443"/>
      <c r="DK17" s="443"/>
      <c r="DL17" s="443"/>
      <c r="DM17" s="443"/>
      <c r="DN17" s="443"/>
      <c r="DO17" s="443"/>
      <c r="DP17" s="443"/>
      <c r="DQ17" s="443"/>
      <c r="DR17" s="443"/>
      <c r="DS17" s="443"/>
      <c r="DT17" s="443"/>
      <c r="DU17" s="443"/>
      <c r="DV17" s="443"/>
      <c r="DW17" s="443"/>
      <c r="DX17" s="443"/>
      <c r="DY17" s="443"/>
      <c r="DZ17" s="443"/>
      <c r="EA17" s="443"/>
      <c r="EB17" s="443"/>
      <c r="EC17" s="443"/>
      <c r="ED17" s="443"/>
      <c r="EE17" s="443"/>
      <c r="EF17" s="443"/>
      <c r="EG17" s="443"/>
      <c r="EH17" s="443"/>
      <c r="EI17" s="443"/>
      <c r="EJ17" s="443"/>
      <c r="EK17" s="443"/>
      <c r="EL17" s="443"/>
      <c r="EM17" s="443"/>
      <c r="EN17" s="443"/>
      <c r="EO17" s="443"/>
      <c r="EP17" s="443"/>
      <c r="EQ17" s="443"/>
      <c r="ER17" s="443"/>
      <c r="ES17" s="443"/>
      <c r="ET17" s="443"/>
      <c r="EU17" s="443"/>
      <c r="EV17" s="443"/>
      <c r="EW17" s="443"/>
      <c r="EX17" s="443"/>
      <c r="EY17" s="443"/>
      <c r="EZ17" s="443"/>
      <c r="FA17" s="443"/>
      <c r="FB17" s="443"/>
      <c r="FC17" s="443"/>
      <c r="FD17" s="443"/>
      <c r="FE17" s="443"/>
      <c r="FF17" s="443"/>
    </row>
    <row r="18" spans="1:162" s="454" customFormat="1" ht="14.5" thickTop="1" x14ac:dyDescent="0.35">
      <c r="A18" s="442"/>
      <c r="B18" s="443"/>
      <c r="C18" s="455" t="s">
        <v>57</v>
      </c>
      <c r="D18" s="456" t="s">
        <v>220</v>
      </c>
      <c r="E18" s="457">
        <f>E13</f>
        <v>4.0000000000000001E-3</v>
      </c>
      <c r="F18" s="458">
        <f>E10</f>
        <v>1.83E-2</v>
      </c>
      <c r="G18" s="448"/>
      <c r="H18" s="459">
        <v>4.0000000000000001E-3</v>
      </c>
      <c r="I18" s="460">
        <v>1.83E-2</v>
      </c>
      <c r="J18" s="443"/>
      <c r="K18" s="461" t="s">
        <v>57</v>
      </c>
      <c r="L18" s="462" t="s">
        <v>221</v>
      </c>
      <c r="M18" s="463">
        <f>M13</f>
        <v>0.29959999999999998</v>
      </c>
      <c r="N18" s="464">
        <f>M10</f>
        <v>0.59919999999999995</v>
      </c>
      <c r="O18" s="443"/>
      <c r="P18" s="443"/>
      <c r="Q18" s="443"/>
      <c r="R18" s="443"/>
      <c r="S18" s="465" t="s">
        <v>57</v>
      </c>
      <c r="T18" s="466" t="s">
        <v>222</v>
      </c>
      <c r="U18" s="467">
        <f>U13</f>
        <v>4.2449999999999996E-3</v>
      </c>
      <c r="V18" s="468">
        <f>U10</f>
        <v>9.7774999999999997E-3</v>
      </c>
      <c r="W18" s="442"/>
      <c r="X18" s="442"/>
      <c r="Y18" s="442"/>
      <c r="Z18" s="442"/>
      <c r="AA18" s="442"/>
      <c r="AB18" s="443"/>
      <c r="AC18" s="443"/>
      <c r="AD18" s="443"/>
      <c r="AE18" s="443"/>
      <c r="AF18" s="443"/>
      <c r="AG18" s="443"/>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3"/>
      <c r="BR18" s="443"/>
      <c r="BS18" s="443"/>
      <c r="BT18" s="443"/>
      <c r="BU18" s="443"/>
      <c r="BV18" s="443"/>
      <c r="BW18" s="443"/>
      <c r="BX18" s="443"/>
      <c r="BY18" s="443"/>
      <c r="BZ18" s="443"/>
      <c r="CA18" s="443"/>
      <c r="CB18" s="443"/>
      <c r="CC18" s="443"/>
      <c r="CD18" s="443"/>
      <c r="CE18" s="443"/>
      <c r="CF18" s="443"/>
      <c r="CG18" s="443"/>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43"/>
      <c r="DJ18" s="443"/>
      <c r="DK18" s="443"/>
      <c r="DL18" s="443"/>
      <c r="DM18" s="443"/>
      <c r="DN18" s="443"/>
      <c r="DO18" s="443"/>
      <c r="DP18" s="443"/>
      <c r="DQ18" s="443"/>
      <c r="DR18" s="443"/>
      <c r="DS18" s="443"/>
      <c r="DT18" s="443"/>
      <c r="DU18" s="443"/>
      <c r="DV18" s="443"/>
      <c r="DW18" s="443"/>
      <c r="DX18" s="443"/>
      <c r="DY18" s="443"/>
      <c r="DZ18" s="443"/>
      <c r="EA18" s="443"/>
      <c r="EB18" s="443"/>
      <c r="EC18" s="443"/>
      <c r="ED18" s="443"/>
      <c r="EE18" s="443"/>
      <c r="EF18" s="443"/>
      <c r="EG18" s="443"/>
      <c r="EH18" s="443"/>
      <c r="EI18" s="443"/>
      <c r="EJ18" s="443"/>
      <c r="EK18" s="443"/>
      <c r="EL18" s="443"/>
      <c r="EM18" s="443"/>
      <c r="EN18" s="443"/>
      <c r="EO18" s="443"/>
      <c r="EP18" s="443"/>
      <c r="EQ18" s="443"/>
      <c r="ER18" s="443"/>
      <c r="ES18" s="443"/>
      <c r="ET18" s="443"/>
      <c r="EU18" s="443"/>
      <c r="EV18" s="443"/>
      <c r="EW18" s="443"/>
      <c r="EX18" s="443"/>
      <c r="EY18" s="443"/>
      <c r="EZ18" s="443"/>
      <c r="FA18" s="443"/>
      <c r="FB18" s="443"/>
      <c r="FC18" s="443"/>
      <c r="FD18" s="443"/>
      <c r="FE18" s="443"/>
      <c r="FF18" s="443"/>
    </row>
    <row r="19" spans="1:162" s="454" customFormat="1" ht="14" x14ac:dyDescent="0.35">
      <c r="A19" s="442"/>
      <c r="B19" s="443"/>
      <c r="C19" s="469"/>
      <c r="D19" s="466" t="s">
        <v>222</v>
      </c>
      <c r="E19" s="457">
        <f>F13</f>
        <v>5.0000000000000001E-4</v>
      </c>
      <c r="F19" s="458">
        <f>F10</f>
        <v>2.2875E-3</v>
      </c>
      <c r="G19" s="448"/>
      <c r="H19" s="459">
        <v>5.0000000000000001E-4</v>
      </c>
      <c r="I19" s="460">
        <v>2.2875E-3</v>
      </c>
      <c r="J19" s="443"/>
      <c r="K19" s="469"/>
      <c r="L19" s="466" t="s">
        <v>222</v>
      </c>
      <c r="M19" s="457">
        <f>N13</f>
        <v>3.7449999999999996E-3</v>
      </c>
      <c r="N19" s="470">
        <f>N10</f>
        <v>7.4899999999999993E-3</v>
      </c>
      <c r="O19" s="471"/>
      <c r="P19" s="471"/>
      <c r="Q19" s="442"/>
      <c r="R19" s="443"/>
      <c r="S19" s="472"/>
      <c r="T19" s="466" t="s">
        <v>223</v>
      </c>
      <c r="U19" s="457">
        <f>V13</f>
        <v>3.1129999999999994E-3</v>
      </c>
      <c r="V19" s="473">
        <f>V10</f>
        <v>7.1701666666666658E-3</v>
      </c>
      <c r="W19" s="442"/>
      <c r="X19" s="442"/>
      <c r="Y19" s="442"/>
      <c r="Z19" s="442"/>
      <c r="AA19" s="442"/>
      <c r="AB19" s="443"/>
      <c r="AC19" s="443"/>
      <c r="AD19" s="443"/>
      <c r="AE19" s="443"/>
      <c r="AF19" s="443"/>
      <c r="AG19" s="443"/>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3"/>
      <c r="BR19" s="443"/>
      <c r="BS19" s="443"/>
      <c r="BT19" s="443"/>
      <c r="BU19" s="443"/>
      <c r="BV19" s="443"/>
      <c r="BW19" s="443"/>
      <c r="BX19" s="443"/>
      <c r="BY19" s="443"/>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43"/>
      <c r="DJ19" s="443"/>
      <c r="DK19" s="443"/>
      <c r="DL19" s="443"/>
      <c r="DM19" s="443"/>
      <c r="DN19" s="443"/>
      <c r="DO19" s="443"/>
      <c r="DP19" s="443"/>
      <c r="DQ19" s="443"/>
      <c r="DR19" s="443"/>
      <c r="DS19" s="443"/>
      <c r="DT19" s="443"/>
      <c r="DU19" s="443"/>
      <c r="DV19" s="443"/>
      <c r="DW19" s="443"/>
      <c r="DX19" s="443"/>
      <c r="DY19" s="443"/>
      <c r="DZ19" s="443"/>
      <c r="EA19" s="443"/>
      <c r="EB19" s="443"/>
      <c r="EC19" s="443"/>
      <c r="ED19" s="443"/>
      <c r="EE19" s="443"/>
      <c r="EF19" s="443"/>
      <c r="EG19" s="443"/>
      <c r="EH19" s="443"/>
      <c r="EI19" s="443"/>
      <c r="EJ19" s="443"/>
      <c r="EK19" s="443"/>
      <c r="EL19" s="443"/>
      <c r="EM19" s="443"/>
      <c r="EN19" s="443"/>
      <c r="EO19" s="443"/>
      <c r="EP19" s="443"/>
      <c r="EQ19" s="443"/>
      <c r="ER19" s="443"/>
      <c r="ES19" s="443"/>
      <c r="ET19" s="443"/>
      <c r="EU19" s="443"/>
      <c r="EV19" s="443"/>
      <c r="EW19" s="443"/>
      <c r="EX19" s="443"/>
      <c r="EY19" s="443"/>
      <c r="EZ19" s="443"/>
      <c r="FA19" s="443"/>
      <c r="FB19" s="443"/>
      <c r="FC19" s="443"/>
      <c r="FD19" s="443"/>
      <c r="FE19" s="443"/>
      <c r="FF19" s="443"/>
    </row>
    <row r="20" spans="1:162" s="454" customFormat="1" ht="14" x14ac:dyDescent="0.35">
      <c r="A20" s="442"/>
      <c r="B20" s="443"/>
      <c r="C20" s="469"/>
      <c r="D20" s="466" t="s">
        <v>223</v>
      </c>
      <c r="E20" s="457">
        <f>G13</f>
        <v>3.6666666666666667E-4</v>
      </c>
      <c r="F20" s="474">
        <f>G10</f>
        <v>1.6775E-3</v>
      </c>
      <c r="G20" s="448"/>
      <c r="H20" s="459">
        <v>3.6666666666666667E-4</v>
      </c>
      <c r="I20" s="460">
        <v>1.6775E-3</v>
      </c>
      <c r="J20" s="443"/>
      <c r="K20" s="469"/>
      <c r="L20" s="466" t="s">
        <v>223</v>
      </c>
      <c r="M20" s="457">
        <f>O13</f>
        <v>2.7463333333333328E-3</v>
      </c>
      <c r="N20" s="470">
        <f>O10</f>
        <v>5.4926666666666657E-3</v>
      </c>
      <c r="O20" s="471"/>
      <c r="P20" s="471"/>
      <c r="Q20" s="442"/>
      <c r="R20" s="443"/>
      <c r="S20" s="472"/>
      <c r="T20" s="466" t="s">
        <v>224</v>
      </c>
      <c r="U20" s="457">
        <f>W13</f>
        <v>2.6981917808219175E-3</v>
      </c>
      <c r="V20" s="473">
        <f>W10</f>
        <v>6.6969178082191775E-3</v>
      </c>
      <c r="W20" s="442"/>
      <c r="X20" s="442"/>
      <c r="Y20" s="442"/>
      <c r="Z20" s="442"/>
      <c r="AA20" s="442"/>
      <c r="AB20" s="443"/>
      <c r="AC20" s="443"/>
      <c r="AD20" s="443"/>
      <c r="AE20" s="443"/>
      <c r="AF20" s="443"/>
      <c r="AG20" s="443"/>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3"/>
      <c r="BR20" s="443"/>
      <c r="BS20" s="443"/>
      <c r="BT20" s="443"/>
      <c r="BU20" s="443"/>
      <c r="BV20" s="443"/>
      <c r="BW20" s="443"/>
      <c r="BX20" s="443"/>
      <c r="BY20" s="443"/>
      <c r="BZ20" s="443"/>
      <c r="CA20" s="443"/>
      <c r="CB20" s="443"/>
      <c r="CC20" s="443"/>
      <c r="CD20" s="443"/>
      <c r="CE20" s="443"/>
      <c r="CF20" s="443"/>
      <c r="CG20" s="443"/>
      <c r="CH20" s="443"/>
      <c r="CI20" s="443"/>
      <c r="CJ20" s="443"/>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43"/>
      <c r="DI20" s="443"/>
      <c r="DJ20" s="443"/>
      <c r="DK20" s="443"/>
      <c r="DL20" s="443"/>
      <c r="DM20" s="443"/>
      <c r="DN20" s="443"/>
      <c r="DO20" s="443"/>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43"/>
      <c r="EM20" s="443"/>
      <c r="EN20" s="443"/>
      <c r="EO20" s="443"/>
      <c r="EP20" s="443"/>
      <c r="EQ20" s="443"/>
      <c r="ER20" s="443"/>
      <c r="ES20" s="443"/>
      <c r="ET20" s="443"/>
      <c r="EU20" s="443"/>
      <c r="EV20" s="443"/>
      <c r="EW20" s="443"/>
      <c r="EX20" s="443"/>
      <c r="EY20" s="443"/>
      <c r="EZ20" s="443"/>
      <c r="FA20" s="443"/>
      <c r="FB20" s="443"/>
      <c r="FC20" s="443"/>
      <c r="FD20" s="443"/>
      <c r="FE20" s="443"/>
      <c r="FF20" s="443"/>
    </row>
    <row r="21" spans="1:162" s="454" customFormat="1" ht="14" x14ac:dyDescent="0.35">
      <c r="A21" s="442"/>
      <c r="B21" s="443"/>
      <c r="C21" s="469"/>
      <c r="D21" s="466" t="s">
        <v>224</v>
      </c>
      <c r="E21" s="457">
        <f>H13</f>
        <v>3.178082191780822E-4</v>
      </c>
      <c r="F21" s="474">
        <f>H10</f>
        <v>1.5667808219178082E-3</v>
      </c>
      <c r="G21" s="448"/>
      <c r="H21" s="459">
        <v>3.178082191780822E-4</v>
      </c>
      <c r="I21" s="460">
        <v>1.5667808219178082E-3</v>
      </c>
      <c r="J21" s="443"/>
      <c r="K21" s="469"/>
      <c r="L21" s="466" t="s">
        <v>224</v>
      </c>
      <c r="M21" s="457">
        <f>P13</f>
        <v>2.3803835616438354E-3</v>
      </c>
      <c r="N21" s="470">
        <f>P10</f>
        <v>5.1301369863013691E-3</v>
      </c>
      <c r="O21" s="471"/>
      <c r="P21" s="471"/>
      <c r="Q21" s="442"/>
      <c r="R21" s="443"/>
      <c r="S21" s="472"/>
      <c r="T21" s="466"/>
      <c r="U21" s="457">
        <f>X13</f>
        <v>0</v>
      </c>
      <c r="V21" s="473">
        <f>X10</f>
        <v>0</v>
      </c>
      <c r="W21" s="442"/>
      <c r="X21" s="442"/>
      <c r="Y21" s="442"/>
      <c r="Z21" s="442"/>
      <c r="AA21" s="442"/>
      <c r="AB21" s="443"/>
      <c r="AC21" s="443"/>
      <c r="AD21" s="443"/>
      <c r="AE21" s="443"/>
      <c r="AF21" s="443"/>
      <c r="AG21" s="443"/>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c r="BO21" s="442"/>
      <c r="BP21" s="442"/>
      <c r="BQ21" s="443"/>
      <c r="BR21" s="443"/>
      <c r="BS21" s="443"/>
      <c r="BT21" s="443"/>
      <c r="BU21" s="443"/>
      <c r="BV21" s="443"/>
      <c r="BW21" s="443"/>
      <c r="BX21" s="443"/>
      <c r="BY21" s="443"/>
      <c r="BZ21" s="443"/>
      <c r="CA21" s="443"/>
      <c r="CB21" s="443"/>
      <c r="CC21" s="443"/>
      <c r="CD21" s="443"/>
      <c r="CE21" s="443"/>
      <c r="CF21" s="443"/>
      <c r="CG21" s="443"/>
      <c r="CH21" s="443"/>
      <c r="CI21" s="443"/>
      <c r="CJ21" s="443"/>
      <c r="CK21" s="443"/>
      <c r="CL21" s="443"/>
      <c r="CM21" s="443"/>
      <c r="CN21" s="443"/>
      <c r="CO21" s="443"/>
      <c r="CP21" s="443"/>
      <c r="CQ21" s="443"/>
      <c r="CR21" s="443"/>
      <c r="CS21" s="443"/>
      <c r="CT21" s="443"/>
      <c r="CU21" s="443"/>
      <c r="CV21" s="443"/>
      <c r="CW21" s="443"/>
      <c r="CX21" s="443"/>
      <c r="CY21" s="443"/>
      <c r="CZ21" s="443"/>
      <c r="DA21" s="443"/>
      <c r="DB21" s="443"/>
      <c r="DC21" s="443"/>
      <c r="DD21" s="443"/>
      <c r="DE21" s="443"/>
      <c r="DF21" s="443"/>
      <c r="DG21" s="443"/>
      <c r="DH21" s="443"/>
      <c r="DI21" s="443"/>
      <c r="DJ21" s="443"/>
      <c r="DK21" s="443"/>
      <c r="DL21" s="443"/>
      <c r="DM21" s="443"/>
      <c r="DN21" s="443"/>
      <c r="DO21" s="443"/>
      <c r="DP21" s="443"/>
      <c r="DQ21" s="443"/>
      <c r="DR21" s="443"/>
      <c r="DS21" s="443"/>
      <c r="DT21" s="443"/>
      <c r="DU21" s="443"/>
      <c r="DV21" s="443"/>
      <c r="DW21" s="443"/>
      <c r="DX21" s="443"/>
      <c r="DY21" s="443"/>
      <c r="DZ21" s="443"/>
      <c r="EA21" s="443"/>
      <c r="EB21" s="443"/>
      <c r="EC21" s="443"/>
      <c r="ED21" s="443"/>
      <c r="EE21" s="443"/>
      <c r="EF21" s="443"/>
      <c r="EG21" s="443"/>
      <c r="EH21" s="443"/>
      <c r="EI21" s="443"/>
      <c r="EJ21" s="443"/>
      <c r="EK21" s="443"/>
      <c r="EL21" s="443"/>
      <c r="EM21" s="443"/>
      <c r="EN21" s="443"/>
      <c r="EO21" s="443"/>
      <c r="EP21" s="443"/>
      <c r="EQ21" s="443"/>
      <c r="ER21" s="443"/>
      <c r="ES21" s="443"/>
      <c r="ET21" s="443"/>
      <c r="EU21" s="443"/>
      <c r="EV21" s="443"/>
      <c r="EW21" s="443"/>
      <c r="EX21" s="443"/>
      <c r="EY21" s="443"/>
      <c r="EZ21" s="443"/>
      <c r="FA21" s="443"/>
      <c r="FB21" s="443"/>
      <c r="FC21" s="443"/>
      <c r="FD21" s="443"/>
      <c r="FE21" s="443"/>
      <c r="FF21" s="443"/>
    </row>
    <row r="22" spans="1:162" s="454" customFormat="1" ht="14" x14ac:dyDescent="0.35">
      <c r="A22" s="442"/>
      <c r="B22" s="443"/>
      <c r="C22" s="475"/>
      <c r="D22" s="466"/>
      <c r="E22" s="457"/>
      <c r="F22" s="458"/>
      <c r="G22" s="448"/>
      <c r="H22" s="459">
        <v>1.2630839480154548E-4</v>
      </c>
      <c r="I22" s="460">
        <v>8.0347734457323499E-4</v>
      </c>
      <c r="J22" s="443"/>
      <c r="K22" s="475"/>
      <c r="L22" s="466"/>
      <c r="M22" s="457"/>
      <c r="N22" s="470"/>
      <c r="O22" s="471"/>
      <c r="P22" s="471"/>
      <c r="Q22" s="442"/>
      <c r="R22" s="443"/>
      <c r="S22" s="472" t="s">
        <v>168</v>
      </c>
      <c r="T22" s="466" t="s">
        <v>222</v>
      </c>
      <c r="U22" s="457">
        <f>U14</f>
        <v>3.9930963065239891E-3</v>
      </c>
      <c r="V22" s="473">
        <f>U11</f>
        <v>9.4083534691059706E-3</v>
      </c>
      <c r="W22" s="442"/>
      <c r="X22" s="442"/>
      <c r="Y22" s="442"/>
      <c r="Z22" s="442"/>
      <c r="AA22" s="442"/>
      <c r="AB22" s="443"/>
      <c r="AC22" s="443"/>
      <c r="AD22" s="443"/>
      <c r="AE22" s="443"/>
      <c r="AF22" s="443"/>
      <c r="AG22" s="443"/>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3"/>
      <c r="BR22" s="443"/>
      <c r="BS22" s="443"/>
      <c r="BT22" s="443"/>
      <c r="BU22" s="443"/>
      <c r="BV22" s="443"/>
      <c r="BW22" s="443"/>
      <c r="BX22" s="443"/>
      <c r="BY22" s="443"/>
      <c r="BZ22" s="443"/>
      <c r="CA22" s="443"/>
      <c r="CB22" s="443"/>
      <c r="CC22" s="443"/>
      <c r="CD22" s="443"/>
      <c r="CE22" s="443"/>
      <c r="CF22" s="443"/>
      <c r="CG22" s="443"/>
      <c r="CH22" s="443"/>
      <c r="CI22" s="443"/>
      <c r="CJ22" s="443"/>
      <c r="CK22" s="443"/>
      <c r="CL22" s="443"/>
      <c r="CM22" s="443"/>
      <c r="CN22" s="443"/>
      <c r="CO22" s="443"/>
      <c r="CP22" s="443"/>
      <c r="CQ22" s="443"/>
      <c r="CR22" s="443"/>
      <c r="CS22" s="443"/>
      <c r="CT22" s="443"/>
      <c r="CU22" s="443"/>
      <c r="CV22" s="443"/>
      <c r="CW22" s="443"/>
      <c r="CX22" s="443"/>
      <c r="CY22" s="443"/>
      <c r="CZ22" s="443"/>
      <c r="DA22" s="443"/>
      <c r="DB22" s="443"/>
      <c r="DC22" s="443"/>
      <c r="DD22" s="443"/>
      <c r="DE22" s="443"/>
      <c r="DF22" s="443"/>
      <c r="DG22" s="443"/>
      <c r="DH22" s="443"/>
      <c r="DI22" s="443"/>
      <c r="DJ22" s="443"/>
      <c r="DK22" s="443"/>
      <c r="DL22" s="443"/>
      <c r="DM22" s="443"/>
      <c r="DN22" s="443"/>
      <c r="DO22" s="443"/>
      <c r="DP22" s="443"/>
      <c r="DQ22" s="443"/>
      <c r="DR22" s="443"/>
      <c r="DS22" s="443"/>
      <c r="DT22" s="443"/>
      <c r="DU22" s="443"/>
      <c r="DV22" s="443"/>
      <c r="DW22" s="443"/>
      <c r="DX22" s="443"/>
      <c r="DY22" s="443"/>
      <c r="DZ22" s="443"/>
      <c r="EA22" s="443"/>
      <c r="EB22" s="443"/>
      <c r="EC22" s="443"/>
      <c r="ED22" s="443"/>
      <c r="EE22" s="443"/>
      <c r="EF22" s="443"/>
      <c r="EG22" s="443"/>
      <c r="EH22" s="443"/>
      <c r="EI22" s="443"/>
      <c r="EJ22" s="443"/>
      <c r="EK22" s="443"/>
      <c r="EL22" s="443"/>
      <c r="EM22" s="443"/>
      <c r="EN22" s="443"/>
      <c r="EO22" s="443"/>
      <c r="EP22" s="443"/>
      <c r="EQ22" s="443"/>
      <c r="ER22" s="443"/>
      <c r="ES22" s="443"/>
      <c r="ET22" s="443"/>
      <c r="EU22" s="443"/>
      <c r="EV22" s="443"/>
      <c r="EW22" s="443"/>
      <c r="EX22" s="443"/>
      <c r="EY22" s="443"/>
      <c r="EZ22" s="443"/>
      <c r="FA22" s="443"/>
      <c r="FB22" s="443"/>
      <c r="FC22" s="443"/>
      <c r="FD22" s="443"/>
      <c r="FE22" s="443"/>
      <c r="FF22" s="443"/>
    </row>
    <row r="23" spans="1:162" s="454" customFormat="1" ht="14" x14ac:dyDescent="0.35">
      <c r="A23" s="442"/>
      <c r="B23" s="443"/>
      <c r="C23" s="455" t="s">
        <v>168</v>
      </c>
      <c r="D23" s="456" t="s">
        <v>220</v>
      </c>
      <c r="E23" s="473">
        <f>E14</f>
        <v>4.0000000000000001E-3</v>
      </c>
      <c r="F23" s="458">
        <f>E11</f>
        <v>1.83E-2</v>
      </c>
      <c r="G23" s="448"/>
      <c r="H23" s="459">
        <v>4.0000000000000001E-3</v>
      </c>
      <c r="I23" s="460">
        <v>1.83E-2</v>
      </c>
      <c r="J23" s="443"/>
      <c r="K23" s="455" t="s">
        <v>168</v>
      </c>
      <c r="L23" s="466" t="s">
        <v>221</v>
      </c>
      <c r="M23" s="473">
        <f>M14</f>
        <v>0.24919999999999998</v>
      </c>
      <c r="N23" s="458">
        <f>M11</f>
        <v>0.49839999999999995</v>
      </c>
      <c r="O23" s="471"/>
      <c r="P23" s="471"/>
      <c r="Q23" s="442"/>
      <c r="R23" s="443"/>
      <c r="S23" s="472"/>
      <c r="T23" s="466" t="s">
        <v>223</v>
      </c>
      <c r="U23" s="457">
        <f>V14</f>
        <v>2.9282706247842592E-3</v>
      </c>
      <c r="V23" s="473">
        <f>V11</f>
        <v>6.8994592106777115E-3</v>
      </c>
      <c r="W23" s="442"/>
      <c r="X23" s="442"/>
      <c r="Y23" s="442"/>
      <c r="Z23" s="442"/>
      <c r="AA23" s="442"/>
      <c r="AB23" s="443"/>
      <c r="AC23" s="443"/>
      <c r="AD23" s="443"/>
      <c r="AE23" s="443"/>
      <c r="AF23" s="443"/>
      <c r="AG23" s="443"/>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2"/>
      <c r="BK23" s="442"/>
      <c r="BL23" s="442"/>
      <c r="BM23" s="442"/>
      <c r="BN23" s="442"/>
      <c r="BO23" s="442"/>
      <c r="BP23" s="442"/>
      <c r="BQ23" s="443"/>
      <c r="BR23" s="443"/>
      <c r="BS23" s="443"/>
      <c r="BT23" s="443"/>
      <c r="BU23" s="443"/>
      <c r="BV23" s="443"/>
      <c r="BW23" s="443"/>
      <c r="BX23" s="443"/>
      <c r="BY23" s="443"/>
      <c r="BZ23" s="443"/>
      <c r="CA23" s="443"/>
      <c r="CB23" s="443"/>
      <c r="CC23" s="443"/>
      <c r="CD23" s="443"/>
      <c r="CE23" s="443"/>
      <c r="CF23" s="443"/>
      <c r="CG23" s="443"/>
      <c r="CH23" s="443"/>
      <c r="CI23" s="443"/>
      <c r="CJ23" s="443"/>
      <c r="CK23" s="443"/>
      <c r="CL23" s="443"/>
      <c r="CM23" s="443"/>
      <c r="CN23" s="443"/>
      <c r="CO23" s="443"/>
      <c r="CP23" s="443"/>
      <c r="CQ23" s="443"/>
      <c r="CR23" s="443"/>
      <c r="CS23" s="443"/>
      <c r="CT23" s="443"/>
      <c r="CU23" s="443"/>
      <c r="CV23" s="443"/>
      <c r="CW23" s="443"/>
      <c r="CX23" s="443"/>
      <c r="CY23" s="443"/>
      <c r="CZ23" s="443"/>
      <c r="DA23" s="443"/>
      <c r="DB23" s="443"/>
      <c r="DC23" s="443"/>
      <c r="DD23" s="443"/>
      <c r="DE23" s="443"/>
      <c r="DF23" s="443"/>
      <c r="DG23" s="443"/>
      <c r="DH23" s="443"/>
      <c r="DI23" s="443"/>
      <c r="DJ23" s="443"/>
      <c r="DK23" s="443"/>
      <c r="DL23" s="443"/>
      <c r="DM23" s="443"/>
      <c r="DN23" s="443"/>
      <c r="DO23" s="443"/>
      <c r="DP23" s="443"/>
      <c r="DQ23" s="443"/>
      <c r="DR23" s="443"/>
      <c r="DS23" s="443"/>
      <c r="DT23" s="443"/>
      <c r="DU23" s="443"/>
      <c r="DV23" s="443"/>
      <c r="DW23" s="443"/>
      <c r="DX23" s="443"/>
      <c r="DY23" s="443"/>
      <c r="DZ23" s="443"/>
      <c r="EA23" s="443"/>
      <c r="EB23" s="443"/>
      <c r="EC23" s="443"/>
      <c r="ED23" s="443"/>
      <c r="EE23" s="443"/>
      <c r="EF23" s="443"/>
      <c r="EG23" s="443"/>
      <c r="EH23" s="443"/>
      <c r="EI23" s="443"/>
      <c r="EJ23" s="443"/>
      <c r="EK23" s="443"/>
      <c r="EL23" s="443"/>
      <c r="EM23" s="443"/>
      <c r="EN23" s="443"/>
      <c r="EO23" s="443"/>
      <c r="EP23" s="443"/>
      <c r="EQ23" s="443"/>
      <c r="ER23" s="443"/>
      <c r="ES23" s="443"/>
      <c r="ET23" s="443"/>
      <c r="EU23" s="443"/>
      <c r="EV23" s="443"/>
      <c r="EW23" s="443"/>
      <c r="EX23" s="443"/>
      <c r="EY23" s="443"/>
      <c r="EZ23" s="443"/>
      <c r="FA23" s="443"/>
      <c r="FB23" s="443"/>
      <c r="FC23" s="443"/>
      <c r="FD23" s="443"/>
      <c r="FE23" s="443"/>
      <c r="FF23" s="443"/>
    </row>
    <row r="24" spans="1:162" s="454" customFormat="1" ht="14" x14ac:dyDescent="0.35">
      <c r="A24" s="442"/>
      <c r="B24" s="443"/>
      <c r="C24" s="469"/>
      <c r="D24" s="466" t="s">
        <v>222</v>
      </c>
      <c r="E24" s="457">
        <f>F14</f>
        <v>5.5229547808077317E-4</v>
      </c>
      <c r="F24" s="458">
        <f>F11</f>
        <v>2.5267518122195371E-3</v>
      </c>
      <c r="G24" s="448"/>
      <c r="H24" s="459">
        <v>5.5229547808077317E-4</v>
      </c>
      <c r="I24" s="460">
        <v>2.5267518122195371E-3</v>
      </c>
      <c r="J24" s="443"/>
      <c r="K24" s="469"/>
      <c r="L24" s="466" t="s">
        <v>222</v>
      </c>
      <c r="M24" s="457">
        <f>N14</f>
        <v>3.4408008284432163E-3</v>
      </c>
      <c r="N24" s="470">
        <f>N11</f>
        <v>6.8816016568864326E-3</v>
      </c>
      <c r="O24" s="471"/>
      <c r="P24" s="471"/>
      <c r="Q24" s="442"/>
      <c r="R24" s="443"/>
      <c r="S24" s="472"/>
      <c r="T24" s="466" t="s">
        <v>224</v>
      </c>
      <c r="U24" s="457">
        <f>W14</f>
        <v>2.5380776523659327E-3</v>
      </c>
      <c r="V24" s="473">
        <f>W11</f>
        <v>6.4440777185657333E-3</v>
      </c>
      <c r="W24" s="442"/>
      <c r="X24" s="442"/>
      <c r="Y24" s="442"/>
      <c r="Z24" s="442"/>
      <c r="AA24" s="442"/>
      <c r="AB24" s="443"/>
      <c r="AC24" s="443"/>
      <c r="AD24" s="443"/>
      <c r="AE24" s="443"/>
      <c r="AF24" s="443"/>
      <c r="AG24" s="443"/>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2"/>
      <c r="BE24" s="442"/>
      <c r="BF24" s="442"/>
      <c r="BG24" s="442"/>
      <c r="BH24" s="442"/>
      <c r="BI24" s="442"/>
      <c r="BJ24" s="442"/>
      <c r="BK24" s="442"/>
      <c r="BL24" s="442"/>
      <c r="BM24" s="442"/>
      <c r="BN24" s="442"/>
      <c r="BO24" s="442"/>
      <c r="BP24" s="442"/>
      <c r="BQ24" s="443"/>
      <c r="BR24" s="443"/>
      <c r="BS24" s="443"/>
      <c r="BT24" s="443"/>
      <c r="BU24" s="443"/>
      <c r="BV24" s="443"/>
      <c r="BW24" s="443"/>
      <c r="BX24" s="443"/>
      <c r="BY24" s="443"/>
      <c r="BZ24" s="443"/>
      <c r="CA24" s="443"/>
      <c r="CB24" s="443"/>
      <c r="CC24" s="443"/>
      <c r="CD24" s="443"/>
      <c r="CE24" s="443"/>
      <c r="CF24" s="443"/>
      <c r="CG24" s="443"/>
      <c r="CH24" s="443"/>
      <c r="CI24" s="443"/>
      <c r="CJ24" s="443"/>
      <c r="CK24" s="443"/>
      <c r="CL24" s="443"/>
      <c r="CM24" s="443"/>
      <c r="CN24" s="443"/>
      <c r="CO24" s="443"/>
      <c r="CP24" s="443"/>
      <c r="CQ24" s="443"/>
      <c r="CR24" s="443"/>
      <c r="CS24" s="443"/>
      <c r="CT24" s="443"/>
      <c r="CU24" s="443"/>
      <c r="CV24" s="443"/>
      <c r="CW24" s="443"/>
      <c r="CX24" s="443"/>
      <c r="CY24" s="443"/>
      <c r="CZ24" s="443"/>
      <c r="DA24" s="443"/>
      <c r="DB24" s="443"/>
      <c r="DC24" s="443"/>
      <c r="DD24" s="443"/>
      <c r="DE24" s="443"/>
      <c r="DF24" s="443"/>
      <c r="DG24" s="443"/>
      <c r="DH24" s="443"/>
      <c r="DI24" s="443"/>
      <c r="DJ24" s="443"/>
      <c r="DK24" s="443"/>
      <c r="DL24" s="443"/>
      <c r="DM24" s="443"/>
      <c r="DN24" s="443"/>
      <c r="DO24" s="443"/>
      <c r="DP24" s="443"/>
      <c r="DQ24" s="443"/>
      <c r="DR24" s="443"/>
      <c r="DS24" s="443"/>
      <c r="DT24" s="443"/>
      <c r="DU24" s="443"/>
      <c r="DV24" s="443"/>
      <c r="DW24" s="443"/>
      <c r="DX24" s="443"/>
      <c r="DY24" s="443"/>
      <c r="DZ24" s="443"/>
      <c r="EA24" s="443"/>
      <c r="EB24" s="443"/>
      <c r="EC24" s="443"/>
      <c r="ED24" s="443"/>
      <c r="EE24" s="443"/>
      <c r="EF24" s="443"/>
      <c r="EG24" s="443"/>
      <c r="EH24" s="443"/>
      <c r="EI24" s="443"/>
      <c r="EJ24" s="443"/>
      <c r="EK24" s="443"/>
      <c r="EL24" s="443"/>
      <c r="EM24" s="443"/>
      <c r="EN24" s="443"/>
      <c r="EO24" s="443"/>
      <c r="EP24" s="443"/>
      <c r="EQ24" s="443"/>
      <c r="ER24" s="443"/>
      <c r="ES24" s="443"/>
      <c r="ET24" s="443"/>
      <c r="EU24" s="443"/>
      <c r="EV24" s="443"/>
      <c r="EW24" s="443"/>
      <c r="EX24" s="443"/>
      <c r="EY24" s="443"/>
      <c r="EZ24" s="443"/>
      <c r="FA24" s="443"/>
      <c r="FB24" s="443"/>
      <c r="FC24" s="443"/>
      <c r="FD24" s="443"/>
      <c r="FE24" s="443"/>
      <c r="FF24" s="443"/>
    </row>
    <row r="25" spans="1:162" s="454" customFormat="1" ht="14" x14ac:dyDescent="0.35">
      <c r="A25" s="442"/>
      <c r="B25" s="443"/>
      <c r="C25" s="469"/>
      <c r="D25" s="466" t="s">
        <v>223</v>
      </c>
      <c r="E25" s="457">
        <f>G14</f>
        <v>4.0501668392590036E-4</v>
      </c>
      <c r="F25" s="474">
        <f>G11</f>
        <v>1.8529513289609939E-3</v>
      </c>
      <c r="G25" s="448"/>
      <c r="H25" s="459">
        <v>4.0501668392590036E-4</v>
      </c>
      <c r="I25" s="460">
        <v>1.8529513289609939E-3</v>
      </c>
      <c r="J25" s="443"/>
      <c r="K25" s="469"/>
      <c r="L25" s="466" t="s">
        <v>223</v>
      </c>
      <c r="M25" s="457">
        <f>O14</f>
        <v>2.5232539408583587E-3</v>
      </c>
      <c r="N25" s="470">
        <f>O11</f>
        <v>5.0465078817167174E-3</v>
      </c>
      <c r="O25" s="471"/>
      <c r="P25" s="471"/>
      <c r="Q25" s="442"/>
      <c r="R25" s="443"/>
      <c r="S25" s="472"/>
      <c r="T25" s="466"/>
      <c r="U25" s="457">
        <f>X14</f>
        <v>0</v>
      </c>
      <c r="V25" s="473">
        <f>X11</f>
        <v>0</v>
      </c>
      <c r="W25" s="442"/>
      <c r="X25" s="442"/>
      <c r="Y25" s="442"/>
      <c r="Z25" s="442"/>
      <c r="AA25" s="442"/>
      <c r="AB25" s="443"/>
      <c r="AC25" s="443"/>
      <c r="AD25" s="443"/>
      <c r="AE25" s="443"/>
      <c r="AF25" s="443"/>
      <c r="AG25" s="443"/>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2"/>
      <c r="BK25" s="442"/>
      <c r="BL25" s="442"/>
      <c r="BM25" s="442"/>
      <c r="BN25" s="442"/>
      <c r="BO25" s="442"/>
      <c r="BP25" s="442"/>
      <c r="BQ25" s="443"/>
      <c r="BR25" s="443"/>
      <c r="BS25" s="443"/>
      <c r="BT25" s="443"/>
      <c r="BU25" s="443"/>
      <c r="BV25" s="443"/>
      <c r="BW25" s="443"/>
      <c r="BX25" s="443"/>
      <c r="BY25" s="443"/>
      <c r="BZ25" s="443"/>
      <c r="CA25" s="443"/>
      <c r="CB25" s="443"/>
      <c r="CC25" s="443"/>
      <c r="CD25" s="443"/>
      <c r="CE25" s="443"/>
      <c r="CF25" s="443"/>
      <c r="CG25" s="443"/>
      <c r="CH25" s="443"/>
      <c r="CI25" s="443"/>
      <c r="CJ25" s="443"/>
      <c r="CK25" s="443"/>
      <c r="CL25" s="443"/>
      <c r="CM25" s="443"/>
      <c r="CN25" s="443"/>
      <c r="CO25" s="443"/>
      <c r="CP25" s="443"/>
      <c r="CQ25" s="443"/>
      <c r="CR25" s="443"/>
      <c r="CS25" s="443"/>
      <c r="CT25" s="443"/>
      <c r="CU25" s="443"/>
      <c r="CV25" s="443"/>
      <c r="CW25" s="443"/>
      <c r="CX25" s="443"/>
      <c r="CY25" s="443"/>
      <c r="CZ25" s="443"/>
      <c r="DA25" s="443"/>
      <c r="DB25" s="443"/>
      <c r="DC25" s="443"/>
      <c r="DD25" s="443"/>
      <c r="DE25" s="443"/>
      <c r="DF25" s="443"/>
      <c r="DG25" s="443"/>
      <c r="DH25" s="443"/>
      <c r="DI25" s="443"/>
      <c r="DJ25" s="443"/>
      <c r="DK25" s="443"/>
      <c r="DL25" s="443"/>
      <c r="DM25" s="443"/>
      <c r="DN25" s="443"/>
      <c r="DO25" s="443"/>
      <c r="DP25" s="443"/>
      <c r="DQ25" s="443"/>
      <c r="DR25" s="443"/>
      <c r="DS25" s="443"/>
      <c r="DT25" s="443"/>
      <c r="DU25" s="443"/>
      <c r="DV25" s="443"/>
      <c r="DW25" s="443"/>
      <c r="DX25" s="443"/>
      <c r="DY25" s="443"/>
      <c r="DZ25" s="443"/>
      <c r="EA25" s="443"/>
      <c r="EB25" s="443"/>
      <c r="EC25" s="443"/>
      <c r="ED25" s="443"/>
      <c r="EE25" s="443"/>
      <c r="EF25" s="443"/>
      <c r="EG25" s="443"/>
      <c r="EH25" s="443"/>
      <c r="EI25" s="443"/>
      <c r="EJ25" s="443"/>
      <c r="EK25" s="443"/>
      <c r="EL25" s="443"/>
      <c r="EM25" s="443"/>
      <c r="EN25" s="443"/>
      <c r="EO25" s="443"/>
      <c r="EP25" s="443"/>
      <c r="EQ25" s="443"/>
      <c r="ER25" s="443"/>
      <c r="ES25" s="443"/>
      <c r="ET25" s="443"/>
      <c r="EU25" s="443"/>
      <c r="EV25" s="443"/>
      <c r="EW25" s="443"/>
      <c r="EX25" s="443"/>
      <c r="EY25" s="443"/>
      <c r="EZ25" s="443"/>
      <c r="FA25" s="443"/>
      <c r="FB25" s="443"/>
      <c r="FC25" s="443"/>
      <c r="FD25" s="443"/>
      <c r="FE25" s="443"/>
      <c r="FF25" s="443"/>
    </row>
    <row r="26" spans="1:162" s="454" customFormat="1" ht="14" x14ac:dyDescent="0.35">
      <c r="A26" s="442"/>
      <c r="B26" s="443"/>
      <c r="C26" s="469"/>
      <c r="D26" s="466" t="s">
        <v>224</v>
      </c>
      <c r="E26" s="457">
        <f>H14</f>
        <v>3.5104808469791607E-4</v>
      </c>
      <c r="F26" s="474">
        <f>H11</f>
        <v>1.7306519261777651E-3</v>
      </c>
      <c r="G26" s="448"/>
      <c r="H26" s="459">
        <v>3.5104808469791607E-4</v>
      </c>
      <c r="I26" s="460">
        <v>1.7306519261777651E-3</v>
      </c>
      <c r="J26" s="443"/>
      <c r="K26" s="469"/>
      <c r="L26" s="466" t="s">
        <v>224</v>
      </c>
      <c r="M26" s="457">
        <f>P14</f>
        <v>2.1870295676680168E-3</v>
      </c>
      <c r="N26" s="470">
        <f>P11</f>
        <v>4.713425792387968E-3</v>
      </c>
      <c r="O26" s="471"/>
      <c r="P26" s="471"/>
      <c r="Q26" s="442"/>
      <c r="R26" s="443"/>
      <c r="S26" s="472" t="s">
        <v>74</v>
      </c>
      <c r="T26" s="466" t="s">
        <v>222</v>
      </c>
      <c r="U26" s="457">
        <f>U15</f>
        <v>5.0000000000000001E-4</v>
      </c>
      <c r="V26" s="457">
        <f>U12</f>
        <v>5.0000000000000001E-4</v>
      </c>
      <c r="W26" s="442"/>
      <c r="X26" s="442"/>
      <c r="Y26" s="442"/>
      <c r="Z26" s="442"/>
      <c r="AA26" s="442"/>
      <c r="AB26" s="443"/>
      <c r="AC26" s="443"/>
      <c r="AD26" s="443"/>
      <c r="AE26" s="443"/>
      <c r="AF26" s="443"/>
      <c r="AG26" s="443"/>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2"/>
      <c r="BD26" s="442"/>
      <c r="BE26" s="442"/>
      <c r="BF26" s="442"/>
      <c r="BG26" s="442"/>
      <c r="BH26" s="442"/>
      <c r="BI26" s="442"/>
      <c r="BJ26" s="442"/>
      <c r="BK26" s="442"/>
      <c r="BL26" s="442"/>
      <c r="BM26" s="442"/>
      <c r="BN26" s="442"/>
      <c r="BO26" s="442"/>
      <c r="BP26" s="442"/>
      <c r="BQ26" s="443"/>
      <c r="BR26" s="443"/>
      <c r="BS26" s="443"/>
      <c r="BT26" s="443"/>
      <c r="BU26" s="443"/>
      <c r="BV26" s="443"/>
      <c r="BW26" s="443"/>
      <c r="BX26" s="443"/>
      <c r="BY26" s="443"/>
      <c r="BZ26" s="443"/>
      <c r="CA26" s="443"/>
      <c r="CB26" s="443"/>
      <c r="CC26" s="443"/>
      <c r="CD26" s="443"/>
      <c r="CE26" s="443"/>
      <c r="CF26" s="443"/>
      <c r="CG26" s="443"/>
      <c r="CH26" s="443"/>
      <c r="CI26" s="443"/>
      <c r="CJ26" s="443"/>
      <c r="CK26" s="443"/>
      <c r="CL26" s="443"/>
      <c r="CM26" s="443"/>
      <c r="CN26" s="443"/>
      <c r="CO26" s="443"/>
      <c r="CP26" s="443"/>
      <c r="CQ26" s="443"/>
      <c r="CR26" s="443"/>
      <c r="CS26" s="443"/>
      <c r="CT26" s="443"/>
      <c r="CU26" s="443"/>
      <c r="CV26" s="443"/>
      <c r="CW26" s="443"/>
      <c r="CX26" s="443"/>
      <c r="CY26" s="443"/>
      <c r="CZ26" s="443"/>
      <c r="DA26" s="443"/>
      <c r="DB26" s="443"/>
      <c r="DC26" s="443"/>
      <c r="DD26" s="443"/>
      <c r="DE26" s="443"/>
      <c r="DF26" s="443"/>
      <c r="DG26" s="443"/>
      <c r="DH26" s="443"/>
      <c r="DI26" s="443"/>
      <c r="DJ26" s="443"/>
      <c r="DK26" s="443"/>
      <c r="DL26" s="443"/>
      <c r="DM26" s="443"/>
      <c r="DN26" s="443"/>
      <c r="DO26" s="443"/>
      <c r="DP26" s="443"/>
      <c r="DQ26" s="443"/>
      <c r="DR26" s="443"/>
      <c r="DS26" s="443"/>
      <c r="DT26" s="443"/>
      <c r="DU26" s="443"/>
      <c r="DV26" s="443"/>
      <c r="DW26" s="443"/>
      <c r="DX26" s="443"/>
      <c r="DY26" s="443"/>
      <c r="DZ26" s="443"/>
      <c r="EA26" s="443"/>
      <c r="EB26" s="443"/>
      <c r="EC26" s="443"/>
      <c r="ED26" s="443"/>
      <c r="EE26" s="443"/>
      <c r="EF26" s="443"/>
      <c r="EG26" s="443"/>
      <c r="EH26" s="443"/>
      <c r="EI26" s="443"/>
      <c r="EJ26" s="443"/>
      <c r="EK26" s="443"/>
      <c r="EL26" s="443"/>
      <c r="EM26" s="443"/>
      <c r="EN26" s="443"/>
      <c r="EO26" s="443"/>
      <c r="EP26" s="443"/>
      <c r="EQ26" s="443"/>
      <c r="ER26" s="443"/>
      <c r="ES26" s="443"/>
      <c r="ET26" s="443"/>
      <c r="EU26" s="443"/>
      <c r="EV26" s="443"/>
      <c r="EW26" s="443"/>
      <c r="EX26" s="443"/>
      <c r="EY26" s="443"/>
      <c r="EZ26" s="443"/>
      <c r="FA26" s="443"/>
      <c r="FB26" s="443"/>
      <c r="FC26" s="443"/>
      <c r="FD26" s="443"/>
      <c r="FE26" s="443"/>
      <c r="FF26" s="443"/>
    </row>
    <row r="27" spans="1:162" s="454" customFormat="1" ht="14" x14ac:dyDescent="0.35">
      <c r="A27" s="442"/>
      <c r="B27" s="443"/>
      <c r="C27" s="475"/>
      <c r="D27" s="466"/>
      <c r="E27" s="457"/>
      <c r="F27" s="474"/>
      <c r="G27" s="448"/>
      <c r="H27" s="459">
        <v>1.3951911058506921E-4</v>
      </c>
      <c r="I27" s="460">
        <v>8.8751380829628975E-4</v>
      </c>
      <c r="J27" s="443"/>
      <c r="K27" s="475"/>
      <c r="L27" s="466"/>
      <c r="M27" s="457"/>
      <c r="N27" s="470"/>
      <c r="O27" s="471"/>
      <c r="P27" s="471"/>
      <c r="Q27" s="442"/>
      <c r="R27" s="443"/>
      <c r="S27" s="472"/>
      <c r="T27" s="466" t="s">
        <v>223</v>
      </c>
      <c r="U27" s="457">
        <f>V15</f>
        <v>3.6666666666666667E-4</v>
      </c>
      <c r="V27" s="457">
        <f>V12</f>
        <v>3.6666666666666667E-4</v>
      </c>
      <c r="W27" s="442"/>
      <c r="X27" s="442"/>
      <c r="Y27" s="442"/>
      <c r="Z27" s="442"/>
      <c r="AA27" s="442"/>
      <c r="AB27" s="443"/>
      <c r="AC27" s="443"/>
      <c r="AD27" s="443"/>
      <c r="AE27" s="443"/>
      <c r="AF27" s="443"/>
      <c r="AG27" s="443"/>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c r="BE27" s="442"/>
      <c r="BF27" s="442"/>
      <c r="BG27" s="442"/>
      <c r="BH27" s="442"/>
      <c r="BI27" s="442"/>
      <c r="BJ27" s="442"/>
      <c r="BK27" s="442"/>
      <c r="BL27" s="442"/>
      <c r="BM27" s="442"/>
      <c r="BN27" s="442"/>
      <c r="BO27" s="442"/>
      <c r="BP27" s="442"/>
      <c r="BQ27" s="443"/>
      <c r="BR27" s="443"/>
      <c r="BS27" s="443"/>
      <c r="BT27" s="443"/>
      <c r="BU27" s="443"/>
      <c r="BV27" s="443"/>
      <c r="BW27" s="443"/>
      <c r="BX27" s="443"/>
      <c r="BY27" s="443"/>
      <c r="BZ27" s="443"/>
      <c r="CA27" s="443"/>
      <c r="CB27" s="443"/>
      <c r="CC27" s="443"/>
      <c r="CD27" s="443"/>
      <c r="CE27" s="443"/>
      <c r="CF27" s="443"/>
      <c r="CG27" s="443"/>
      <c r="CH27" s="443"/>
      <c r="CI27" s="443"/>
      <c r="CJ27" s="443"/>
      <c r="CK27" s="443"/>
      <c r="CL27" s="443"/>
      <c r="CM27" s="443"/>
      <c r="CN27" s="443"/>
      <c r="CO27" s="443"/>
      <c r="CP27" s="443"/>
      <c r="CQ27" s="443"/>
      <c r="CR27" s="443"/>
      <c r="CS27" s="443"/>
      <c r="CT27" s="443"/>
      <c r="CU27" s="443"/>
      <c r="CV27" s="443"/>
      <c r="CW27" s="443"/>
      <c r="CX27" s="443"/>
      <c r="CY27" s="443"/>
      <c r="CZ27" s="443"/>
      <c r="DA27" s="443"/>
      <c r="DB27" s="443"/>
      <c r="DC27" s="443"/>
      <c r="DD27" s="443"/>
      <c r="DE27" s="443"/>
      <c r="DF27" s="443"/>
      <c r="DG27" s="443"/>
      <c r="DH27" s="443"/>
      <c r="DI27" s="443"/>
      <c r="DJ27" s="443"/>
      <c r="DK27" s="443"/>
      <c r="DL27" s="443"/>
      <c r="DM27" s="443"/>
      <c r="DN27" s="443"/>
      <c r="DO27" s="443"/>
      <c r="DP27" s="443"/>
      <c r="DQ27" s="443"/>
      <c r="DR27" s="443"/>
      <c r="DS27" s="443"/>
      <c r="DT27" s="443"/>
      <c r="DU27" s="443"/>
      <c r="DV27" s="443"/>
      <c r="DW27" s="443"/>
      <c r="DX27" s="443"/>
      <c r="DY27" s="443"/>
      <c r="DZ27" s="443"/>
      <c r="EA27" s="443"/>
      <c r="EB27" s="443"/>
      <c r="EC27" s="443"/>
      <c r="ED27" s="443"/>
      <c r="EE27" s="443"/>
      <c r="EF27" s="443"/>
      <c r="EG27" s="443"/>
      <c r="EH27" s="443"/>
      <c r="EI27" s="443"/>
      <c r="EJ27" s="443"/>
      <c r="EK27" s="443"/>
      <c r="EL27" s="443"/>
      <c r="EM27" s="443"/>
      <c r="EN27" s="443"/>
      <c r="EO27" s="443"/>
      <c r="EP27" s="443"/>
      <c r="EQ27" s="443"/>
      <c r="ER27" s="443"/>
      <c r="ES27" s="443"/>
      <c r="ET27" s="443"/>
      <c r="EU27" s="443"/>
      <c r="EV27" s="443"/>
      <c r="EW27" s="443"/>
      <c r="EX27" s="443"/>
      <c r="EY27" s="443"/>
      <c r="EZ27" s="443"/>
      <c r="FA27" s="443"/>
      <c r="FB27" s="443"/>
      <c r="FC27" s="443"/>
      <c r="FD27" s="443"/>
      <c r="FE27" s="443"/>
      <c r="FF27" s="443"/>
    </row>
    <row r="28" spans="1:162" s="454" customFormat="1" ht="14" x14ac:dyDescent="0.35">
      <c r="A28" s="442"/>
      <c r="B28" s="443"/>
      <c r="C28" s="455" t="s">
        <v>74</v>
      </c>
      <c r="D28" s="456" t="s">
        <v>220</v>
      </c>
      <c r="E28" s="473">
        <f>E15</f>
        <v>4.0000000000000001E-3</v>
      </c>
      <c r="F28" s="458">
        <f>E12</f>
        <v>4.0000000000000001E-3</v>
      </c>
      <c r="G28" s="448"/>
      <c r="H28" s="459">
        <v>4.0000000000000001E-3</v>
      </c>
      <c r="I28" s="460">
        <v>4.0000000000000001E-3</v>
      </c>
      <c r="J28" s="443"/>
      <c r="K28" s="455" t="s">
        <v>74</v>
      </c>
      <c r="L28" s="466" t="s">
        <v>221</v>
      </c>
      <c r="M28" s="473">
        <f>M15</f>
        <v>0</v>
      </c>
      <c r="N28" s="458">
        <f>M12</f>
        <v>0</v>
      </c>
      <c r="O28" s="471"/>
      <c r="P28" s="471"/>
      <c r="Q28" s="442"/>
      <c r="R28" s="443"/>
      <c r="S28" s="472"/>
      <c r="T28" s="466" t="s">
        <v>224</v>
      </c>
      <c r="U28" s="457">
        <f>W15</f>
        <v>3.178082191780822E-4</v>
      </c>
      <c r="V28" s="457">
        <f>W12</f>
        <v>3.4246575342465754E-4</v>
      </c>
      <c r="W28" s="442"/>
      <c r="X28" s="442"/>
      <c r="Y28" s="442"/>
      <c r="Z28" s="442"/>
      <c r="AA28" s="442"/>
      <c r="AB28" s="443"/>
      <c r="AC28" s="443"/>
      <c r="AD28" s="443"/>
      <c r="AE28" s="443"/>
      <c r="AF28" s="443"/>
      <c r="AG28" s="443"/>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c r="BE28" s="442"/>
      <c r="BF28" s="442"/>
      <c r="BG28" s="442"/>
      <c r="BH28" s="442"/>
      <c r="BI28" s="442"/>
      <c r="BJ28" s="442"/>
      <c r="BK28" s="442"/>
      <c r="BL28" s="442"/>
      <c r="BM28" s="442"/>
      <c r="BN28" s="442"/>
      <c r="BO28" s="442"/>
      <c r="BP28" s="442"/>
      <c r="BQ28" s="443"/>
      <c r="BR28" s="443"/>
      <c r="BS28" s="443"/>
      <c r="BT28" s="443"/>
      <c r="BU28" s="443"/>
      <c r="BV28" s="443"/>
      <c r="BW28" s="443"/>
      <c r="BX28" s="443"/>
      <c r="BY28" s="443"/>
      <c r="BZ28" s="443"/>
      <c r="CA28" s="443"/>
      <c r="CB28" s="443"/>
      <c r="CC28" s="443"/>
      <c r="CD28" s="443"/>
      <c r="CE28" s="443"/>
      <c r="CF28" s="443"/>
      <c r="CG28" s="443"/>
      <c r="CH28" s="443"/>
      <c r="CI28" s="443"/>
      <c r="CJ28" s="443"/>
      <c r="CK28" s="443"/>
      <c r="CL28" s="443"/>
      <c r="CM28" s="443"/>
      <c r="CN28" s="443"/>
      <c r="CO28" s="443"/>
      <c r="CP28" s="443"/>
      <c r="CQ28" s="443"/>
      <c r="CR28" s="443"/>
      <c r="CS28" s="443"/>
      <c r="CT28" s="443"/>
      <c r="CU28" s="443"/>
      <c r="CV28" s="443"/>
      <c r="CW28" s="443"/>
      <c r="CX28" s="443"/>
      <c r="CY28" s="443"/>
      <c r="CZ28" s="443"/>
      <c r="DA28" s="443"/>
      <c r="DB28" s="443"/>
      <c r="DC28" s="443"/>
      <c r="DD28" s="443"/>
      <c r="DE28" s="443"/>
      <c r="DF28" s="443"/>
      <c r="DG28" s="443"/>
      <c r="DH28" s="443"/>
      <c r="DI28" s="443"/>
      <c r="DJ28" s="443"/>
      <c r="DK28" s="443"/>
      <c r="DL28" s="443"/>
      <c r="DM28" s="443"/>
      <c r="DN28" s="443"/>
      <c r="DO28" s="443"/>
      <c r="DP28" s="443"/>
      <c r="DQ28" s="443"/>
      <c r="DR28" s="443"/>
      <c r="DS28" s="443"/>
      <c r="DT28" s="443"/>
      <c r="DU28" s="443"/>
      <c r="DV28" s="443"/>
      <c r="DW28" s="443"/>
      <c r="DX28" s="443"/>
      <c r="DY28" s="443"/>
      <c r="DZ28" s="443"/>
      <c r="EA28" s="443"/>
      <c r="EB28" s="443"/>
      <c r="EC28" s="443"/>
      <c r="ED28" s="443"/>
      <c r="EE28" s="443"/>
      <c r="EF28" s="443"/>
      <c r="EG28" s="443"/>
      <c r="EH28" s="443"/>
      <c r="EI28" s="443"/>
      <c r="EJ28" s="443"/>
      <c r="EK28" s="443"/>
      <c r="EL28" s="443"/>
      <c r="EM28" s="443"/>
      <c r="EN28" s="443"/>
      <c r="EO28" s="443"/>
      <c r="EP28" s="443"/>
      <c r="EQ28" s="443"/>
      <c r="ER28" s="443"/>
      <c r="ES28" s="443"/>
      <c r="ET28" s="443"/>
      <c r="EU28" s="443"/>
      <c r="EV28" s="443"/>
      <c r="EW28" s="443"/>
      <c r="EX28" s="443"/>
      <c r="EY28" s="443"/>
      <c r="EZ28" s="443"/>
      <c r="FA28" s="443"/>
      <c r="FB28" s="443"/>
      <c r="FC28" s="443"/>
      <c r="FD28" s="443"/>
      <c r="FE28" s="443"/>
      <c r="FF28" s="443"/>
    </row>
    <row r="29" spans="1:162" s="454" customFormat="1" ht="14" x14ac:dyDescent="0.35">
      <c r="A29" s="442"/>
      <c r="B29" s="443"/>
      <c r="C29" s="469"/>
      <c r="D29" s="466" t="s">
        <v>222</v>
      </c>
      <c r="E29" s="457">
        <f>F15</f>
        <v>5.0000000000000001E-4</v>
      </c>
      <c r="F29" s="470">
        <f>F12</f>
        <v>5.0000000000000001E-4</v>
      </c>
      <c r="G29" s="448"/>
      <c r="H29" s="459">
        <v>5.0000000000000001E-4</v>
      </c>
      <c r="I29" s="460">
        <v>5.0000000000000001E-4</v>
      </c>
      <c r="J29" s="443"/>
      <c r="K29" s="469"/>
      <c r="L29" s="466" t="s">
        <v>222</v>
      </c>
      <c r="M29" s="457">
        <f>N15</f>
        <v>0</v>
      </c>
      <c r="N29" s="470">
        <f>N12</f>
        <v>0</v>
      </c>
      <c r="O29" s="471"/>
      <c r="P29" s="471"/>
      <c r="Q29" s="442"/>
      <c r="R29" s="443"/>
      <c r="S29" s="472"/>
      <c r="T29" s="466"/>
      <c r="U29" s="457">
        <f>X15</f>
        <v>0</v>
      </c>
      <c r="V29" s="457">
        <f>X12</f>
        <v>0</v>
      </c>
      <c r="W29" s="442"/>
      <c r="X29" s="442"/>
      <c r="Y29" s="442"/>
      <c r="Z29" s="442"/>
      <c r="AA29" s="442"/>
      <c r="AB29" s="443"/>
      <c r="AC29" s="443"/>
      <c r="AD29" s="443"/>
      <c r="AE29" s="443"/>
      <c r="AF29" s="443"/>
      <c r="AG29" s="443"/>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2"/>
      <c r="BI29" s="442"/>
      <c r="BJ29" s="442"/>
      <c r="BK29" s="442"/>
      <c r="BL29" s="442"/>
      <c r="BM29" s="442"/>
      <c r="BN29" s="442"/>
      <c r="BO29" s="442"/>
      <c r="BP29" s="442"/>
      <c r="BQ29" s="443"/>
      <c r="BR29" s="443"/>
      <c r="BS29" s="443"/>
      <c r="BT29" s="443"/>
      <c r="BU29" s="443"/>
      <c r="BV29" s="443"/>
      <c r="BW29" s="443"/>
      <c r="BX29" s="443"/>
      <c r="BY29" s="443"/>
      <c r="BZ29" s="443"/>
      <c r="CA29" s="443"/>
      <c r="CB29" s="443"/>
      <c r="CC29" s="443"/>
      <c r="CD29" s="443"/>
      <c r="CE29" s="443"/>
      <c r="CF29" s="443"/>
      <c r="CG29" s="443"/>
      <c r="CH29" s="443"/>
      <c r="CI29" s="443"/>
      <c r="CJ29" s="443"/>
      <c r="CK29" s="443"/>
      <c r="CL29" s="443"/>
      <c r="CM29" s="443"/>
      <c r="CN29" s="443"/>
      <c r="CO29" s="443"/>
      <c r="CP29" s="443"/>
      <c r="CQ29" s="443"/>
      <c r="CR29" s="443"/>
      <c r="CS29" s="443"/>
      <c r="CT29" s="443"/>
      <c r="CU29" s="443"/>
      <c r="CV29" s="443"/>
      <c r="CW29" s="443"/>
      <c r="CX29" s="443"/>
      <c r="CY29" s="443"/>
      <c r="CZ29" s="443"/>
      <c r="DA29" s="443"/>
      <c r="DB29" s="443"/>
      <c r="DC29" s="443"/>
      <c r="DD29" s="443"/>
      <c r="DE29" s="443"/>
      <c r="DF29" s="443"/>
      <c r="DG29" s="443"/>
      <c r="DH29" s="443"/>
      <c r="DI29" s="443"/>
      <c r="DJ29" s="443"/>
      <c r="DK29" s="443"/>
      <c r="DL29" s="443"/>
      <c r="DM29" s="443"/>
      <c r="DN29" s="443"/>
      <c r="DO29" s="443"/>
      <c r="DP29" s="443"/>
      <c r="DQ29" s="443"/>
      <c r="DR29" s="443"/>
      <c r="DS29" s="443"/>
      <c r="DT29" s="443"/>
      <c r="DU29" s="443"/>
      <c r="DV29" s="443"/>
      <c r="DW29" s="443"/>
      <c r="DX29" s="443"/>
      <c r="DY29" s="443"/>
      <c r="DZ29" s="443"/>
      <c r="EA29" s="443"/>
      <c r="EB29" s="443"/>
      <c r="EC29" s="443"/>
      <c r="ED29" s="443"/>
      <c r="EE29" s="443"/>
      <c r="EF29" s="443"/>
      <c r="EG29" s="443"/>
      <c r="EH29" s="443"/>
      <c r="EI29" s="443"/>
      <c r="EJ29" s="443"/>
      <c r="EK29" s="443"/>
      <c r="EL29" s="443"/>
      <c r="EM29" s="443"/>
      <c r="EN29" s="443"/>
      <c r="EO29" s="443"/>
      <c r="EP29" s="443"/>
      <c r="EQ29" s="443"/>
      <c r="ER29" s="443"/>
      <c r="ES29" s="443"/>
      <c r="ET29" s="443"/>
      <c r="EU29" s="443"/>
      <c r="EV29" s="443"/>
      <c r="EW29" s="443"/>
      <c r="EX29" s="443"/>
      <c r="EY29" s="443"/>
      <c r="EZ29" s="443"/>
      <c r="FA29" s="443"/>
      <c r="FB29" s="443"/>
      <c r="FC29" s="443"/>
      <c r="FD29" s="443"/>
      <c r="FE29" s="443"/>
      <c r="FF29" s="443"/>
    </row>
    <row r="30" spans="1:162" s="454" customFormat="1" ht="14.5" x14ac:dyDescent="0.35">
      <c r="A30" s="442"/>
      <c r="B30" s="443"/>
      <c r="C30" s="469"/>
      <c r="D30" s="466" t="s">
        <v>223</v>
      </c>
      <c r="E30" s="457">
        <f>G15</f>
        <v>3.6666666666666667E-4</v>
      </c>
      <c r="F30" s="470">
        <f>G12</f>
        <v>3.6666666666666667E-4</v>
      </c>
      <c r="G30" s="448"/>
      <c r="H30" s="459">
        <v>3.6666666666666667E-4</v>
      </c>
      <c r="I30" s="460">
        <v>3.6666666666666667E-4</v>
      </c>
      <c r="J30" s="443"/>
      <c r="K30" s="469"/>
      <c r="L30" s="466" t="s">
        <v>223</v>
      </c>
      <c r="M30" s="457">
        <f>O15</f>
        <v>0</v>
      </c>
      <c r="N30" s="470">
        <f>O12</f>
        <v>0</v>
      </c>
      <c r="O30" s="471"/>
      <c r="P30" s="471"/>
      <c r="Q30" s="442"/>
      <c r="R30" s="443"/>
      <c r="S30" s="476"/>
      <c r="T30" s="476"/>
      <c r="U30" s="476"/>
      <c r="V30" s="442"/>
      <c r="W30" s="442"/>
      <c r="X30" s="442"/>
      <c r="Y30" s="442"/>
      <c r="Z30" s="442"/>
      <c r="AA30" s="442"/>
      <c r="AB30" s="443"/>
      <c r="AC30" s="443"/>
      <c r="AD30" s="443"/>
      <c r="AE30" s="443"/>
      <c r="AF30" s="443"/>
      <c r="AG30" s="443"/>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2"/>
      <c r="BI30" s="442"/>
      <c r="BJ30" s="442"/>
      <c r="BK30" s="442"/>
      <c r="BL30" s="442"/>
      <c r="BM30" s="442"/>
      <c r="BN30" s="442"/>
      <c r="BO30" s="442"/>
      <c r="BP30" s="442"/>
      <c r="BQ30" s="443"/>
      <c r="BR30" s="443"/>
      <c r="BS30" s="443"/>
      <c r="BT30" s="443"/>
      <c r="BU30" s="443"/>
      <c r="BV30" s="443"/>
      <c r="BW30" s="443"/>
      <c r="BX30" s="443"/>
      <c r="BY30" s="443"/>
      <c r="BZ30" s="443"/>
      <c r="CA30" s="443"/>
      <c r="CB30" s="443"/>
      <c r="CC30" s="443"/>
      <c r="CD30" s="443"/>
      <c r="CE30" s="443"/>
      <c r="CF30" s="443"/>
      <c r="CG30" s="443"/>
      <c r="CH30" s="443"/>
      <c r="CI30" s="443"/>
      <c r="CJ30" s="443"/>
      <c r="CK30" s="443"/>
      <c r="CL30" s="443"/>
      <c r="CM30" s="443"/>
      <c r="CN30" s="443"/>
      <c r="CO30" s="443"/>
      <c r="CP30" s="443"/>
      <c r="CQ30" s="443"/>
      <c r="CR30" s="443"/>
      <c r="CS30" s="443"/>
      <c r="CT30" s="443"/>
      <c r="CU30" s="443"/>
      <c r="CV30" s="443"/>
      <c r="CW30" s="443"/>
      <c r="CX30" s="443"/>
      <c r="CY30" s="443"/>
      <c r="CZ30" s="443"/>
      <c r="DA30" s="443"/>
      <c r="DB30" s="443"/>
      <c r="DC30" s="443"/>
      <c r="DD30" s="443"/>
      <c r="DE30" s="443"/>
      <c r="DF30" s="443"/>
      <c r="DG30" s="443"/>
      <c r="DH30" s="443"/>
      <c r="DI30" s="443"/>
      <c r="DJ30" s="443"/>
      <c r="DK30" s="443"/>
      <c r="DL30" s="443"/>
      <c r="DM30" s="443"/>
      <c r="DN30" s="443"/>
      <c r="DO30" s="443"/>
      <c r="DP30" s="443"/>
      <c r="DQ30" s="443"/>
      <c r="DR30" s="443"/>
      <c r="DS30" s="443"/>
      <c r="DT30" s="443"/>
      <c r="DU30" s="443"/>
      <c r="DV30" s="443"/>
      <c r="DW30" s="443"/>
      <c r="DX30" s="443"/>
      <c r="DY30" s="443"/>
      <c r="DZ30" s="443"/>
      <c r="EA30" s="443"/>
      <c r="EB30" s="443"/>
      <c r="EC30" s="443"/>
      <c r="ED30" s="443"/>
      <c r="EE30" s="443"/>
      <c r="EF30" s="443"/>
      <c r="EG30" s="443"/>
      <c r="EH30" s="443"/>
      <c r="EI30" s="443"/>
      <c r="EJ30" s="443"/>
      <c r="EK30" s="443"/>
      <c r="EL30" s="443"/>
      <c r="EM30" s="443"/>
      <c r="EN30" s="443"/>
      <c r="EO30" s="443"/>
      <c r="EP30" s="443"/>
      <c r="EQ30" s="443"/>
      <c r="ER30" s="443"/>
      <c r="ES30" s="443"/>
      <c r="ET30" s="443"/>
      <c r="EU30" s="443"/>
      <c r="EV30" s="443"/>
      <c r="EW30" s="443"/>
      <c r="EX30" s="443"/>
      <c r="EY30" s="443"/>
      <c r="EZ30" s="443"/>
      <c r="FA30" s="443"/>
      <c r="FB30" s="443"/>
      <c r="FC30" s="443"/>
      <c r="FD30" s="443"/>
      <c r="FE30" s="443"/>
      <c r="FF30" s="443"/>
    </row>
    <row r="31" spans="1:162" s="454" customFormat="1" ht="14" x14ac:dyDescent="0.35">
      <c r="A31" s="442"/>
      <c r="B31" s="443"/>
      <c r="C31" s="469"/>
      <c r="D31" s="466" t="s">
        <v>224</v>
      </c>
      <c r="E31" s="457">
        <f>H15</f>
        <v>3.178082191780822E-4</v>
      </c>
      <c r="F31" s="470">
        <f>H12</f>
        <v>3.4246575342465754E-4</v>
      </c>
      <c r="G31" s="448"/>
      <c r="H31" s="459">
        <v>3.178082191780822E-4</v>
      </c>
      <c r="I31" s="460">
        <v>3.4246575342465754E-4</v>
      </c>
      <c r="J31" s="443"/>
      <c r="K31" s="469"/>
      <c r="L31" s="466" t="s">
        <v>224</v>
      </c>
      <c r="M31" s="457">
        <f>P15</f>
        <v>0</v>
      </c>
      <c r="N31" s="470">
        <f>P12</f>
        <v>0</v>
      </c>
      <c r="O31" s="471"/>
      <c r="P31" s="471"/>
      <c r="Q31" s="442"/>
      <c r="R31" s="442"/>
      <c r="S31" s="442"/>
      <c r="T31" s="442"/>
      <c r="U31" s="442"/>
      <c r="V31" s="442"/>
      <c r="W31" s="442"/>
      <c r="X31" s="442"/>
      <c r="Y31" s="442"/>
      <c r="Z31" s="442"/>
      <c r="AA31" s="442"/>
      <c r="AB31" s="443"/>
      <c r="AC31" s="443"/>
      <c r="AD31" s="443"/>
      <c r="AE31" s="443"/>
      <c r="AF31" s="443"/>
      <c r="AG31" s="443"/>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c r="BE31" s="442"/>
      <c r="BF31" s="442"/>
      <c r="BG31" s="442"/>
      <c r="BH31" s="442"/>
      <c r="BI31" s="442"/>
      <c r="BJ31" s="442"/>
      <c r="BK31" s="442"/>
      <c r="BL31" s="442"/>
      <c r="BM31" s="442"/>
      <c r="BN31" s="442"/>
      <c r="BO31" s="442"/>
      <c r="BP31" s="442"/>
      <c r="BQ31" s="443"/>
      <c r="BR31" s="443"/>
      <c r="BS31" s="443"/>
      <c r="BT31" s="443"/>
      <c r="BU31" s="443"/>
      <c r="BV31" s="443"/>
      <c r="BW31" s="443"/>
      <c r="BX31" s="443"/>
      <c r="BY31" s="443"/>
      <c r="BZ31" s="443"/>
      <c r="CA31" s="443"/>
      <c r="CB31" s="443"/>
      <c r="CC31" s="443"/>
      <c r="CD31" s="443"/>
      <c r="CE31" s="443"/>
      <c r="CF31" s="443"/>
      <c r="CG31" s="443"/>
      <c r="CH31" s="443"/>
      <c r="CI31" s="443"/>
      <c r="CJ31" s="443"/>
      <c r="CK31" s="443"/>
      <c r="CL31" s="443"/>
      <c r="CM31" s="443"/>
      <c r="CN31" s="443"/>
      <c r="CO31" s="443"/>
      <c r="CP31" s="443"/>
      <c r="CQ31" s="443"/>
      <c r="CR31" s="443"/>
      <c r="CS31" s="443"/>
      <c r="CT31" s="443"/>
      <c r="CU31" s="443"/>
      <c r="CV31" s="443"/>
      <c r="CW31" s="443"/>
      <c r="CX31" s="443"/>
      <c r="CY31" s="443"/>
      <c r="CZ31" s="443"/>
      <c r="DA31" s="443"/>
      <c r="DB31" s="443"/>
      <c r="DC31" s="443"/>
      <c r="DD31" s="443"/>
      <c r="DE31" s="443"/>
      <c r="DF31" s="443"/>
      <c r="DG31" s="443"/>
      <c r="DH31" s="443"/>
      <c r="DI31" s="443"/>
      <c r="DJ31" s="443"/>
      <c r="DK31" s="443"/>
      <c r="DL31" s="443"/>
      <c r="DM31" s="443"/>
      <c r="DN31" s="443"/>
      <c r="DO31" s="443"/>
      <c r="DP31" s="443"/>
      <c r="DQ31" s="443"/>
      <c r="DR31" s="443"/>
      <c r="DS31" s="443"/>
      <c r="DT31" s="443"/>
      <c r="DU31" s="443"/>
      <c r="DV31" s="443"/>
      <c r="DW31" s="443"/>
      <c r="DX31" s="443"/>
      <c r="DY31" s="443"/>
      <c r="DZ31" s="443"/>
      <c r="EA31" s="443"/>
      <c r="EB31" s="443"/>
      <c r="EC31" s="443"/>
      <c r="ED31" s="443"/>
      <c r="EE31" s="443"/>
      <c r="EF31" s="443"/>
      <c r="EG31" s="443"/>
      <c r="EH31" s="443"/>
      <c r="EI31" s="443"/>
      <c r="EJ31" s="443"/>
      <c r="EK31" s="443"/>
      <c r="EL31" s="443"/>
      <c r="EM31" s="443"/>
      <c r="EN31" s="443"/>
      <c r="EO31" s="443"/>
      <c r="EP31" s="443"/>
      <c r="EQ31" s="443"/>
      <c r="ER31" s="443"/>
      <c r="ES31" s="443"/>
      <c r="ET31" s="443"/>
      <c r="EU31" s="443"/>
      <c r="EV31" s="443"/>
      <c r="EW31" s="443"/>
      <c r="EX31" s="443"/>
      <c r="EY31" s="443"/>
      <c r="EZ31" s="443"/>
      <c r="FA31" s="443"/>
      <c r="FB31" s="443"/>
      <c r="FC31" s="443"/>
      <c r="FD31" s="443"/>
      <c r="FE31" s="443"/>
      <c r="FF31" s="443"/>
    </row>
    <row r="32" spans="1:162" s="454" customFormat="1" ht="14.5" thickBot="1" x14ac:dyDescent="0.4">
      <c r="A32" s="442"/>
      <c r="B32" s="443"/>
      <c r="C32" s="477"/>
      <c r="D32" s="478"/>
      <c r="E32" s="479"/>
      <c r="F32" s="480"/>
      <c r="G32" s="448"/>
      <c r="H32" s="459">
        <v>1.2630839480154548E-4</v>
      </c>
      <c r="I32" s="460">
        <v>1.7562346329469617E-4</v>
      </c>
      <c r="J32" s="443"/>
      <c r="K32" s="477"/>
      <c r="L32" s="466"/>
      <c r="M32" s="479"/>
      <c r="N32" s="480"/>
      <c r="O32" s="471"/>
      <c r="P32" s="471"/>
      <c r="Q32" s="442"/>
      <c r="R32" s="442"/>
      <c r="S32" s="442"/>
      <c r="T32" s="442"/>
      <c r="U32" s="442"/>
      <c r="V32" s="442"/>
      <c r="W32" s="442"/>
      <c r="X32" s="442"/>
      <c r="Y32" s="442"/>
      <c r="Z32" s="442"/>
      <c r="AA32" s="442"/>
      <c r="AB32" s="443"/>
      <c r="AC32" s="443"/>
      <c r="AD32" s="443"/>
      <c r="AE32" s="443"/>
      <c r="AF32" s="443"/>
      <c r="AG32" s="443"/>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2"/>
      <c r="BG32" s="442"/>
      <c r="BH32" s="442"/>
      <c r="BI32" s="442"/>
      <c r="BJ32" s="442"/>
      <c r="BK32" s="442"/>
      <c r="BL32" s="442"/>
      <c r="BM32" s="442"/>
      <c r="BN32" s="442"/>
      <c r="BO32" s="442"/>
      <c r="BP32" s="442"/>
      <c r="BQ32" s="443"/>
      <c r="BR32" s="443"/>
      <c r="BS32" s="443"/>
      <c r="BT32" s="443"/>
      <c r="BU32" s="443"/>
      <c r="BV32" s="443"/>
      <c r="BW32" s="443"/>
      <c r="BX32" s="443"/>
      <c r="BY32" s="443"/>
      <c r="BZ32" s="443"/>
      <c r="CA32" s="443"/>
      <c r="CB32" s="443"/>
      <c r="CC32" s="443"/>
      <c r="CD32" s="443"/>
      <c r="CE32" s="443"/>
      <c r="CF32" s="443"/>
      <c r="CG32" s="443"/>
      <c r="CH32" s="443"/>
      <c r="CI32" s="443"/>
      <c r="CJ32" s="443"/>
      <c r="CK32" s="443"/>
      <c r="CL32" s="443"/>
      <c r="CM32" s="443"/>
      <c r="CN32" s="443"/>
      <c r="CO32" s="443"/>
      <c r="CP32" s="443"/>
      <c r="CQ32" s="443"/>
      <c r="CR32" s="443"/>
      <c r="CS32" s="443"/>
      <c r="CT32" s="443"/>
      <c r="CU32" s="443"/>
      <c r="CV32" s="443"/>
      <c r="CW32" s="443"/>
      <c r="CX32" s="443"/>
      <c r="CY32" s="443"/>
      <c r="CZ32" s="443"/>
      <c r="DA32" s="443"/>
      <c r="DB32" s="443"/>
      <c r="DC32" s="443"/>
      <c r="DD32" s="443"/>
      <c r="DE32" s="443"/>
      <c r="DF32" s="443"/>
      <c r="DG32" s="443"/>
      <c r="DH32" s="443"/>
      <c r="DI32" s="443"/>
      <c r="DJ32" s="443"/>
      <c r="DK32" s="443"/>
      <c r="DL32" s="443"/>
      <c r="DM32" s="443"/>
      <c r="DN32" s="443"/>
      <c r="DO32" s="443"/>
      <c r="DP32" s="443"/>
      <c r="DQ32" s="443"/>
      <c r="DR32" s="443"/>
      <c r="DS32" s="443"/>
      <c r="DT32" s="443"/>
      <c r="DU32" s="443"/>
      <c r="DV32" s="443"/>
      <c r="DW32" s="443"/>
      <c r="DX32" s="443"/>
      <c r="DY32" s="443"/>
      <c r="DZ32" s="443"/>
      <c r="EA32" s="443"/>
      <c r="EB32" s="443"/>
      <c r="EC32" s="443"/>
      <c r="ED32" s="443"/>
      <c r="EE32" s="443"/>
      <c r="EF32" s="443"/>
      <c r="EG32" s="443"/>
      <c r="EH32" s="443"/>
      <c r="EI32" s="443"/>
      <c r="EJ32" s="443"/>
      <c r="EK32" s="443"/>
      <c r="EL32" s="443"/>
      <c r="EM32" s="443"/>
      <c r="EN32" s="443"/>
      <c r="EO32" s="443"/>
      <c r="EP32" s="443"/>
      <c r="EQ32" s="443"/>
      <c r="ER32" s="443"/>
      <c r="ES32" s="443"/>
      <c r="ET32" s="443"/>
      <c r="EU32" s="443"/>
      <c r="EV32" s="443"/>
      <c r="EW32" s="443"/>
      <c r="EX32" s="443"/>
      <c r="EY32" s="443"/>
      <c r="EZ32" s="443"/>
      <c r="FA32" s="443"/>
      <c r="FB32" s="443"/>
      <c r="FC32" s="443"/>
      <c r="FD32" s="443"/>
      <c r="FE32" s="443"/>
      <c r="FF32" s="443"/>
    </row>
    <row r="33" spans="1:162" s="454" customFormat="1" ht="14" x14ac:dyDescent="0.35">
      <c r="A33" s="442"/>
      <c r="B33" s="443"/>
      <c r="C33" s="443"/>
      <c r="D33" s="481"/>
      <c r="E33" s="448"/>
      <c r="F33" s="448"/>
      <c r="G33" s="448"/>
      <c r="H33" s="459"/>
      <c r="I33" s="460"/>
      <c r="J33" s="482"/>
      <c r="O33" s="471"/>
      <c r="P33" s="471"/>
      <c r="Q33" s="442"/>
      <c r="R33" s="442"/>
      <c r="S33" s="442"/>
      <c r="T33" s="442"/>
      <c r="U33" s="442"/>
      <c r="V33" s="442"/>
      <c r="W33" s="442"/>
      <c r="X33" s="442"/>
      <c r="Y33" s="442"/>
      <c r="Z33" s="442"/>
      <c r="AA33" s="442"/>
      <c r="AB33" s="443"/>
      <c r="AC33" s="443"/>
      <c r="AD33" s="443"/>
      <c r="AE33" s="443"/>
      <c r="AF33" s="443"/>
      <c r="AG33" s="443"/>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2"/>
      <c r="BD33" s="442"/>
      <c r="BE33" s="442"/>
      <c r="BF33" s="442"/>
      <c r="BG33" s="442"/>
      <c r="BH33" s="442"/>
      <c r="BI33" s="442"/>
      <c r="BJ33" s="442"/>
      <c r="BK33" s="442"/>
      <c r="BL33" s="442"/>
      <c r="BM33" s="442"/>
      <c r="BN33" s="442"/>
      <c r="BO33" s="442"/>
      <c r="BP33" s="442"/>
      <c r="BQ33" s="443"/>
      <c r="BR33" s="443"/>
      <c r="BS33" s="443"/>
      <c r="BT33" s="443"/>
      <c r="BU33" s="443"/>
      <c r="BV33" s="443"/>
      <c r="BW33" s="443"/>
      <c r="BX33" s="443"/>
      <c r="BY33" s="443"/>
      <c r="BZ33" s="443"/>
      <c r="CA33" s="443"/>
      <c r="CB33" s="443"/>
      <c r="CC33" s="443"/>
      <c r="CD33" s="443"/>
      <c r="CE33" s="443"/>
      <c r="CF33" s="443"/>
      <c r="CG33" s="443"/>
      <c r="CH33" s="443"/>
      <c r="CI33" s="443"/>
      <c r="CJ33" s="443"/>
      <c r="CK33" s="443"/>
      <c r="CL33" s="443"/>
      <c r="CM33" s="443"/>
      <c r="CN33" s="443"/>
      <c r="CO33" s="443"/>
      <c r="CP33" s="443"/>
      <c r="CQ33" s="443"/>
      <c r="CR33" s="443"/>
      <c r="CS33" s="443"/>
      <c r="CT33" s="443"/>
      <c r="CU33" s="443"/>
      <c r="CV33" s="443"/>
      <c r="CW33" s="443"/>
      <c r="CX33" s="443"/>
      <c r="CY33" s="443"/>
      <c r="CZ33" s="443"/>
      <c r="DA33" s="443"/>
      <c r="DB33" s="443"/>
      <c r="DC33" s="443"/>
      <c r="DD33" s="443"/>
      <c r="DE33" s="443"/>
      <c r="DF33" s="443"/>
      <c r="DG33" s="443"/>
      <c r="DH33" s="443"/>
      <c r="DI33" s="443"/>
      <c r="DJ33" s="443"/>
      <c r="DK33" s="443"/>
      <c r="DL33" s="443"/>
      <c r="DM33" s="443"/>
      <c r="DN33" s="443"/>
      <c r="DO33" s="443"/>
      <c r="DP33" s="443"/>
      <c r="DQ33" s="443"/>
      <c r="DR33" s="443"/>
      <c r="DS33" s="443"/>
      <c r="DT33" s="443"/>
      <c r="DU33" s="443"/>
      <c r="DV33" s="443"/>
      <c r="DW33" s="443"/>
      <c r="DX33" s="443"/>
      <c r="DY33" s="443"/>
      <c r="DZ33" s="443"/>
      <c r="EA33" s="443"/>
      <c r="EB33" s="443"/>
      <c r="EC33" s="443"/>
      <c r="ED33" s="443"/>
      <c r="EE33" s="443"/>
      <c r="EF33" s="443"/>
      <c r="EG33" s="443"/>
      <c r="EH33" s="443"/>
      <c r="EI33" s="443"/>
      <c r="EJ33" s="443"/>
      <c r="EK33" s="443"/>
      <c r="EL33" s="443"/>
      <c r="EM33" s="443"/>
      <c r="EN33" s="443"/>
      <c r="EO33" s="443"/>
      <c r="EP33" s="443"/>
      <c r="EQ33" s="443"/>
      <c r="ER33" s="443"/>
      <c r="ES33" s="443"/>
      <c r="ET33" s="443"/>
      <c r="EU33" s="443"/>
      <c r="EV33" s="443"/>
      <c r="EW33" s="443"/>
      <c r="EX33" s="443"/>
      <c r="EY33" s="443"/>
      <c r="EZ33" s="443"/>
      <c r="FA33" s="443"/>
      <c r="FB33" s="443"/>
      <c r="FC33" s="443"/>
      <c r="FD33" s="443"/>
      <c r="FE33" s="443"/>
      <c r="FF33" s="443"/>
    </row>
    <row r="34" spans="1:162" s="443" customFormat="1" ht="14" x14ac:dyDescent="0.35">
      <c r="B34" s="482"/>
      <c r="D34" s="482"/>
      <c r="O34" s="471"/>
      <c r="P34" s="471"/>
      <c r="Q34" s="442"/>
    </row>
    <row r="35" spans="1:162" s="443" customFormat="1" ht="14" x14ac:dyDescent="0.35">
      <c r="B35" s="482"/>
      <c r="D35" s="482"/>
      <c r="O35" s="471"/>
      <c r="P35" s="471"/>
      <c r="Q35" s="442"/>
    </row>
    <row r="36" spans="1:162" s="443" customFormat="1" ht="14" x14ac:dyDescent="0.35">
      <c r="B36" s="482"/>
      <c r="C36" s="27"/>
      <c r="D36" s="28"/>
      <c r="E36" s="27"/>
      <c r="F36" s="27"/>
      <c r="K36" s="482"/>
      <c r="L36" s="471"/>
      <c r="M36" s="471"/>
      <c r="N36" s="471"/>
      <c r="O36" s="471"/>
      <c r="P36" s="471"/>
      <c r="Q36" s="442"/>
    </row>
    <row r="37" spans="1:162" s="443" customFormat="1" ht="14" x14ac:dyDescent="0.35">
      <c r="B37" s="482"/>
      <c r="C37" s="27"/>
      <c r="D37" s="28"/>
      <c r="E37" s="27"/>
      <c r="F37" s="27"/>
    </row>
    <row r="38" spans="1:162" s="443" customFormat="1" ht="14" x14ac:dyDescent="0.35">
      <c r="B38" s="482"/>
      <c r="C38" s="27"/>
      <c r="D38" s="28"/>
      <c r="E38" s="27"/>
      <c r="F38" s="27"/>
    </row>
    <row r="39" spans="1:162" x14ac:dyDescent="0.35">
      <c r="AC39" s="27"/>
      <c r="AD39" s="27"/>
      <c r="AE39" s="27"/>
      <c r="AF39" s="27"/>
      <c r="AG39" s="27"/>
      <c r="AH39" s="27"/>
      <c r="AI39" s="27"/>
    </row>
    <row r="40" spans="1:162" x14ac:dyDescent="0.35">
      <c r="AC40" s="27"/>
      <c r="AD40" s="27"/>
      <c r="AE40" s="27"/>
      <c r="AF40" s="27"/>
      <c r="AG40" s="27"/>
      <c r="AH40" s="27"/>
      <c r="AI40" s="27"/>
    </row>
    <row r="41" spans="1:162" x14ac:dyDescent="0.35">
      <c r="AC41" s="27"/>
      <c r="AD41" s="27"/>
      <c r="AE41" s="27"/>
      <c r="AF41" s="27"/>
      <c r="AG41" s="27"/>
      <c r="AH41" s="27"/>
      <c r="AI41" s="27"/>
    </row>
    <row r="42" spans="1:162" x14ac:dyDescent="0.35">
      <c r="AC42" s="27"/>
      <c r="AD42" s="27"/>
      <c r="AE42" s="27"/>
      <c r="AF42" s="27"/>
      <c r="AG42" s="27"/>
      <c r="AH42" s="27"/>
      <c r="AI42" s="27"/>
    </row>
    <row r="43" spans="1:162" x14ac:dyDescent="0.35">
      <c r="AC43" s="27"/>
      <c r="AD43" s="27"/>
      <c r="AE43" s="27"/>
      <c r="AF43" s="27"/>
      <c r="AG43" s="27"/>
      <c r="AH43" s="27"/>
      <c r="AI43" s="27"/>
    </row>
    <row r="44" spans="1:162" x14ac:dyDescent="0.35">
      <c r="AC44" s="27"/>
      <c r="AD44" s="27"/>
      <c r="AE44" s="27"/>
      <c r="AF44" s="27"/>
      <c r="AG44" s="27"/>
      <c r="AH44" s="27"/>
      <c r="AI44" s="27"/>
    </row>
  </sheetData>
  <sheetProtection sheet="1" objects="1" scenarios="1" formatCells="0" formatColumns="0" formatRows="0" sort="0" autoFilter="0"/>
  <dataConsolidate link="1"/>
  <mergeCells count="23">
    <mergeCell ref="E8:E9"/>
    <mergeCell ref="C18:C22"/>
    <mergeCell ref="C23:C27"/>
    <mergeCell ref="C28:C32"/>
    <mergeCell ref="S26:S29"/>
    <mergeCell ref="D13:D15"/>
    <mergeCell ref="S18:S21"/>
    <mergeCell ref="S22:S25"/>
    <mergeCell ref="L13:L15"/>
    <mergeCell ref="K18:K22"/>
    <mergeCell ref="K23:K27"/>
    <mergeCell ref="K28:K32"/>
    <mergeCell ref="D10:D12"/>
    <mergeCell ref="C8:C9"/>
    <mergeCell ref="D8:D9"/>
    <mergeCell ref="T13:T15"/>
    <mergeCell ref="T10:T12"/>
    <mergeCell ref="M8:M9"/>
    <mergeCell ref="K8:K9"/>
    <mergeCell ref="L8:L9"/>
    <mergeCell ref="S8:S9"/>
    <mergeCell ref="T8:T9"/>
    <mergeCell ref="L10:L12"/>
  </mergeCells>
  <conditionalFormatting sqref="E10:I15 E18:F32">
    <cfRule type="cellIs" dxfId="104" priority="20" operator="greaterThan">
      <formula>10000</formula>
    </cfRule>
    <cfRule type="cellIs" dxfId="103" priority="21" operator="between">
      <formula>10</formula>
      <formula>9999.999</formula>
    </cfRule>
    <cfRule type="cellIs" dxfId="102" priority="22" operator="between">
      <formula>1</formula>
      <formula>9.999</formula>
    </cfRule>
    <cfRule type="cellIs" dxfId="101" priority="23" operator="between">
      <formula>0.1</formula>
      <formula>0.999</formula>
    </cfRule>
    <cfRule type="cellIs" dxfId="100" priority="24" operator="lessThan">
      <formula>0.1</formula>
    </cfRule>
    <cfRule type="cellIs" dxfId="99" priority="19" operator="equal">
      <formula>0</formula>
    </cfRule>
  </conditionalFormatting>
  <conditionalFormatting sqref="M18:M22 M23:N32">
    <cfRule type="cellIs" dxfId="98" priority="68" operator="lessThan">
      <formula>0.1</formula>
    </cfRule>
    <cfRule type="cellIs" dxfId="97" priority="63" operator="equal">
      <formula>0</formula>
    </cfRule>
    <cfRule type="cellIs" dxfId="96" priority="64" operator="greaterThan">
      <formula>10000</formula>
    </cfRule>
    <cfRule type="cellIs" dxfId="95" priority="65" operator="between">
      <formula>10</formula>
      <formula>9999.999</formula>
    </cfRule>
    <cfRule type="cellIs" dxfId="94" priority="66" operator="between">
      <formula>1</formula>
      <formula>9.999</formula>
    </cfRule>
    <cfRule type="cellIs" dxfId="93" priority="67" operator="between">
      <formula>0.1</formula>
      <formula>0.999</formula>
    </cfRule>
  </conditionalFormatting>
  <conditionalFormatting sqref="M10:Q15">
    <cfRule type="cellIs" dxfId="92" priority="13" operator="equal">
      <formula>0</formula>
    </cfRule>
    <cfRule type="cellIs" dxfId="91" priority="14" operator="greaterThan">
      <formula>10000</formula>
    </cfRule>
    <cfRule type="cellIs" dxfId="90" priority="15" operator="between">
      <formula>10</formula>
      <formula>9999.999</formula>
    </cfRule>
    <cfRule type="cellIs" dxfId="89" priority="16" operator="between">
      <formula>1</formula>
      <formula>9.999</formula>
    </cfRule>
    <cfRule type="cellIs" dxfId="88" priority="17" operator="between">
      <formula>0.1</formula>
      <formula>0.999</formula>
    </cfRule>
    <cfRule type="cellIs" dxfId="87" priority="18" operator="lessThan">
      <formula>0.1</formula>
    </cfRule>
  </conditionalFormatting>
  <conditionalFormatting sqref="N18">
    <cfRule type="cellIs" dxfId="86" priority="7" operator="equal">
      <formula>0</formula>
    </cfRule>
    <cfRule type="cellIs" dxfId="85" priority="8" operator="greaterThan">
      <formula>10000</formula>
    </cfRule>
    <cfRule type="cellIs" dxfId="84" priority="9" operator="between">
      <formula>10</formula>
      <formula>9999.999</formula>
    </cfRule>
    <cfRule type="cellIs" dxfId="83" priority="10" operator="between">
      <formula>1</formula>
      <formula>9.999</formula>
    </cfRule>
    <cfRule type="cellIs" dxfId="82" priority="11" operator="between">
      <formula>0.1</formula>
      <formula>0.999</formula>
    </cfRule>
    <cfRule type="cellIs" dxfId="81" priority="12" operator="lessThan">
      <formula>0.1</formula>
    </cfRule>
  </conditionalFormatting>
  <conditionalFormatting sqref="U18:V29">
    <cfRule type="cellIs" dxfId="80" priority="50" operator="equal">
      <formula>0</formula>
    </cfRule>
    <cfRule type="cellIs" dxfId="79" priority="51" operator="greaterThan">
      <formula>10000</formula>
    </cfRule>
    <cfRule type="cellIs" dxfId="78" priority="52" operator="between">
      <formula>10</formula>
      <formula>9999.999</formula>
    </cfRule>
    <cfRule type="cellIs" dxfId="77" priority="53" operator="between">
      <formula>1</formula>
      <formula>9.999</formula>
    </cfRule>
    <cfRule type="cellIs" dxfId="76" priority="54" operator="between">
      <formula>0.1</formula>
      <formula>0.999</formula>
    </cfRule>
    <cfRule type="cellIs" dxfId="75" priority="55" operator="lessThan">
      <formula>0.1</formula>
    </cfRule>
  </conditionalFormatting>
  <conditionalFormatting sqref="U10:X15">
    <cfRule type="cellIs" dxfId="74" priority="44" operator="greaterThan">
      <formula>10000</formula>
    </cfRule>
    <cfRule type="cellIs" dxfId="73" priority="45" operator="between">
      <formula>10</formula>
      <formula>9999.999</formula>
    </cfRule>
    <cfRule type="cellIs" dxfId="72" priority="46" operator="between">
      <formula>1</formula>
      <formula>9.999</formula>
    </cfRule>
    <cfRule type="cellIs" dxfId="71" priority="47" operator="between">
      <formula>0.1</formula>
      <formula>0.999</formula>
    </cfRule>
    <cfRule type="cellIs" dxfId="70" priority="48" operator="lessThan">
      <formula>0.1</formula>
    </cfRule>
    <cfRule type="cellIs" dxfId="69" priority="43" operator="equal">
      <formula>0</formula>
    </cfRule>
  </conditionalFormatting>
  <dataValidations count="1">
    <dataValidation allowBlank="1" showErrorMessage="1" sqref="S15 C8 K8 C15 S8 G16:H33 E16:F16 E33:F33 K15" xr:uid="{7B646BD4-0B99-441C-A6EA-9739A344572C}"/>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53F0F86-9AC9-4DB1-9F07-D0F627B28BB6}">
          <x14:formula1>
            <xm:f>'List Values'!$B$2:$B$20</xm:f>
          </x14:formula1>
          <xm:sqref>C4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9850F-DA4A-4D3D-97A6-3832AB231949}">
  <sheetPr codeName="Sheet4">
    <tabColor theme="1"/>
  </sheetPr>
  <dimension ref="B2:Q29"/>
  <sheetViews>
    <sheetView workbookViewId="0"/>
  </sheetViews>
  <sheetFormatPr defaultColWidth="8.90625" defaultRowHeight="13" x14ac:dyDescent="0.3"/>
  <cols>
    <col min="1" max="1" width="3.54296875" style="12" customWidth="1"/>
    <col min="2" max="2" width="24.453125" style="12" customWidth="1"/>
    <col min="3" max="3" width="21" style="12" bestFit="1" customWidth="1"/>
    <col min="4" max="5" width="18.90625" style="12" customWidth="1"/>
    <col min="6" max="6" width="13.90625" style="12" customWidth="1"/>
    <col min="7" max="7" width="11.08984375" style="12" customWidth="1"/>
    <col min="8" max="8" width="15.90625" style="12" bestFit="1" customWidth="1"/>
    <col min="9" max="9" width="14.08984375" style="12" customWidth="1"/>
    <col min="10" max="10" width="13.90625" style="12" customWidth="1"/>
    <col min="11" max="11" width="15" style="12" customWidth="1"/>
    <col min="12" max="12" width="17.08984375" style="12" customWidth="1"/>
    <col min="13" max="13" width="11.08984375" style="12" customWidth="1"/>
    <col min="14" max="14" width="20.453125" style="12" bestFit="1" customWidth="1"/>
    <col min="15" max="15" width="14.54296875" style="12" bestFit="1" customWidth="1"/>
    <col min="16" max="16" width="22.54296875" style="12" bestFit="1" customWidth="1"/>
    <col min="17" max="17" width="23.90625" style="12" customWidth="1"/>
    <col min="18" max="18" width="18" style="12" customWidth="1"/>
    <col min="19" max="19" width="20.90625" style="12" bestFit="1" customWidth="1"/>
    <col min="20" max="20" width="14.90625" style="12" customWidth="1"/>
    <col min="21" max="21" width="6.54296875" style="12" customWidth="1"/>
    <col min="22" max="16384" width="8.90625" style="12"/>
  </cols>
  <sheetData>
    <row r="2" spans="2:16" s="12" customFormat="1" ht="15" x14ac:dyDescent="0.3">
      <c r="B2" s="11" t="s">
        <v>225</v>
      </c>
    </row>
    <row r="3" spans="2:16" s="12" customFormat="1" x14ac:dyDescent="0.3">
      <c r="L3" s="483"/>
    </row>
    <row r="4" spans="2:16" s="12" customFormat="1" ht="30" customHeight="1" x14ac:dyDescent="0.3">
      <c r="B4" s="484" t="s">
        <v>226</v>
      </c>
      <c r="C4" s="485"/>
      <c r="D4" s="485"/>
      <c r="E4" s="485"/>
      <c r="F4" s="486" t="s">
        <v>227</v>
      </c>
      <c r="G4" s="486"/>
      <c r="H4" s="486" t="s">
        <v>228</v>
      </c>
      <c r="I4" s="486"/>
      <c r="J4" s="486" t="s">
        <v>229</v>
      </c>
      <c r="K4" s="487"/>
      <c r="N4" s="488" t="s">
        <v>230</v>
      </c>
      <c r="O4" s="486"/>
      <c r="P4" s="487"/>
    </row>
    <row r="5" spans="2:16" s="12" customFormat="1" ht="26" x14ac:dyDescent="0.3">
      <c r="B5" s="430" t="s">
        <v>139</v>
      </c>
      <c r="C5" s="489" t="s">
        <v>114</v>
      </c>
      <c r="D5" s="489" t="s">
        <v>115</v>
      </c>
      <c r="E5" s="489" t="s">
        <v>231</v>
      </c>
      <c r="F5" s="490" t="s">
        <v>232</v>
      </c>
      <c r="G5" s="490" t="s">
        <v>233</v>
      </c>
      <c r="H5" s="490" t="s">
        <v>234</v>
      </c>
      <c r="I5" s="490" t="s">
        <v>235</v>
      </c>
      <c r="J5" s="490" t="s">
        <v>236</v>
      </c>
      <c r="K5" s="490" t="s">
        <v>237</v>
      </c>
      <c r="N5" s="491" t="s">
        <v>238</v>
      </c>
      <c r="O5" s="492" t="s">
        <v>239</v>
      </c>
      <c r="P5" s="493" t="s">
        <v>403</v>
      </c>
    </row>
    <row r="6" spans="2:16" s="12" customFormat="1" x14ac:dyDescent="0.3">
      <c r="B6" s="494" t="s">
        <v>240</v>
      </c>
      <c r="C6" s="495" t="s">
        <v>241</v>
      </c>
      <c r="D6" s="496" t="s">
        <v>212</v>
      </c>
      <c r="E6" s="495" t="s">
        <v>241</v>
      </c>
      <c r="F6" s="497"/>
      <c r="G6" s="498"/>
      <c r="H6" s="497"/>
      <c r="I6" s="499"/>
      <c r="J6" s="500"/>
      <c r="K6" s="501"/>
      <c r="N6" s="502"/>
      <c r="O6" s="12" t="s">
        <v>242</v>
      </c>
      <c r="P6" s="503">
        <f>0.000001</f>
        <v>9.9999999999999995E-7</v>
      </c>
    </row>
    <row r="7" spans="2:16" s="12" customFormat="1" x14ac:dyDescent="0.3">
      <c r="B7" s="30"/>
      <c r="C7" s="180"/>
      <c r="D7" s="504"/>
      <c r="E7" s="180"/>
      <c r="F7" s="49"/>
      <c r="G7" s="151"/>
      <c r="H7" s="49"/>
      <c r="I7" s="151"/>
      <c r="J7" s="505"/>
      <c r="K7" s="506"/>
      <c r="N7" s="502"/>
      <c r="O7" s="12" t="s">
        <v>243</v>
      </c>
      <c r="P7" s="503">
        <f>0.00001</f>
        <v>1.0000000000000001E-5</v>
      </c>
    </row>
    <row r="8" spans="2:16" s="12" customFormat="1" x14ac:dyDescent="0.3">
      <c r="M8" s="507"/>
      <c r="N8" s="502" t="s">
        <v>244</v>
      </c>
      <c r="O8" s="12" t="s">
        <v>245</v>
      </c>
      <c r="P8" s="503">
        <f>0.0001</f>
        <v>1E-4</v>
      </c>
    </row>
    <row r="9" spans="2:16" s="12" customFormat="1" ht="15" customHeight="1" x14ac:dyDescent="0.3">
      <c r="F9" s="508"/>
      <c r="G9" s="509" t="s">
        <v>58</v>
      </c>
      <c r="H9" s="509"/>
      <c r="I9" s="508" t="s">
        <v>50</v>
      </c>
      <c r="J9" s="508"/>
      <c r="K9" s="508"/>
      <c r="M9" s="507"/>
      <c r="N9" s="502"/>
      <c r="O9" s="12" t="s">
        <v>246</v>
      </c>
      <c r="P9" s="510"/>
    </row>
    <row r="10" spans="2:16" s="12" customFormat="1" ht="15" customHeight="1" x14ac:dyDescent="0.3">
      <c r="B10" s="484" t="s">
        <v>247</v>
      </c>
      <c r="C10" s="511" t="s">
        <v>114</v>
      </c>
      <c r="D10" s="511"/>
      <c r="E10" s="511"/>
      <c r="F10" s="512"/>
      <c r="G10" s="513" t="s">
        <v>248</v>
      </c>
      <c r="H10" s="513"/>
      <c r="I10" s="513"/>
      <c r="J10" s="513"/>
      <c r="K10" s="513" t="s">
        <v>249</v>
      </c>
      <c r="L10" s="514"/>
      <c r="M10" s="515"/>
      <c r="N10" s="502"/>
      <c r="O10" s="12" t="s">
        <v>250</v>
      </c>
      <c r="P10" s="510"/>
    </row>
    <row r="11" spans="2:16" s="12" customFormat="1" ht="30.75" customHeight="1" x14ac:dyDescent="0.3">
      <c r="B11" s="489" t="s">
        <v>11</v>
      </c>
      <c r="C11" s="489" t="s">
        <v>251</v>
      </c>
      <c r="D11" s="489" t="s">
        <v>252</v>
      </c>
      <c r="E11" s="489" t="s">
        <v>115</v>
      </c>
      <c r="F11" s="489" t="s">
        <v>231</v>
      </c>
      <c r="G11" s="490" t="s">
        <v>253</v>
      </c>
      <c r="H11" s="490" t="s">
        <v>254</v>
      </c>
      <c r="I11" s="490" t="s">
        <v>255</v>
      </c>
      <c r="J11" s="490" t="s">
        <v>256</v>
      </c>
      <c r="K11" s="490" t="s">
        <v>257</v>
      </c>
      <c r="L11" s="490" t="s">
        <v>258</v>
      </c>
      <c r="M11" s="515"/>
      <c r="N11" s="502"/>
      <c r="O11" s="12" t="s">
        <v>259</v>
      </c>
      <c r="P11" s="510"/>
    </row>
    <row r="12" spans="2:16" s="12" customFormat="1" ht="26" x14ac:dyDescent="0.3">
      <c r="B12" s="27" t="s">
        <v>121</v>
      </c>
      <c r="C12" s="516" t="s">
        <v>260</v>
      </c>
      <c r="D12" s="516"/>
      <c r="E12" s="516"/>
      <c r="F12" s="516" t="s">
        <v>88</v>
      </c>
      <c r="G12" s="516">
        <v>31</v>
      </c>
      <c r="H12" s="516">
        <v>2.7</v>
      </c>
      <c r="I12" s="516">
        <v>5.7</v>
      </c>
      <c r="J12" s="516">
        <v>30</v>
      </c>
      <c r="K12" s="516" t="s">
        <v>261</v>
      </c>
      <c r="L12" s="517" t="s">
        <v>261</v>
      </c>
      <c r="N12" s="518"/>
      <c r="O12" s="508" t="s">
        <v>262</v>
      </c>
      <c r="P12" s="519"/>
    </row>
    <row r="13" spans="2:16" s="12" customFormat="1" ht="26" x14ac:dyDescent="0.3">
      <c r="B13" s="27" t="s">
        <v>122</v>
      </c>
      <c r="C13" s="516" t="s">
        <v>260</v>
      </c>
      <c r="D13" s="516"/>
      <c r="E13" s="516"/>
      <c r="F13" s="516" t="s">
        <v>93</v>
      </c>
      <c r="G13" s="516">
        <v>31</v>
      </c>
      <c r="H13" s="516">
        <v>2.7</v>
      </c>
      <c r="I13" s="516">
        <v>5.7</v>
      </c>
      <c r="J13" s="516">
        <v>30</v>
      </c>
      <c r="K13" s="516" t="s">
        <v>261</v>
      </c>
      <c r="L13" s="520" t="s">
        <v>261</v>
      </c>
    </row>
    <row r="14" spans="2:16" s="12" customFormat="1" ht="26" x14ac:dyDescent="0.3">
      <c r="B14" s="521" t="s">
        <v>123</v>
      </c>
      <c r="C14" s="516" t="s">
        <v>260</v>
      </c>
      <c r="D14" s="516"/>
      <c r="E14" s="516"/>
      <c r="F14" s="516" t="s">
        <v>99</v>
      </c>
      <c r="G14" s="516">
        <v>31</v>
      </c>
      <c r="H14" s="516">
        <v>2.7</v>
      </c>
      <c r="I14" s="516">
        <v>5.7</v>
      </c>
      <c r="J14" s="516">
        <v>30</v>
      </c>
      <c r="K14" s="516" t="s">
        <v>261</v>
      </c>
      <c r="L14" s="520" t="s">
        <v>261</v>
      </c>
      <c r="N14" s="522" t="s">
        <v>263</v>
      </c>
    </row>
    <row r="15" spans="2:16" s="12" customFormat="1" ht="15.5" x14ac:dyDescent="0.3">
      <c r="B15" s="523"/>
      <c r="C15" s="524"/>
      <c r="D15" s="524"/>
      <c r="E15" s="524"/>
      <c r="F15" s="525"/>
      <c r="G15" s="525"/>
      <c r="H15" s="525"/>
      <c r="I15" s="525"/>
      <c r="J15" s="525"/>
      <c r="K15" s="526"/>
      <c r="L15" s="527"/>
      <c r="N15" s="528">
        <f>24.45/O16</f>
        <v>8.7839051553799161E-2</v>
      </c>
      <c r="O15" s="529" t="s">
        <v>264</v>
      </c>
    </row>
    <row r="16" spans="2:16" s="12" customFormat="1" ht="30" customHeight="1" x14ac:dyDescent="0.3">
      <c r="N16" s="528" t="s">
        <v>265</v>
      </c>
      <c r="O16" s="529">
        <v>278.35000000000002</v>
      </c>
      <c r="P16" s="12" t="s">
        <v>266</v>
      </c>
    </row>
    <row r="18" spans="16:17" s="12" customFormat="1" ht="45" customHeight="1" x14ac:dyDescent="0.3"/>
    <row r="20" spans="16:17" s="12" customFormat="1" ht="45" customHeight="1" x14ac:dyDescent="0.3"/>
    <row r="21" spans="16:17" s="12" customFormat="1" ht="45" customHeight="1" x14ac:dyDescent="0.3"/>
    <row r="22" spans="16:17" s="12" customFormat="1" ht="45" customHeight="1" x14ac:dyDescent="0.3"/>
    <row r="24" spans="16:17" s="12" customFormat="1" ht="45" customHeight="1" x14ac:dyDescent="0.3"/>
    <row r="25" spans="16:17" s="12" customFormat="1" x14ac:dyDescent="0.3">
      <c r="P25" s="530"/>
      <c r="Q25" s="530"/>
    </row>
    <row r="26" spans="16:17" s="12" customFormat="1" x14ac:dyDescent="0.3">
      <c r="P26" s="49"/>
      <c r="Q26" s="531"/>
    </row>
    <row r="27" spans="16:17" s="12" customFormat="1" x14ac:dyDescent="0.3">
      <c r="P27" s="50"/>
      <c r="Q27" s="532"/>
    </row>
    <row r="28" spans="16:17" s="12" customFormat="1" x14ac:dyDescent="0.3">
      <c r="P28" s="50"/>
      <c r="Q28" s="532"/>
    </row>
    <row r="29" spans="16:17" s="12" customFormat="1" ht="15" customHeight="1" x14ac:dyDescent="0.3">
      <c r="P29" s="504"/>
      <c r="Q29" s="29"/>
    </row>
  </sheetData>
  <sheetProtection sheet="1" objects="1" scenarios="1" formatCells="0" formatColumns="0" formatRows="0" sort="0" autoFilter="0"/>
  <mergeCells count="9">
    <mergeCell ref="C10:E10"/>
    <mergeCell ref="G10:J10"/>
    <mergeCell ref="P25:Q25"/>
    <mergeCell ref="N4:P4"/>
    <mergeCell ref="G9:H9"/>
    <mergeCell ref="K10:L10"/>
    <mergeCell ref="F4:G4"/>
    <mergeCell ref="H4:I4"/>
    <mergeCell ref="J4:K4"/>
  </mergeCells>
  <phoneticPr fontId="2" type="noConversion"/>
  <pageMargins left="0.7" right="0.7" top="0.75" bottom="0.75" header="0.3" footer="0.3"/>
  <pageSetup orientation="portrait" horizontalDpi="1200" verticalDpi="1200"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E2DC-4EE0-4CF0-B381-0DF510B873A9}">
  <sheetPr codeName="Sheet9">
    <tabColor theme="1"/>
  </sheetPr>
  <dimension ref="A1:O62"/>
  <sheetViews>
    <sheetView workbookViewId="0"/>
  </sheetViews>
  <sheetFormatPr defaultColWidth="9.08984375" defaultRowHeight="13" x14ac:dyDescent="0.3"/>
  <cols>
    <col min="1" max="1" width="9.08984375" style="8"/>
    <col min="2" max="2" width="88.90625" style="8" bestFit="1" customWidth="1"/>
    <col min="3" max="3" width="9.08984375" style="8"/>
    <col min="4" max="4" width="38.90625" style="8" customWidth="1"/>
    <col min="5" max="5" width="21" style="8" customWidth="1"/>
    <col min="6" max="6" width="37.08984375" style="8" customWidth="1"/>
    <col min="7" max="7" width="25" style="8" customWidth="1"/>
    <col min="8" max="9" width="9.08984375" style="8"/>
    <col min="10" max="10" width="48.08984375" style="8" customWidth="1"/>
    <col min="11" max="11" width="9.08984375" style="8" customWidth="1"/>
    <col min="12" max="12" width="46" style="8" hidden="1" customWidth="1"/>
    <col min="13" max="13" width="14.08984375" style="8" hidden="1" customWidth="1"/>
    <col min="14" max="14" width="65.453125" style="8" hidden="1" customWidth="1"/>
    <col min="15" max="15" width="9.08984375" style="8" hidden="1" customWidth="1"/>
    <col min="16" max="16384" width="9.08984375" style="8"/>
  </cols>
  <sheetData>
    <row r="1" spans="1:15" ht="13.5" thickBot="1" x14ac:dyDescent="0.35">
      <c r="A1" s="533"/>
      <c r="B1" s="534" t="s">
        <v>267</v>
      </c>
      <c r="C1" s="533"/>
      <c r="D1" s="535" t="s">
        <v>268</v>
      </c>
      <c r="E1" s="533"/>
      <c r="F1" s="535" t="s">
        <v>11</v>
      </c>
      <c r="G1" s="533"/>
      <c r="H1" s="533"/>
      <c r="I1" s="533"/>
      <c r="J1" s="533"/>
    </row>
    <row r="2" spans="1:15" ht="15" thickTop="1" x14ac:dyDescent="0.3">
      <c r="A2" s="536"/>
      <c r="B2" s="537" t="s">
        <v>163</v>
      </c>
      <c r="C2" s="533"/>
      <c r="D2" s="538" t="s">
        <v>269</v>
      </c>
      <c r="E2" s="533"/>
      <c r="F2" s="539" t="s">
        <v>100</v>
      </c>
      <c r="G2" s="533"/>
      <c r="H2" s="533"/>
      <c r="I2" s="533"/>
      <c r="J2" s="533"/>
      <c r="L2" s="540" t="s">
        <v>270</v>
      </c>
      <c r="M2" s="393" t="s">
        <v>269</v>
      </c>
      <c r="N2" s="541" t="str">
        <f>L2&amp;M2</f>
        <v>Manufacturing - 8-hr TWAMonitoring Data</v>
      </c>
      <c r="O2" s="542" t="s">
        <v>271</v>
      </c>
    </row>
    <row r="3" spans="1:15" ht="15" thickBot="1" x14ac:dyDescent="0.35">
      <c r="A3" s="536"/>
      <c r="B3" s="321" t="s">
        <v>170</v>
      </c>
      <c r="C3" s="533"/>
      <c r="D3" s="543" t="s">
        <v>167</v>
      </c>
      <c r="E3" s="533"/>
      <c r="F3" s="544" t="s">
        <v>74</v>
      </c>
      <c r="G3" s="533"/>
      <c r="H3" s="533"/>
      <c r="I3" s="533"/>
      <c r="J3" s="533"/>
      <c r="L3" s="540" t="s">
        <v>270</v>
      </c>
      <c r="M3" s="393" t="s">
        <v>269</v>
      </c>
      <c r="N3" s="541" t="str">
        <f t="shared" ref="N3:N62" si="0">L3&amp;M3</f>
        <v>Manufacturing - 8-hr TWAMonitoring Data</v>
      </c>
      <c r="O3" s="542" t="s">
        <v>271</v>
      </c>
    </row>
    <row r="4" spans="1:15" ht="15" thickBot="1" x14ac:dyDescent="0.35">
      <c r="A4" s="536"/>
      <c r="B4" s="338" t="s">
        <v>103</v>
      </c>
      <c r="C4" s="533"/>
      <c r="D4" s="533"/>
      <c r="E4" s="533"/>
      <c r="F4" s="545"/>
      <c r="G4" s="533"/>
      <c r="H4" s="533"/>
      <c r="I4" s="533"/>
      <c r="J4" s="533"/>
      <c r="L4" s="540" t="s">
        <v>272</v>
      </c>
      <c r="M4" s="393" t="s">
        <v>269</v>
      </c>
      <c r="N4" s="541" t="str">
        <f t="shared" si="0"/>
        <v>Manufacturing - 12-hr TWAMonitoring Data</v>
      </c>
      <c r="O4" s="542" t="s">
        <v>273</v>
      </c>
    </row>
    <row r="5" spans="1:15" ht="15" thickBot="1" x14ac:dyDescent="0.35">
      <c r="A5" s="536"/>
      <c r="B5" s="338" t="s">
        <v>171</v>
      </c>
      <c r="C5" s="533"/>
      <c r="D5" s="535" t="s">
        <v>125</v>
      </c>
      <c r="E5" s="533"/>
      <c r="F5" s="535"/>
      <c r="G5" s="546" t="s">
        <v>274</v>
      </c>
      <c r="H5" s="546" t="s">
        <v>275</v>
      </c>
      <c r="I5" s="547"/>
      <c r="J5" s="548"/>
      <c r="L5" s="540" t="s">
        <v>272</v>
      </c>
      <c r="M5" s="393" t="s">
        <v>269</v>
      </c>
      <c r="N5" s="541" t="str">
        <f t="shared" si="0"/>
        <v>Manufacturing - 12-hr TWAMonitoring Data</v>
      </c>
      <c r="O5" s="542" t="s">
        <v>273</v>
      </c>
    </row>
    <row r="6" spans="1:15" ht="13.5" thickTop="1" x14ac:dyDescent="0.3">
      <c r="A6" s="536"/>
      <c r="B6" s="340" t="s">
        <v>172</v>
      </c>
      <c r="C6" s="533"/>
      <c r="D6" s="549" t="s">
        <v>57</v>
      </c>
      <c r="E6" s="533"/>
      <c r="F6" s="550" t="s">
        <v>276</v>
      </c>
      <c r="G6" s="551">
        <v>278.35000000000002</v>
      </c>
      <c r="H6" s="552" t="s">
        <v>266</v>
      </c>
      <c r="I6" s="547"/>
      <c r="J6" s="533"/>
      <c r="L6" s="540" t="s">
        <v>277</v>
      </c>
      <c r="M6" s="393" t="s">
        <v>269</v>
      </c>
      <c r="N6" s="541" t="str">
        <f t="shared" si="0"/>
        <v>RepackagingMonitoring Data</v>
      </c>
      <c r="O6" s="542">
        <v>11</v>
      </c>
    </row>
    <row r="7" spans="1:15" ht="13.5" thickBot="1" x14ac:dyDescent="0.35">
      <c r="A7" s="536"/>
      <c r="B7" s="340" t="s">
        <v>174</v>
      </c>
      <c r="C7" s="533"/>
      <c r="D7" s="553" t="s">
        <v>168</v>
      </c>
      <c r="E7" s="533"/>
      <c r="F7" s="547"/>
      <c r="G7" s="547"/>
      <c r="H7" s="547"/>
      <c r="I7" s="547"/>
      <c r="J7" s="533"/>
      <c r="L7" s="540" t="s">
        <v>278</v>
      </c>
      <c r="M7" s="393" t="s">
        <v>269</v>
      </c>
      <c r="N7" s="541" t="str">
        <f t="shared" si="0"/>
        <v>Processing as Reactant/Intermediate - 8-hr TWAMonitoring Data</v>
      </c>
      <c r="O7" s="542" t="s">
        <v>279</v>
      </c>
    </row>
    <row r="8" spans="1:15" ht="15" thickBot="1" x14ac:dyDescent="0.35">
      <c r="A8" s="536"/>
      <c r="B8" s="338" t="s">
        <v>175</v>
      </c>
      <c r="C8" s="533"/>
      <c r="D8" s="554" t="s">
        <v>74</v>
      </c>
      <c r="E8" s="533"/>
      <c r="F8" s="535" t="s">
        <v>280</v>
      </c>
      <c r="G8" s="546" t="s">
        <v>281</v>
      </c>
      <c r="H8" s="546" t="s">
        <v>274</v>
      </c>
      <c r="I8" s="547"/>
      <c r="J8" s="545"/>
      <c r="L8" s="540" t="s">
        <v>278</v>
      </c>
      <c r="M8" s="393" t="s">
        <v>269</v>
      </c>
      <c r="N8" s="541" t="str">
        <f t="shared" si="0"/>
        <v>Processing as Reactant/Intermediate - 8-hr TWAMonitoring Data</v>
      </c>
      <c r="O8" s="542" t="s">
        <v>279</v>
      </c>
    </row>
    <row r="9" spans="1:15" ht="15.5" thickTop="1" thickBot="1" x14ac:dyDescent="0.35">
      <c r="A9" s="536"/>
      <c r="B9" s="338" t="s">
        <v>56</v>
      </c>
      <c r="C9" s="533"/>
      <c r="D9" s="533"/>
      <c r="E9" s="533"/>
      <c r="F9" s="555" t="s">
        <v>285</v>
      </c>
      <c r="G9" s="556" t="s">
        <v>286</v>
      </c>
      <c r="H9" s="556">
        <v>8</v>
      </c>
      <c r="I9" s="546" t="s">
        <v>275</v>
      </c>
      <c r="J9" s="533"/>
      <c r="L9" s="540" t="s">
        <v>282</v>
      </c>
      <c r="M9" s="393" t="s">
        <v>269</v>
      </c>
      <c r="N9" s="541" t="str">
        <f t="shared" si="0"/>
        <v>Processing as Reactant/Intermediate - 12-hr TWAMonitoring Data</v>
      </c>
      <c r="O9" s="542" t="s">
        <v>283</v>
      </c>
    </row>
    <row r="10" spans="1:15" ht="15.5" thickTop="1" thickBot="1" x14ac:dyDescent="0.35">
      <c r="A10" s="536"/>
      <c r="B10" s="338" t="s">
        <v>176</v>
      </c>
      <c r="C10" s="533"/>
      <c r="D10" s="535" t="s">
        <v>284</v>
      </c>
      <c r="E10" s="533"/>
      <c r="F10" s="557" t="s">
        <v>288</v>
      </c>
      <c r="G10" s="558" t="s">
        <v>289</v>
      </c>
      <c r="H10" s="558">
        <v>10</v>
      </c>
      <c r="I10" s="559" t="s">
        <v>287</v>
      </c>
      <c r="J10" s="533"/>
      <c r="L10" s="540" t="s">
        <v>282</v>
      </c>
      <c r="M10" s="393" t="s">
        <v>269</v>
      </c>
      <c r="N10" s="541" t="str">
        <f t="shared" si="0"/>
        <v>Processing as Reactant/Intermediate - 12-hr TWAMonitoring Data</v>
      </c>
      <c r="O10" s="542" t="s">
        <v>283</v>
      </c>
    </row>
    <row r="11" spans="1:15" ht="15" thickTop="1" x14ac:dyDescent="0.3">
      <c r="A11" s="536"/>
      <c r="B11" s="338" t="s">
        <v>177</v>
      </c>
      <c r="C11" s="533"/>
      <c r="D11" s="560">
        <v>0.5</v>
      </c>
      <c r="E11" s="533"/>
      <c r="F11" s="557" t="s">
        <v>292</v>
      </c>
      <c r="G11" s="558" t="s">
        <v>293</v>
      </c>
      <c r="H11" s="558">
        <v>24</v>
      </c>
      <c r="I11" s="561" t="s">
        <v>287</v>
      </c>
      <c r="J11" s="533"/>
      <c r="L11" s="540" t="s">
        <v>290</v>
      </c>
      <c r="M11" s="393" t="s">
        <v>269</v>
      </c>
      <c r="N11" s="541" t="str">
        <f t="shared" si="0"/>
        <v>Incorporation into Formulation - Aerosol PackingMonitoring Data</v>
      </c>
      <c r="O11" s="542" t="s">
        <v>291</v>
      </c>
    </row>
    <row r="12" spans="1:15" ht="15" thickBot="1" x14ac:dyDescent="0.35">
      <c r="A12" s="536"/>
      <c r="B12" s="338" t="s">
        <v>398</v>
      </c>
      <c r="C12" s="533"/>
      <c r="D12" s="562">
        <v>0.99</v>
      </c>
      <c r="E12" s="533"/>
      <c r="F12" s="557" t="s">
        <v>296</v>
      </c>
      <c r="G12" s="558" t="s">
        <v>297</v>
      </c>
      <c r="H12" s="558">
        <v>250</v>
      </c>
      <c r="I12" s="561" t="s">
        <v>287</v>
      </c>
      <c r="J12" s="533"/>
      <c r="L12" s="540" t="s">
        <v>294</v>
      </c>
      <c r="M12" s="393" t="s">
        <v>167</v>
      </c>
      <c r="N12" s="541" t="str">
        <f t="shared" si="0"/>
        <v>Incorporation into Formulation - Degreasing SolventModeled Data</v>
      </c>
      <c r="O12" s="542" t="s">
        <v>295</v>
      </c>
    </row>
    <row r="13" spans="1:15" ht="18" customHeight="1" thickBot="1" x14ac:dyDescent="0.35">
      <c r="A13" s="536"/>
      <c r="B13" s="338" t="s">
        <v>399</v>
      </c>
      <c r="C13" s="533"/>
      <c r="D13" s="533"/>
      <c r="E13" s="533"/>
      <c r="F13" s="557" t="s">
        <v>302</v>
      </c>
      <c r="G13" s="558" t="s">
        <v>402</v>
      </c>
      <c r="H13" s="558">
        <v>22</v>
      </c>
      <c r="I13" s="561" t="s">
        <v>298</v>
      </c>
      <c r="J13" s="533"/>
      <c r="L13" s="540" t="s">
        <v>299</v>
      </c>
      <c r="M13" s="393" t="s">
        <v>167</v>
      </c>
      <c r="N13" s="541" t="str">
        <f t="shared" si="0"/>
        <v>Incorporation into Formulation - Dry Cleaning SolventModeled Data</v>
      </c>
      <c r="O13" s="542" t="s">
        <v>300</v>
      </c>
    </row>
    <row r="14" spans="1:15" ht="15" thickBot="1" x14ac:dyDescent="0.35">
      <c r="A14" s="533"/>
      <c r="B14" s="338" t="s">
        <v>400</v>
      </c>
      <c r="C14" s="533"/>
      <c r="D14" s="535" t="s">
        <v>301</v>
      </c>
      <c r="E14" s="533"/>
      <c r="F14" s="557" t="s">
        <v>305</v>
      </c>
      <c r="G14" s="558" t="s">
        <v>306</v>
      </c>
      <c r="H14" s="558">
        <v>30</v>
      </c>
      <c r="I14" s="561" t="s">
        <v>298</v>
      </c>
      <c r="J14" s="533"/>
      <c r="L14" s="540" t="s">
        <v>303</v>
      </c>
      <c r="M14" s="393" t="s">
        <v>167</v>
      </c>
      <c r="N14" s="541" t="str">
        <f t="shared" si="0"/>
        <v>Incorporation into Formulation - MiscellaneousModeled Data</v>
      </c>
      <c r="O14" s="542" t="s">
        <v>304</v>
      </c>
    </row>
    <row r="15" spans="1:15" ht="15" thickTop="1" x14ac:dyDescent="0.3">
      <c r="A15" s="536"/>
      <c r="B15" s="338" t="s">
        <v>401</v>
      </c>
      <c r="C15" s="533"/>
      <c r="D15" s="538">
        <v>10</v>
      </c>
      <c r="E15" s="533"/>
      <c r="F15" s="557" t="s">
        <v>309</v>
      </c>
      <c r="G15" s="558" t="s">
        <v>310</v>
      </c>
      <c r="H15" s="558">
        <v>31</v>
      </c>
      <c r="I15" s="561" t="s">
        <v>298</v>
      </c>
      <c r="J15" s="533"/>
      <c r="L15" s="540" t="s">
        <v>307</v>
      </c>
      <c r="M15" s="393" t="s">
        <v>269</v>
      </c>
      <c r="N15" s="541" t="str">
        <f t="shared" si="0"/>
        <v>Open-top Vapor DegreasingMonitoring Data</v>
      </c>
      <c r="O15" s="542" t="s">
        <v>308</v>
      </c>
    </row>
    <row r="16" spans="1:15" ht="14.5" x14ac:dyDescent="0.3">
      <c r="A16" s="536"/>
      <c r="B16" s="338" t="s">
        <v>179</v>
      </c>
      <c r="C16" s="533"/>
      <c r="D16" s="538">
        <v>25</v>
      </c>
      <c r="E16" s="533"/>
      <c r="F16" s="557" t="s">
        <v>312</v>
      </c>
      <c r="G16" s="558" t="s">
        <v>313</v>
      </c>
      <c r="H16" s="558">
        <v>40</v>
      </c>
      <c r="I16" s="561" t="s">
        <v>311</v>
      </c>
      <c r="J16" s="533"/>
      <c r="L16" s="540" t="s">
        <v>307</v>
      </c>
      <c r="M16" s="393" t="s">
        <v>269</v>
      </c>
      <c r="N16" s="541" t="str">
        <f t="shared" si="0"/>
        <v>Open-top Vapor DegreasingMonitoring Data</v>
      </c>
      <c r="O16" s="542" t="s">
        <v>308</v>
      </c>
    </row>
    <row r="17" spans="1:15" ht="14.5" x14ac:dyDescent="0.3">
      <c r="A17" s="536"/>
      <c r="B17" s="338" t="s">
        <v>180</v>
      </c>
      <c r="C17" s="533"/>
      <c r="D17" s="538">
        <v>50</v>
      </c>
      <c r="E17" s="533"/>
      <c r="F17" s="557" t="s">
        <v>404</v>
      </c>
      <c r="G17" s="558" t="s">
        <v>315</v>
      </c>
      <c r="H17" s="558">
        <v>78</v>
      </c>
      <c r="I17" s="561" t="s">
        <v>311</v>
      </c>
      <c r="J17" s="533"/>
      <c r="L17" s="540" t="s">
        <v>314</v>
      </c>
      <c r="M17" s="393" t="s">
        <v>269</v>
      </c>
      <c r="N17" s="541" t="str">
        <f t="shared" si="0"/>
        <v>Closed Loop Vapor DegreasingMonitoring Data</v>
      </c>
      <c r="O17" s="542">
        <v>3</v>
      </c>
    </row>
    <row r="18" spans="1:15" ht="14.5" x14ac:dyDescent="0.3">
      <c r="A18" s="536"/>
      <c r="B18" s="338" t="s">
        <v>181</v>
      </c>
      <c r="C18" s="533"/>
      <c r="D18" s="538">
        <v>1000</v>
      </c>
      <c r="E18" s="533"/>
      <c r="F18" s="557" t="s">
        <v>316</v>
      </c>
      <c r="G18" s="558" t="s">
        <v>317</v>
      </c>
      <c r="H18" s="563">
        <f>WY_mid*365</f>
        <v>11315</v>
      </c>
      <c r="I18" s="561" t="s">
        <v>311</v>
      </c>
      <c r="J18" s="548"/>
      <c r="L18" s="540" t="s">
        <v>314</v>
      </c>
      <c r="M18" s="393" t="s">
        <v>269</v>
      </c>
      <c r="N18" s="541" t="str">
        <f t="shared" si="0"/>
        <v>Closed Loop Vapor DegreasingMonitoring Data</v>
      </c>
      <c r="O18" s="542">
        <v>3</v>
      </c>
    </row>
    <row r="19" spans="1:15" ht="15" thickBot="1" x14ac:dyDescent="0.35">
      <c r="A19" s="536"/>
      <c r="B19" s="338" t="s">
        <v>182</v>
      </c>
      <c r="C19" s="533"/>
      <c r="D19" s="543">
        <v>10000</v>
      </c>
      <c r="E19" s="533"/>
      <c r="F19" s="557" t="s">
        <v>320</v>
      </c>
      <c r="G19" s="558" t="s">
        <v>321</v>
      </c>
      <c r="H19" s="563">
        <f>WY_high*365</f>
        <v>14600</v>
      </c>
      <c r="I19" s="561" t="s">
        <v>318</v>
      </c>
      <c r="J19" s="548"/>
      <c r="L19" s="540" t="s">
        <v>319</v>
      </c>
      <c r="M19" s="393" t="s">
        <v>167</v>
      </c>
      <c r="N19" s="541" t="str">
        <f t="shared" si="0"/>
        <v>Conveyorized Vapor DegreasingModeled Data</v>
      </c>
      <c r="O19" s="542">
        <v>4</v>
      </c>
    </row>
    <row r="20" spans="1:15" ht="15" thickBot="1" x14ac:dyDescent="0.4">
      <c r="A20" s="536"/>
      <c r="B20" s="564" t="s">
        <v>183</v>
      </c>
      <c r="C20" s="533"/>
      <c r="D20" s="533"/>
      <c r="E20" s="533"/>
      <c r="F20" s="533"/>
      <c r="G20" s="533"/>
      <c r="H20" s="533"/>
      <c r="I20" s="561" t="s">
        <v>318</v>
      </c>
      <c r="J20" s="533"/>
      <c r="L20" s="540" t="s">
        <v>319</v>
      </c>
      <c r="M20" s="393" t="s">
        <v>167</v>
      </c>
      <c r="N20" s="541" t="str">
        <f t="shared" si="0"/>
        <v>Conveyorized Vapor DegreasingModeled Data</v>
      </c>
      <c r="O20" s="542">
        <v>4</v>
      </c>
    </row>
    <row r="21" spans="1:15" ht="13.5" thickBot="1" x14ac:dyDescent="0.35">
      <c r="A21" s="536"/>
      <c r="B21" s="533"/>
      <c r="C21" s="533"/>
      <c r="D21" s="535" t="s">
        <v>322</v>
      </c>
      <c r="E21" s="533"/>
      <c r="F21" s="533"/>
      <c r="G21" s="533"/>
      <c r="H21" s="533"/>
      <c r="I21" s="533"/>
      <c r="J21" s="533"/>
      <c r="L21" s="540" t="s">
        <v>323</v>
      </c>
      <c r="M21" s="393" t="s">
        <v>167</v>
      </c>
      <c r="N21" s="541" t="str">
        <f t="shared" si="0"/>
        <v>Web DegreasingModeled Data</v>
      </c>
      <c r="O21" s="542">
        <v>5</v>
      </c>
    </row>
    <row r="22" spans="1:15" ht="13.5" thickTop="1" x14ac:dyDescent="0.3">
      <c r="A22" s="533"/>
      <c r="B22" s="533"/>
      <c r="C22" s="533"/>
      <c r="D22" s="565">
        <v>5</v>
      </c>
      <c r="E22" s="566" t="s">
        <v>324</v>
      </c>
      <c r="F22" s="533"/>
      <c r="G22" s="533"/>
      <c r="H22" s="533"/>
      <c r="I22" s="533"/>
      <c r="J22" s="533"/>
      <c r="L22" s="540" t="s">
        <v>323</v>
      </c>
      <c r="M22" s="393" t="s">
        <v>167</v>
      </c>
      <c r="N22" s="541" t="str">
        <f t="shared" si="0"/>
        <v>Web DegreasingModeled Data</v>
      </c>
      <c r="O22" s="542">
        <v>5</v>
      </c>
    </row>
    <row r="23" spans="1:15" x14ac:dyDescent="0.3">
      <c r="A23" s="533"/>
      <c r="B23" s="533"/>
      <c r="C23" s="533"/>
      <c r="D23" s="538">
        <v>10</v>
      </c>
      <c r="E23" s="566" t="s">
        <v>325</v>
      </c>
      <c r="F23" s="533"/>
      <c r="G23" s="533"/>
      <c r="H23" s="533"/>
      <c r="I23" s="533"/>
      <c r="J23" s="533"/>
      <c r="L23" s="540" t="s">
        <v>326</v>
      </c>
      <c r="M23" s="393" t="s">
        <v>269</v>
      </c>
      <c r="N23" s="541" t="str">
        <f t="shared" si="0"/>
        <v>Cold CleaningMonitoring Data</v>
      </c>
      <c r="O23" s="542" t="s">
        <v>327</v>
      </c>
    </row>
    <row r="24" spans="1:15" ht="13.5" thickBot="1" x14ac:dyDescent="0.35">
      <c r="A24" s="533"/>
      <c r="B24" s="533"/>
      <c r="C24" s="533"/>
      <c r="D24" s="543">
        <v>20</v>
      </c>
      <c r="E24" s="566" t="s">
        <v>328</v>
      </c>
      <c r="F24" s="533"/>
      <c r="G24" s="533"/>
      <c r="H24" s="533"/>
      <c r="I24" s="533"/>
      <c r="J24" s="533"/>
      <c r="L24" s="540" t="s">
        <v>326</v>
      </c>
      <c r="M24" s="393" t="s">
        <v>167</v>
      </c>
      <c r="N24" s="541" t="str">
        <f t="shared" si="0"/>
        <v>Cold CleaningModeled Data</v>
      </c>
      <c r="O24" s="542" t="s">
        <v>329</v>
      </c>
    </row>
    <row r="25" spans="1:15" x14ac:dyDescent="0.3">
      <c r="A25" s="533"/>
      <c r="B25" s="533"/>
      <c r="C25" s="533"/>
      <c r="D25" s="533"/>
      <c r="E25" s="533"/>
      <c r="F25" s="533"/>
      <c r="G25" s="533"/>
      <c r="H25" s="533"/>
      <c r="I25" s="533"/>
      <c r="J25" s="533"/>
      <c r="L25" s="540" t="s">
        <v>326</v>
      </c>
      <c r="M25" s="393" t="s">
        <v>167</v>
      </c>
      <c r="N25" s="541" t="str">
        <f t="shared" si="0"/>
        <v>Cold CleaningModeled Data</v>
      </c>
      <c r="O25" s="542" t="s">
        <v>329</v>
      </c>
    </row>
    <row r="26" spans="1:15" x14ac:dyDescent="0.3">
      <c r="A26" s="533"/>
      <c r="B26" s="533"/>
      <c r="C26" s="533"/>
      <c r="D26" s="533"/>
      <c r="E26" s="533"/>
      <c r="F26" s="533"/>
      <c r="G26" s="533"/>
      <c r="H26" s="533"/>
      <c r="I26" s="533"/>
      <c r="J26" s="533"/>
      <c r="L26" s="540" t="s">
        <v>330</v>
      </c>
      <c r="M26" s="393" t="s">
        <v>269</v>
      </c>
      <c r="N26" s="541" t="str">
        <f t="shared" si="0"/>
        <v>Aerosol Degreasing/LubricantsMonitoring Data</v>
      </c>
      <c r="O26" s="542" t="s">
        <v>331</v>
      </c>
    </row>
    <row r="27" spans="1:15" x14ac:dyDescent="0.3">
      <c r="A27" s="533"/>
      <c r="B27" s="533"/>
      <c r="C27" s="533"/>
      <c r="D27" s="533"/>
      <c r="E27" s="533"/>
      <c r="F27" s="533"/>
      <c r="G27" s="533"/>
      <c r="H27" s="533"/>
      <c r="I27" s="533"/>
      <c r="J27" s="533"/>
      <c r="L27" s="540" t="s">
        <v>330</v>
      </c>
      <c r="M27" s="393" t="s">
        <v>167</v>
      </c>
      <c r="N27" s="541" t="str">
        <f t="shared" si="0"/>
        <v>Aerosol Degreasing/LubricantsModeled Data</v>
      </c>
      <c r="O27" s="542" t="s">
        <v>332</v>
      </c>
    </row>
    <row r="28" spans="1:15" x14ac:dyDescent="0.3">
      <c r="A28" s="533"/>
      <c r="B28" s="533"/>
      <c r="C28" s="533"/>
      <c r="D28" s="533"/>
      <c r="E28" s="533"/>
      <c r="F28" s="533"/>
      <c r="G28" s="533"/>
      <c r="H28" s="533"/>
      <c r="I28" s="533"/>
      <c r="J28" s="533"/>
      <c r="L28" s="540" t="s">
        <v>330</v>
      </c>
      <c r="M28" s="393" t="s">
        <v>167</v>
      </c>
      <c r="N28" s="541" t="str">
        <f t="shared" si="0"/>
        <v>Aerosol Degreasing/LubricantsModeled Data</v>
      </c>
      <c r="O28" s="542" t="s">
        <v>332</v>
      </c>
    </row>
    <row r="29" spans="1:15" x14ac:dyDescent="0.3">
      <c r="A29" s="533"/>
      <c r="B29" s="533"/>
      <c r="C29" s="533"/>
      <c r="D29" s="533"/>
      <c r="E29" s="533"/>
      <c r="F29" s="533"/>
      <c r="G29" s="533"/>
      <c r="H29" s="533"/>
      <c r="I29" s="533"/>
      <c r="J29" s="533"/>
      <c r="L29" s="540" t="s">
        <v>333</v>
      </c>
      <c r="M29" s="393" t="s">
        <v>269</v>
      </c>
      <c r="N29" s="541" t="str">
        <f t="shared" si="0"/>
        <v>Post-2006 Dry Cleaning (including spot cleaning)Monitoring Data</v>
      </c>
      <c r="O29" s="542" t="s">
        <v>334</v>
      </c>
    </row>
    <row r="30" spans="1:15" x14ac:dyDescent="0.3">
      <c r="A30" s="533"/>
      <c r="B30" s="533"/>
      <c r="C30" s="533"/>
      <c r="D30" s="533"/>
      <c r="E30" s="533"/>
      <c r="F30" s="533"/>
      <c r="G30" s="533"/>
      <c r="H30" s="533"/>
      <c r="I30" s="533"/>
      <c r="J30" s="533"/>
      <c r="L30" s="540" t="s">
        <v>333</v>
      </c>
      <c r="M30" s="393" t="s">
        <v>269</v>
      </c>
      <c r="N30" s="541" t="str">
        <f t="shared" si="0"/>
        <v>Post-2006 Dry Cleaning (including spot cleaning)Monitoring Data</v>
      </c>
      <c r="O30" s="542" t="s">
        <v>334</v>
      </c>
    </row>
    <row r="31" spans="1:15" x14ac:dyDescent="0.3">
      <c r="A31" s="533"/>
      <c r="B31" s="533"/>
      <c r="C31" s="533"/>
      <c r="D31" s="533"/>
      <c r="E31" s="533"/>
      <c r="F31" s="533"/>
      <c r="G31" s="533"/>
      <c r="H31" s="533"/>
      <c r="I31" s="533"/>
      <c r="J31" s="533"/>
      <c r="L31" s="540" t="s">
        <v>335</v>
      </c>
      <c r="M31" s="393" t="s">
        <v>269</v>
      </c>
      <c r="N31" s="541" t="str">
        <f t="shared" si="0"/>
        <v>4th/5th Gen Only Dry Cleaning (including spot cleaning)Monitoring Data</v>
      </c>
      <c r="O31" s="542" t="s">
        <v>336</v>
      </c>
    </row>
    <row r="32" spans="1:15" x14ac:dyDescent="0.3">
      <c r="A32" s="533"/>
      <c r="B32" s="533"/>
      <c r="C32" s="533"/>
      <c r="D32" s="533"/>
      <c r="E32" s="533"/>
      <c r="F32" s="533"/>
      <c r="G32" s="533"/>
      <c r="H32" s="533"/>
      <c r="I32" s="533"/>
      <c r="J32" s="533"/>
      <c r="L32" s="540" t="s">
        <v>335</v>
      </c>
      <c r="M32" s="393" t="s">
        <v>269</v>
      </c>
      <c r="N32" s="541" t="str">
        <f t="shared" si="0"/>
        <v>4th/5th Gen Only Dry Cleaning (including spot cleaning)Monitoring Data</v>
      </c>
      <c r="O32" s="542" t="s">
        <v>336</v>
      </c>
    </row>
    <row r="33" spans="1:15" x14ac:dyDescent="0.3">
      <c r="A33" s="533"/>
      <c r="B33" s="533"/>
      <c r="C33" s="533"/>
      <c r="D33" s="533"/>
      <c r="E33" s="533"/>
      <c r="F33" s="533"/>
      <c r="G33" s="533"/>
      <c r="H33" s="533"/>
      <c r="I33" s="533"/>
      <c r="J33" s="533"/>
      <c r="L33" s="540" t="s">
        <v>333</v>
      </c>
      <c r="M33" s="393" t="s">
        <v>167</v>
      </c>
      <c r="N33" s="541" t="str">
        <f t="shared" si="0"/>
        <v>Post-2006 Dry Cleaning (including spot cleaning)Modeled Data</v>
      </c>
      <c r="O33" s="542" t="s">
        <v>337</v>
      </c>
    </row>
    <row r="34" spans="1:15" x14ac:dyDescent="0.3">
      <c r="A34" s="533"/>
      <c r="B34" s="533"/>
      <c r="C34" s="533"/>
      <c r="D34" s="533"/>
      <c r="E34" s="533"/>
      <c r="F34" s="533"/>
      <c r="G34" s="533"/>
      <c r="H34" s="533"/>
      <c r="I34" s="533"/>
      <c r="J34" s="533"/>
      <c r="L34" s="540" t="s">
        <v>333</v>
      </c>
      <c r="M34" s="393" t="s">
        <v>167</v>
      </c>
      <c r="N34" s="541" t="str">
        <f t="shared" si="0"/>
        <v>Post-2006 Dry Cleaning (including spot cleaning)Modeled Data</v>
      </c>
      <c r="O34" s="542" t="s">
        <v>337</v>
      </c>
    </row>
    <row r="35" spans="1:15" x14ac:dyDescent="0.3">
      <c r="A35" s="533"/>
      <c r="B35" s="533"/>
      <c r="C35" s="533"/>
      <c r="D35" s="533"/>
      <c r="E35" s="533"/>
      <c r="F35" s="533"/>
      <c r="G35" s="533"/>
      <c r="H35" s="533"/>
      <c r="I35" s="533"/>
      <c r="J35" s="533"/>
      <c r="L35" s="540" t="s">
        <v>338</v>
      </c>
      <c r="M35" s="393" t="s">
        <v>269</v>
      </c>
      <c r="N35" s="541" t="str">
        <f t="shared" si="0"/>
        <v>Paints/Coatings (commercial)Monitoring Data</v>
      </c>
      <c r="O35" s="542" t="s">
        <v>339</v>
      </c>
    </row>
    <row r="36" spans="1:15" x14ac:dyDescent="0.3">
      <c r="A36" s="533"/>
      <c r="B36" s="533"/>
      <c r="C36" s="533"/>
      <c r="D36" s="533"/>
      <c r="E36" s="533"/>
      <c r="F36" s="533"/>
      <c r="G36" s="533"/>
      <c r="H36" s="533"/>
      <c r="I36" s="533"/>
      <c r="J36" s="533"/>
      <c r="L36" s="540" t="s">
        <v>338</v>
      </c>
      <c r="M36" s="393" t="s">
        <v>212</v>
      </c>
      <c r="N36" s="541" t="str">
        <f t="shared" si="0"/>
        <v>Paints/Coatings (commercial)N/A</v>
      </c>
      <c r="O36" s="542" t="s">
        <v>339</v>
      </c>
    </row>
    <row r="37" spans="1:15" x14ac:dyDescent="0.3">
      <c r="A37" s="533"/>
      <c r="B37" s="533"/>
      <c r="C37" s="533"/>
      <c r="D37" s="533"/>
      <c r="E37" s="533"/>
      <c r="F37" s="533"/>
      <c r="G37" s="533"/>
      <c r="H37" s="533"/>
      <c r="I37" s="533"/>
      <c r="J37" s="533"/>
      <c r="L37" s="540" t="s">
        <v>340</v>
      </c>
      <c r="M37" s="393" t="s">
        <v>269</v>
      </c>
      <c r="N37" s="541" t="str">
        <f t="shared" si="0"/>
        <v>Paints/Coatings (industrial)Monitoring Data</v>
      </c>
      <c r="O37" s="542" t="s">
        <v>341</v>
      </c>
    </row>
    <row r="38" spans="1:15" x14ac:dyDescent="0.3">
      <c r="A38" s="533"/>
      <c r="B38" s="533"/>
      <c r="C38" s="533"/>
      <c r="D38" s="533"/>
      <c r="E38" s="533"/>
      <c r="F38" s="533"/>
      <c r="G38" s="533"/>
      <c r="H38" s="533"/>
      <c r="I38" s="533"/>
      <c r="J38" s="533"/>
      <c r="L38" s="540" t="s">
        <v>340</v>
      </c>
      <c r="M38" s="393" t="s">
        <v>212</v>
      </c>
      <c r="N38" s="541" t="str">
        <f t="shared" si="0"/>
        <v>Paints/Coatings (industrial)N/A</v>
      </c>
      <c r="O38" s="542" t="s">
        <v>341</v>
      </c>
    </row>
    <row r="39" spans="1:15" x14ac:dyDescent="0.3">
      <c r="A39" s="533"/>
      <c r="B39" s="533"/>
      <c r="C39" s="533"/>
      <c r="D39" s="533"/>
      <c r="E39" s="533"/>
      <c r="F39" s="533"/>
      <c r="G39" s="533"/>
      <c r="H39" s="533"/>
      <c r="I39" s="533"/>
      <c r="J39" s="533"/>
      <c r="L39" s="540" t="s">
        <v>342</v>
      </c>
      <c r="M39" s="393" t="s">
        <v>269</v>
      </c>
      <c r="N39" s="541" t="str">
        <f t="shared" si="0"/>
        <v>Adhesives (commercial)Monitoring Data</v>
      </c>
      <c r="O39" s="542" t="s">
        <v>343</v>
      </c>
    </row>
    <row r="40" spans="1:15" x14ac:dyDescent="0.3">
      <c r="A40" s="533"/>
      <c r="B40" s="533"/>
      <c r="C40" s="533"/>
      <c r="D40" s="533"/>
      <c r="E40" s="533"/>
      <c r="F40" s="533"/>
      <c r="G40" s="533"/>
      <c r="H40" s="533"/>
      <c r="I40" s="533"/>
      <c r="J40" s="533"/>
      <c r="L40" s="540" t="s">
        <v>342</v>
      </c>
      <c r="M40" s="393" t="s">
        <v>212</v>
      </c>
      <c r="N40" s="541" t="str">
        <f t="shared" si="0"/>
        <v>Adhesives (commercial)N/A</v>
      </c>
      <c r="O40" s="542" t="s">
        <v>343</v>
      </c>
    </row>
    <row r="41" spans="1:15" x14ac:dyDescent="0.3">
      <c r="B41" s="533"/>
      <c r="D41" s="533"/>
      <c r="I41" s="533"/>
      <c r="L41" s="540" t="s">
        <v>344</v>
      </c>
      <c r="M41" s="393" t="s">
        <v>269</v>
      </c>
      <c r="N41" s="541" t="str">
        <f t="shared" si="0"/>
        <v>Adhesives (industrial)Monitoring Data</v>
      </c>
      <c r="O41" s="542" t="s">
        <v>345</v>
      </c>
    </row>
    <row r="42" spans="1:15" x14ac:dyDescent="0.3">
      <c r="B42" s="533"/>
      <c r="L42" s="540" t="s">
        <v>344</v>
      </c>
      <c r="M42" s="393" t="s">
        <v>212</v>
      </c>
      <c r="N42" s="541" t="str">
        <f t="shared" si="0"/>
        <v>Adhesives (industrial)N/A</v>
      </c>
      <c r="O42" s="542" t="s">
        <v>345</v>
      </c>
    </row>
    <row r="43" spans="1:15" x14ac:dyDescent="0.3">
      <c r="L43" s="540" t="s">
        <v>346</v>
      </c>
      <c r="M43" s="393" t="s">
        <v>269</v>
      </c>
      <c r="N43" s="541" t="str">
        <f t="shared" si="0"/>
        <v>Chemical MaskantMonitoring Data</v>
      </c>
      <c r="O43" s="542">
        <v>10</v>
      </c>
    </row>
    <row r="44" spans="1:15" x14ac:dyDescent="0.3">
      <c r="L44" s="540" t="s">
        <v>346</v>
      </c>
      <c r="M44" s="393" t="s">
        <v>269</v>
      </c>
      <c r="N44" s="541" t="str">
        <f t="shared" si="0"/>
        <v>Chemical MaskantMonitoring Data</v>
      </c>
      <c r="O44" s="542">
        <v>10</v>
      </c>
    </row>
    <row r="45" spans="1:15" x14ac:dyDescent="0.3">
      <c r="L45" s="540" t="s">
        <v>347</v>
      </c>
      <c r="M45" s="393" t="s">
        <v>269</v>
      </c>
      <c r="N45" s="541" t="str">
        <f t="shared" si="0"/>
        <v>Industrial Processing AidMonitoring Data</v>
      </c>
      <c r="O45" s="542">
        <v>14</v>
      </c>
    </row>
    <row r="46" spans="1:15" x14ac:dyDescent="0.3">
      <c r="L46" s="540" t="s">
        <v>348</v>
      </c>
      <c r="M46" s="393" t="s">
        <v>269</v>
      </c>
      <c r="N46" s="541" t="str">
        <f t="shared" si="0"/>
        <v>Other Industrial Uses - MiscellaneousMonitoring Data</v>
      </c>
      <c r="O46" s="542" t="s">
        <v>349</v>
      </c>
    </row>
    <row r="47" spans="1:15" x14ac:dyDescent="0.3">
      <c r="L47" s="540" t="s">
        <v>350</v>
      </c>
      <c r="M47" s="393" t="s">
        <v>269</v>
      </c>
      <c r="N47" s="541" t="str">
        <f t="shared" si="0"/>
        <v>Other Industrial Uses - Textile ProcessingMonitoring Data</v>
      </c>
      <c r="O47" s="542" t="s">
        <v>351</v>
      </c>
    </row>
    <row r="48" spans="1:15" x14ac:dyDescent="0.3">
      <c r="L48" s="540" t="s">
        <v>352</v>
      </c>
      <c r="M48" s="393" t="s">
        <v>269</v>
      </c>
      <c r="N48" s="541" t="str">
        <f t="shared" si="0"/>
        <v>Other Industrial Uses - Wood Furniture ManufacturingMonitoring Data</v>
      </c>
      <c r="O48" s="542" t="s">
        <v>353</v>
      </c>
    </row>
    <row r="49" spans="12:15" x14ac:dyDescent="0.3">
      <c r="L49" s="540" t="s">
        <v>354</v>
      </c>
      <c r="M49" s="393" t="s">
        <v>269</v>
      </c>
      <c r="N49" s="541" t="str">
        <f t="shared" si="0"/>
        <v>Other Industrial Uses - Foundry ApplicationsMonitoring Data</v>
      </c>
      <c r="O49" s="542" t="s">
        <v>355</v>
      </c>
    </row>
    <row r="50" spans="12:15" x14ac:dyDescent="0.3">
      <c r="L50" s="540" t="s">
        <v>356</v>
      </c>
      <c r="M50" s="393" t="s">
        <v>167</v>
      </c>
      <c r="N50" s="541" t="str">
        <f t="shared" si="0"/>
        <v>Metalworking FluidModeled Data</v>
      </c>
      <c r="O50" s="542">
        <v>16</v>
      </c>
    </row>
    <row r="51" spans="12:15" x14ac:dyDescent="0.3">
      <c r="L51" s="540" t="s">
        <v>357</v>
      </c>
      <c r="M51" s="393" t="s">
        <v>269</v>
      </c>
      <c r="N51" s="541" t="str">
        <f t="shared" si="0"/>
        <v>Wipe Cleaning and Metal/Stone PolishesMonitoring Data</v>
      </c>
      <c r="O51" s="542">
        <v>17</v>
      </c>
    </row>
    <row r="52" spans="12:15" x14ac:dyDescent="0.3">
      <c r="L52" s="540" t="s">
        <v>357</v>
      </c>
      <c r="M52" s="393" t="s">
        <v>269</v>
      </c>
      <c r="N52" s="541" t="str">
        <f t="shared" si="0"/>
        <v>Wipe Cleaning and Metal/Stone PolishesMonitoring Data</v>
      </c>
      <c r="O52" s="542">
        <v>17</v>
      </c>
    </row>
    <row r="53" spans="12:15" ht="26" x14ac:dyDescent="0.3">
      <c r="L53" s="10" t="s">
        <v>358</v>
      </c>
      <c r="M53" s="393" t="s">
        <v>269</v>
      </c>
      <c r="N53" s="541" t="str">
        <f t="shared" si="0"/>
        <v>Other Spot Cleaning/Spot Removers (Including Carpet Cleaning)Monitoring Data</v>
      </c>
      <c r="O53" s="542">
        <v>18</v>
      </c>
    </row>
    <row r="54" spans="12:15" ht="26" x14ac:dyDescent="0.3">
      <c r="L54" s="10" t="s">
        <v>358</v>
      </c>
      <c r="M54" s="393" t="s">
        <v>269</v>
      </c>
      <c r="N54" s="541" t="str">
        <f t="shared" si="0"/>
        <v>Other Spot Cleaning/Spot Removers (Including Carpet Cleaning)Monitoring Data</v>
      </c>
      <c r="O54" s="542">
        <v>18</v>
      </c>
    </row>
    <row r="55" spans="12:15" x14ac:dyDescent="0.3">
      <c r="L55" s="540" t="s">
        <v>359</v>
      </c>
      <c r="M55" s="393" t="s">
        <v>269</v>
      </c>
      <c r="N55" s="541" t="str">
        <f t="shared" si="0"/>
        <v>Other Commercial Uses - PrintingMonitoring Data</v>
      </c>
      <c r="O55" s="542" t="s">
        <v>360</v>
      </c>
    </row>
    <row r="56" spans="12:15" x14ac:dyDescent="0.3">
      <c r="L56" s="540" t="s">
        <v>361</v>
      </c>
      <c r="M56" s="393" t="s">
        <v>269</v>
      </c>
      <c r="N56" s="541" t="str">
        <f t="shared" si="0"/>
        <v>Other Commercial Uses - PhotocopyingMonitoring Data</v>
      </c>
      <c r="O56" s="542" t="s">
        <v>362</v>
      </c>
    </row>
    <row r="57" spans="12:15" x14ac:dyDescent="0.3">
      <c r="L57" s="540" t="s">
        <v>363</v>
      </c>
      <c r="M57" s="393" t="s">
        <v>269</v>
      </c>
      <c r="N57" s="541" t="str">
        <f t="shared" si="0"/>
        <v>Other Commercial Uses - Photographic FilmMonitoring Data</v>
      </c>
      <c r="O57" s="542" t="s">
        <v>364</v>
      </c>
    </row>
    <row r="58" spans="12:15" x14ac:dyDescent="0.3">
      <c r="L58" s="540" t="s">
        <v>365</v>
      </c>
      <c r="M58" s="393" t="s">
        <v>269</v>
      </c>
      <c r="N58" s="541" t="str">
        <f t="shared" si="0"/>
        <v>Other Commercial Uses - Mold ReleaseMonitoring Data</v>
      </c>
      <c r="O58" s="542" t="s">
        <v>366</v>
      </c>
    </row>
    <row r="59" spans="12:15" x14ac:dyDescent="0.3">
      <c r="L59" s="567" t="s">
        <v>367</v>
      </c>
      <c r="M59" s="383" t="s">
        <v>269</v>
      </c>
      <c r="N59" s="541" t="str">
        <f t="shared" si="0"/>
        <v>Other DOD Uses - Water Pipe RepairMonitoring Data</v>
      </c>
      <c r="O59" s="399" t="s">
        <v>368</v>
      </c>
    </row>
    <row r="60" spans="12:15" x14ac:dyDescent="0.3">
      <c r="L60" s="567" t="s">
        <v>369</v>
      </c>
      <c r="M60" s="383" t="s">
        <v>269</v>
      </c>
      <c r="N60" s="541" t="str">
        <f t="shared" si="0"/>
        <v>Other DOD Uses - Oil analysisMonitoring Data</v>
      </c>
      <c r="O60" s="399" t="s">
        <v>370</v>
      </c>
    </row>
    <row r="61" spans="12:15" x14ac:dyDescent="0.3">
      <c r="L61" s="540" t="s">
        <v>371</v>
      </c>
      <c r="M61" s="393" t="s">
        <v>269</v>
      </c>
      <c r="N61" s="541" t="str">
        <f t="shared" si="0"/>
        <v>Disposal/Recycling and DisposalMonitoring Data</v>
      </c>
      <c r="O61" s="542">
        <v>21</v>
      </c>
    </row>
    <row r="62" spans="12:15" ht="13.5" thickBot="1" x14ac:dyDescent="0.35">
      <c r="L62" s="568" t="s">
        <v>372</v>
      </c>
      <c r="M62" s="569" t="s">
        <v>269</v>
      </c>
      <c r="N62" s="541" t="str">
        <f t="shared" si="0"/>
        <v>Laboratory ChemicalsMonitoring Data</v>
      </c>
      <c r="O62" s="570">
        <v>22</v>
      </c>
    </row>
  </sheetData>
  <sheetProtection sheet="1" objects="1" scenarios="1" formatCells="0" formatColumns="0" formatRows="0" sort="0" autoFilter="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41240-2A0D-4766-9250-85744E11E255}">
  <sheetPr codeName="Sheet8">
    <tabColor theme="1"/>
  </sheetPr>
  <dimension ref="B1:F23"/>
  <sheetViews>
    <sheetView workbookViewId="0"/>
  </sheetViews>
  <sheetFormatPr defaultColWidth="9.08984375" defaultRowHeight="13" x14ac:dyDescent="0.3"/>
  <cols>
    <col min="1" max="1" width="4.90625" style="12" customWidth="1"/>
    <col min="2" max="2" width="35.54296875" style="12" customWidth="1"/>
    <col min="3" max="3" width="10.453125" style="12" customWidth="1"/>
    <col min="4" max="4" width="13.08984375" style="12" customWidth="1"/>
    <col min="5" max="5" width="16.54296875" style="12" bestFit="1" customWidth="1"/>
    <col min="6" max="6" width="62" style="12" customWidth="1"/>
    <col min="7" max="7" width="10.90625" style="12" customWidth="1"/>
    <col min="8" max="16384" width="9.08984375" style="12"/>
  </cols>
  <sheetData>
    <row r="1" spans="2:6" s="12" customFormat="1" ht="15" x14ac:dyDescent="0.3">
      <c r="B1" s="11" t="s">
        <v>373</v>
      </c>
    </row>
    <row r="3" spans="2:6" s="12" customFormat="1" ht="39" x14ac:dyDescent="0.3">
      <c r="C3" s="571" t="s">
        <v>57</v>
      </c>
      <c r="D3" s="572" t="s">
        <v>168</v>
      </c>
      <c r="E3" s="572" t="s">
        <v>374</v>
      </c>
      <c r="F3" s="573" t="s">
        <v>375</v>
      </c>
    </row>
    <row r="4" spans="2:6" s="12" customFormat="1" ht="26" x14ac:dyDescent="0.3">
      <c r="B4" s="574" t="s">
        <v>376</v>
      </c>
      <c r="C4" s="575">
        <v>80</v>
      </c>
      <c r="D4" s="576">
        <f>AVERAGE(65.9,71.9,74.8,77.1)</f>
        <v>72.425000000000011</v>
      </c>
      <c r="E4" s="577"/>
      <c r="F4" s="578" t="s">
        <v>377</v>
      </c>
    </row>
    <row r="5" spans="2:6" s="12" customFormat="1" ht="15" x14ac:dyDescent="0.3">
      <c r="B5" s="574" t="s">
        <v>378</v>
      </c>
      <c r="C5" s="579">
        <f>C6/2</f>
        <v>535</v>
      </c>
      <c r="D5" s="580">
        <f>D6/2</f>
        <v>445</v>
      </c>
      <c r="E5" s="581" t="s">
        <v>73</v>
      </c>
      <c r="F5" s="582" t="s">
        <v>379</v>
      </c>
    </row>
    <row r="6" spans="2:6" s="12" customFormat="1" ht="15" x14ac:dyDescent="0.3">
      <c r="B6" s="574" t="s">
        <v>380</v>
      </c>
      <c r="C6" s="583">
        <v>1070</v>
      </c>
      <c r="D6" s="584">
        <v>890</v>
      </c>
      <c r="E6" s="581" t="s">
        <v>72</v>
      </c>
      <c r="F6" s="585"/>
    </row>
    <row r="7" spans="2:6" s="12" customFormat="1" x14ac:dyDescent="0.3">
      <c r="B7" s="574" t="s">
        <v>381</v>
      </c>
      <c r="C7" s="579">
        <v>40</v>
      </c>
      <c r="D7" s="580">
        <v>40</v>
      </c>
      <c r="E7" s="581" t="s">
        <v>72</v>
      </c>
      <c r="F7" s="586"/>
    </row>
    <row r="8" spans="2:6" s="12" customFormat="1" x14ac:dyDescent="0.3">
      <c r="B8" s="574" t="s">
        <v>382</v>
      </c>
      <c r="C8" s="579">
        <v>31</v>
      </c>
      <c r="D8" s="580">
        <v>31</v>
      </c>
      <c r="E8" s="581" t="s">
        <v>73</v>
      </c>
      <c r="F8" s="586"/>
    </row>
    <row r="9" spans="2:6" s="12" customFormat="1" x14ac:dyDescent="0.3">
      <c r="B9" s="574" t="s">
        <v>383</v>
      </c>
      <c r="C9" s="579">
        <v>78</v>
      </c>
      <c r="D9" s="580">
        <v>78</v>
      </c>
      <c r="E9" s="581"/>
      <c r="F9" s="586"/>
    </row>
    <row r="10" spans="2:6" s="12" customFormat="1" ht="15.5" x14ac:dyDescent="0.3">
      <c r="B10" s="574" t="s">
        <v>384</v>
      </c>
      <c r="C10" s="587">
        <v>1.25</v>
      </c>
      <c r="D10" s="588"/>
      <c r="E10" s="581" t="s">
        <v>385</v>
      </c>
      <c r="F10" s="586" t="s">
        <v>386</v>
      </c>
    </row>
    <row r="11" spans="2:6" s="12" customFormat="1" ht="15.5" x14ac:dyDescent="0.3">
      <c r="B11" s="589" t="s">
        <v>387</v>
      </c>
      <c r="C11" s="590">
        <v>0.61250000000000004</v>
      </c>
      <c r="D11" s="591"/>
      <c r="E11" s="592" t="s">
        <v>385</v>
      </c>
      <c r="F11" s="593"/>
    </row>
    <row r="12" spans="2:6" s="12" customFormat="1" x14ac:dyDescent="0.3">
      <c r="B12" s="594"/>
      <c r="C12" s="594"/>
      <c r="D12" s="594"/>
      <c r="E12" s="594"/>
    </row>
    <row r="13" spans="2:6" s="12" customFormat="1" x14ac:dyDescent="0.3">
      <c r="B13" s="595" t="s">
        <v>388</v>
      </c>
    </row>
    <row r="14" spans="2:6" s="12" customFormat="1" x14ac:dyDescent="0.3">
      <c r="B14" s="596" t="s">
        <v>389</v>
      </c>
    </row>
    <row r="15" spans="2:6" s="12" customFormat="1" x14ac:dyDescent="0.3">
      <c r="B15" s="12" t="s">
        <v>390</v>
      </c>
    </row>
    <row r="16" spans="2:6" s="12" customFormat="1" x14ac:dyDescent="0.3">
      <c r="B16" s="12" t="s">
        <v>391</v>
      </c>
    </row>
    <row r="17" spans="2:5" s="12" customFormat="1" x14ac:dyDescent="0.3">
      <c r="B17" s="12" t="s">
        <v>392</v>
      </c>
    </row>
    <row r="18" spans="2:5" s="12" customFormat="1" x14ac:dyDescent="0.3">
      <c r="B18" s="12" t="s">
        <v>393</v>
      </c>
    </row>
    <row r="19" spans="2:5" s="12" customFormat="1" x14ac:dyDescent="0.3">
      <c r="B19" s="12" t="s">
        <v>394</v>
      </c>
    </row>
    <row r="21" spans="2:5" s="12" customFormat="1" x14ac:dyDescent="0.3">
      <c r="B21" s="597" t="s">
        <v>395</v>
      </c>
      <c r="C21" s="597"/>
      <c r="D21" s="597"/>
      <c r="E21" s="597"/>
    </row>
    <row r="22" spans="2:5" s="12" customFormat="1" x14ac:dyDescent="0.3">
      <c r="B22" s="598" t="s">
        <v>396</v>
      </c>
      <c r="C22" s="598"/>
      <c r="D22" s="598"/>
      <c r="E22" s="598"/>
    </row>
    <row r="23" spans="2:5" s="12" customFormat="1" x14ac:dyDescent="0.3">
      <c r="B23" s="598" t="s">
        <v>397</v>
      </c>
      <c r="C23" s="598"/>
      <c r="D23" s="598"/>
      <c r="E23" s="598"/>
    </row>
  </sheetData>
  <sheetProtection sheet="1" objects="1" scenarios="1" formatCells="0" formatColumns="0" formatRows="0" sort="0" autoFilter="0"/>
  <mergeCells count="6">
    <mergeCell ref="F5:F6"/>
    <mergeCell ref="B21:E21"/>
    <mergeCell ref="B12:E12"/>
    <mergeCell ref="B22:E22"/>
    <mergeCell ref="B23:E23"/>
    <mergeCell ref="C10:D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4ffa91fb-a0ff-4ac5-b2db-65c790d184a4">
      <Value>1292</Value>
      <Value>1291</Value>
      <Value>1198</Value>
      <Value>1288</Value>
    </TaxCatchAll>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pce</TermName>
          <TermId xmlns="http://schemas.microsoft.com/office/infopath/2007/PartnerControls">caf6799b-46ab-451a-9b15-6162a8525ea8</TermId>
        </TermInfo>
        <TermInfo xmlns="http://schemas.microsoft.com/office/infopath/2007/PartnerControls">
          <TermName xmlns="http://schemas.microsoft.com/office/infopath/2007/PartnerControls">occupational exposures</TermName>
          <TermId xmlns="http://schemas.microsoft.com/office/infopath/2007/PartnerControls">18774c37-cb29-4db0-967a-47bce933212b</TermId>
        </TermInfo>
        <TermInfo xmlns="http://schemas.microsoft.com/office/infopath/2007/PartnerControls">
          <TermName xmlns="http://schemas.microsoft.com/office/infopath/2007/PartnerControls">risk calculator</TermName>
          <TermId xmlns="http://schemas.microsoft.com/office/infopath/2007/PartnerControls">8af20125-90c4-4af3-92eb-7f5682895c4d</TermId>
        </TermInfo>
        <TermInfo xmlns="http://schemas.microsoft.com/office/infopath/2007/PartnerControls">
          <TermName xmlns="http://schemas.microsoft.com/office/infopath/2007/PartnerControls">Tetrachloroethylene</TermName>
          <TermId xmlns="http://schemas.microsoft.com/office/infopath/2007/PartnerControls">755bd87a-6ca9-4042-aecb-9586ff92b9b0</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2024-12-16T18:21:07+00:00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SharedWithUsers xmlns="fecc2597-e8fd-4279-ac06-bd7c891938be">
      <UserInfo>
        <DisplayName/>
        <AccountId xsi:nil="true"/>
        <AccountType/>
      </UserInfo>
    </SharedWithUsers>
    <e3f09c3df709400db2417a7161762d62 xmlns="4ffa91fb-a0ff-4ac5-b2db-65c790d184a4">
      <Terms xmlns="http://schemas.microsoft.com/office/infopath/2007/PartnerControls"/>
    </e3f09c3df709400db2417a7161762d62>
    <lcf76f155ced4ddcb4097134ff3c332f xmlns="ead8da0f-3542-4e50-96c8-f1f698624e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689336-0F7C-48B3-AEAD-18D767639BC8}">
  <ds:schemaRefs>
    <ds:schemaRef ds:uri="Microsoft.SharePoint.Taxonomy.ContentTypeSync"/>
  </ds:schemaRefs>
</ds:datastoreItem>
</file>

<file path=customXml/itemProps2.xml><?xml version="1.0" encoding="utf-8"?>
<ds:datastoreItem xmlns:ds="http://schemas.openxmlformats.org/officeDocument/2006/customXml" ds:itemID="{C62E1E3B-D6A7-4F6E-8266-F45DD79BF199}">
  <ds:schemaRefs>
    <ds:schemaRef ds:uri="http://schemas.microsoft.com/sharepoint/v3/contenttype/forms"/>
  </ds:schemaRefs>
</ds:datastoreItem>
</file>

<file path=customXml/itemProps3.xml><?xml version="1.0" encoding="utf-8"?>
<ds:datastoreItem xmlns:ds="http://schemas.openxmlformats.org/officeDocument/2006/customXml" ds:itemID="{6A6B49B6-BF1D-48F2-9B09-899C1CEB8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412F8B4-5788-4A50-8FDB-D7CA985C318F}">
  <ds:schemaRefs>
    <ds:schemaRef ds:uri="http://purl.org/dc/terms/"/>
    <ds:schemaRef ds:uri="http://schemas.microsoft.com/sharepoint/v3/fields"/>
    <ds:schemaRef ds:uri="http://schemas.microsoft.com/office/2006/metadata/properties"/>
    <ds:schemaRef ds:uri="http://schemas.microsoft.com/sharepoint/v3"/>
    <ds:schemaRef ds:uri="http://schemas.microsoft.com/office/2006/documentManagement/types"/>
    <ds:schemaRef ds:uri="4ffa91fb-a0ff-4ac5-b2db-65c790d184a4"/>
    <ds:schemaRef ds:uri="http://purl.org/dc/elements/1.1/"/>
    <ds:schemaRef ds:uri="http://schemas.microsoft.com/office/infopath/2007/PartnerControls"/>
    <ds:schemaRef ds:uri="http://purl.org/dc/dcmitype/"/>
    <ds:schemaRef ds:uri="fecc2597-e8fd-4279-ac06-bd7c891938be"/>
    <ds:schemaRef ds:uri="ead8da0f-3542-4e50-96c8-f1f698624e86"/>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Cover Page</vt:lpstr>
      <vt:lpstr>Read Me</vt:lpstr>
      <vt:lpstr>Calculation Summary</vt:lpstr>
      <vt:lpstr>Dashboard</vt:lpstr>
      <vt:lpstr>RR</vt:lpstr>
      <vt:lpstr>Aggregate RR</vt:lpstr>
      <vt:lpstr>Inhalation Exposure</vt:lpstr>
      <vt:lpstr>Dermal Exposure</vt:lpstr>
      <vt:lpstr>Tables for RE</vt:lpstr>
      <vt:lpstr>Tables for Report</vt:lpstr>
      <vt:lpstr>Hazard Values</vt:lpstr>
      <vt:lpstr>List Values</vt:lpstr>
      <vt:lpstr>Exposure Factors</vt:lpstr>
      <vt:lpstr>AH1_cm2</vt:lpstr>
      <vt:lpstr>AH1_cm2_F</vt:lpstr>
      <vt:lpstr>AH2_cm2</vt:lpstr>
      <vt:lpstr>AH2_cm2_F</vt:lpstr>
      <vt:lpstr>AT</vt:lpstr>
      <vt:lpstr>AT_AC</vt:lpstr>
      <vt:lpstr>AT_ADC_high</vt:lpstr>
      <vt:lpstr>AT_ADC_mid</vt:lpstr>
      <vt:lpstr>BW_default</vt:lpstr>
      <vt:lpstr>BW_F</vt:lpstr>
      <vt:lpstr>ED_10</vt:lpstr>
      <vt:lpstr>ED_8</vt:lpstr>
      <vt:lpstr>EF</vt:lpstr>
      <vt:lpstr>EFID</vt:lpstr>
      <vt:lpstr>ID</vt:lpstr>
      <vt:lpstr>LT</vt:lpstr>
      <vt:lpstr>MW</vt:lpstr>
      <vt:lpstr>WorkBreathRate</vt:lpstr>
      <vt:lpstr>WY_high</vt:lpstr>
      <vt:lpstr>WY_mid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PCE Supplemental Information File Risk Calculator for Occupational Exposures</dc:title>
  <dc:subject>Risk Calculator for Occupational Exposures</dc:subject>
  <dc:creator>US EPA</dc:creator>
  <cp:keywords>risk calculator; occupational exposures; pce; Tetrachloroethylene</cp:keywords>
  <dc:description/>
  <cp:lastModifiedBy>Hodge, Myles</cp:lastModifiedBy>
  <cp:revision/>
  <dcterms:created xsi:type="dcterms:W3CDTF">2014-03-17T14:32:48Z</dcterms:created>
  <dcterms:modified xsi:type="dcterms:W3CDTF">2025-07-23T16:51:58Z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1292;#pce|caf6799b-46ab-451a-9b15-6162a8525ea8;#1291;#occupational exposures|18774c37-cb29-4db0-967a-47bce933212b;#1198;#risk calculator|8af20125-90c4-4af3-92eb-7f5682895c4d;#1288;#Tetrachloroethylene|755bd87a-6ca9-4042-aecb-9586ff92b9b0</vt:lpwstr>
  </property>
  <property fmtid="{D5CDD505-2E9C-101B-9397-08002B2CF9AE}" pid="4" name="EPA Subject">
    <vt:lpwstr/>
  </property>
  <property fmtid="{D5CDD505-2E9C-101B-9397-08002B2CF9AE}" pid="5" name="Document Type">
    <vt:lpwstr/>
  </property>
  <property fmtid="{D5CDD505-2E9C-101B-9397-08002B2CF9AE}" pid="6" name="MediaServiceImageTags">
    <vt:lpwstr/>
  </property>
  <property fmtid="{D5CDD505-2E9C-101B-9397-08002B2CF9AE}" pid="7" name="Order">
    <vt:r8>427000</vt:r8>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xd_Signature">
    <vt:bool>false</vt:bool>
  </property>
  <property fmtid="{D5CDD505-2E9C-101B-9397-08002B2CF9AE}" pid="14" name="Document_x0020_Type">
    <vt:lpwstr/>
  </property>
  <property fmtid="{D5CDD505-2E9C-101B-9397-08002B2CF9AE}" pid="15" name="EPA_x0020_Subject">
    <vt:lpwstr/>
  </property>
</Properties>
</file>