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usepa-my.sharepoint.com/personal/lindsay_sarah_epa_gov/Documents/Desktop/in progress/D4/"/>
    </mc:Choice>
  </mc:AlternateContent>
  <xr:revisionPtr revIDLastSave="1713" documentId="8_{07262939-DC71-468D-8B57-000389681814}" xr6:coauthVersionLast="47" xr6:coauthVersionMax="47" xr10:uidLastSave="{9618A205-07D1-4ACF-822D-21D010ECF36F}"/>
  <bookViews>
    <workbookView xWindow="-110" yWindow="-110" windowWidth="19420" windowHeight="10300" tabRatio="832" xr2:uid="{DF8BE0E7-5085-4FBE-B3A1-D74DD0679233}"/>
  </bookViews>
  <sheets>
    <sheet name="Cover Page" sheetId="15" r:id="rId1"/>
    <sheet name="Read Me" sheetId="13" r:id="rId2"/>
    <sheet name="P-Chem" sheetId="9" r:id="rId3"/>
    <sheet name="Article_Data" sheetId="6" r:id="rId4"/>
    <sheet name="Product_Inputs" sheetId="7" r:id="rId5"/>
    <sheet name="Article_Inputs" sheetId="8" r:id="rId6"/>
    <sheet name="Dermal Calcs" sheetId="12" r:id="rId7"/>
    <sheet name="Products" sheetId="1" state="hidden" r:id="rId8"/>
    <sheet name="Articles" sheetId="2" state="hidden" r:id="rId9"/>
    <sheet name="Mouthing Calcs" sheetId="10" r:id="rId10"/>
    <sheet name="Product WF and Use" sheetId="3" r:id="rId11"/>
    <sheet name="CEM_Models" sheetId="5" r:id="rId12"/>
    <sheet name="CEM_ENV" sheetId="4" r:id="rId13"/>
  </sheets>
  <definedNames>
    <definedName name="_xlnm._FilterDatabase" localSheetId="11" hidden="1">CEM_Models!$A$1:$I$1</definedName>
    <definedName name="_xlnm._FilterDatabase" localSheetId="6" hidden="1">'Dermal Calcs'!$A$1:$BG$39</definedName>
    <definedName name="_xlnm._FilterDatabase" localSheetId="10" hidden="1">'Product WF and Use'!$A$2:$V$29</definedName>
    <definedName name="CEM_Input__Area_of_Article_Mouthed">Article_Data!#REF!</definedName>
    <definedName name="CEM_Input__Chemical_Migration_Rate">Article_Data!#REF!</definedName>
    <definedName name="CEM_Input__Mouthing_Duration">Article_Data!$A$1</definedName>
    <definedName name="CEM_Input__Product_Density">Article_Data!$A$20</definedName>
    <definedName name="CEM_Input__Surface_Area_of_Articles">Article_Data!#REF!</definedName>
    <definedName name="Registry_ID_Xwalk">#REF!</definedName>
    <definedName name="tbl_Default_Product_Models_SVOC" localSheetId="11">CEM_Models!$A$1:$A$86</definedName>
    <definedName name="tbl_Default_Product_Models_SVOC">#REF!</definedName>
    <definedName name="tbl_Lookup_Environment">CEM_ENV!$A$1:$P$13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9" l="1"/>
  <c r="J2" i="9"/>
  <c r="J4" i="9"/>
  <c r="J3" i="9"/>
  <c r="AJ5" i="3"/>
  <c r="K31" i="12"/>
  <c r="K30" i="12"/>
  <c r="O31" i="12"/>
  <c r="P31" i="12" l="1"/>
  <c r="J29" i="12" l="1"/>
  <c r="J28" i="12"/>
  <c r="J27" i="12"/>
  <c r="I19" i="8"/>
  <c r="I16" i="8"/>
  <c r="D19" i="8"/>
  <c r="D16" i="8"/>
  <c r="I13" i="8"/>
  <c r="I27" i="12"/>
  <c r="D27" i="12"/>
  <c r="H13" i="12" l="1"/>
  <c r="I13" i="12"/>
  <c r="H14" i="12"/>
  <c r="I14" i="12"/>
  <c r="H15" i="12"/>
  <c r="I15" i="12"/>
  <c r="H16" i="12"/>
  <c r="I16" i="12"/>
  <c r="H17" i="12"/>
  <c r="I17" i="12"/>
  <c r="H18" i="12"/>
  <c r="I18" i="12"/>
  <c r="H19" i="12"/>
  <c r="I19" i="12"/>
  <c r="H20" i="12"/>
  <c r="I20" i="12"/>
  <c r="H21" i="12"/>
  <c r="I21" i="12"/>
  <c r="G24" i="7" l="1"/>
  <c r="G23" i="7"/>
  <c r="G22" i="7"/>
  <c r="V52" i="12" l="1"/>
  <c r="V5" i="3" l="1"/>
  <c r="I24" i="7" s="1"/>
  <c r="K18" i="12" s="1"/>
  <c r="V3" i="3"/>
  <c r="I22" i="7" s="1"/>
  <c r="K16" i="12" s="1"/>
  <c r="U5" i="3"/>
  <c r="H24" i="7" s="1"/>
  <c r="K15" i="12" s="1"/>
  <c r="U3" i="3"/>
  <c r="H22" i="7" s="1"/>
  <c r="K13" i="12" s="1"/>
  <c r="F24" i="7"/>
  <c r="K12" i="12" s="1"/>
  <c r="F23" i="7"/>
  <c r="K11" i="12" s="1"/>
  <c r="F22" i="7"/>
  <c r="K10" i="12" s="1"/>
  <c r="J24" i="7"/>
  <c r="K21" i="12" s="1"/>
  <c r="J23" i="7"/>
  <c r="K20" i="12" s="1"/>
  <c r="J22" i="7"/>
  <c r="K19" i="12" s="1"/>
  <c r="T3" i="3"/>
  <c r="T5" i="3"/>
  <c r="R3" i="3"/>
  <c r="R5" i="3"/>
  <c r="D24" i="7" s="1"/>
  <c r="K9" i="12" s="1"/>
  <c r="S3" i="3"/>
  <c r="E22" i="7" s="1"/>
  <c r="K4" i="12" s="1"/>
  <c r="S5" i="3"/>
  <c r="E24" i="7" s="1"/>
  <c r="K6" i="12" s="1"/>
  <c r="E50" i="7" l="1"/>
  <c r="D45" i="7"/>
  <c r="F45" i="7"/>
  <c r="J45" i="7"/>
  <c r="D46" i="7"/>
  <c r="F46" i="7"/>
  <c r="J46" i="7"/>
  <c r="D47" i="7"/>
  <c r="F47" i="7"/>
  <c r="J47" i="7"/>
  <c r="K33" i="12" l="1"/>
  <c r="K32" i="12"/>
  <c r="T43" i="12"/>
  <c r="C11" i="9"/>
  <c r="C12" i="9" s="1"/>
  <c r="D12" i="9" s="1"/>
  <c r="E12" i="9" s="1"/>
  <c r="E56" i="8"/>
  <c r="E55" i="8"/>
  <c r="E54" i="8"/>
  <c r="BQ32" i="12"/>
  <c r="BQ29" i="12"/>
  <c r="BQ28" i="12"/>
  <c r="BQ30" i="12"/>
  <c r="BQ27" i="12"/>
  <c r="BP32" i="12"/>
  <c r="BP29" i="12"/>
  <c r="BP28" i="12"/>
  <c r="BP30" i="12"/>
  <c r="BP27" i="12"/>
  <c r="BO32" i="12"/>
  <c r="BO29" i="12"/>
  <c r="BO28" i="12"/>
  <c r="BO30" i="12"/>
  <c r="BO27" i="12"/>
  <c r="O26" i="12"/>
  <c r="O25" i="12"/>
  <c r="O24" i="12"/>
  <c r="O39" i="12"/>
  <c r="O38" i="12"/>
  <c r="O37" i="12"/>
  <c r="O36" i="12"/>
  <c r="O35" i="12"/>
  <c r="O34" i="12"/>
  <c r="O33" i="12"/>
  <c r="O32" i="12"/>
  <c r="O30" i="12"/>
  <c r="O29" i="12"/>
  <c r="O28" i="12"/>
  <c r="O27" i="12"/>
  <c r="K26" i="12"/>
  <c r="K25" i="12"/>
  <c r="K24" i="12"/>
  <c r="K39" i="12"/>
  <c r="K38" i="12"/>
  <c r="K37" i="12"/>
  <c r="K36" i="12"/>
  <c r="K35" i="12"/>
  <c r="K34" i="12"/>
  <c r="K29" i="12"/>
  <c r="K28" i="12"/>
  <c r="K27" i="12"/>
  <c r="D11" i="9" l="1"/>
  <c r="E11" i="9" s="1"/>
  <c r="P28" i="12"/>
  <c r="P29" i="12"/>
  <c r="P38" i="12"/>
  <c r="P39" i="12"/>
  <c r="P37" i="12"/>
  <c r="P27" i="12"/>
  <c r="P24" i="12"/>
  <c r="P25" i="12"/>
  <c r="P26" i="12"/>
  <c r="P34" i="12"/>
  <c r="P35" i="12"/>
  <c r="P36" i="12"/>
  <c r="O21" i="12"/>
  <c r="O20" i="12"/>
  <c r="O19" i="12"/>
  <c r="J26" i="12"/>
  <c r="I26" i="12"/>
  <c r="H26" i="12"/>
  <c r="G26" i="12"/>
  <c r="F26" i="12"/>
  <c r="E26" i="12"/>
  <c r="D26" i="12"/>
  <c r="J25" i="12"/>
  <c r="I25" i="12"/>
  <c r="H25" i="12"/>
  <c r="G25" i="12"/>
  <c r="F25" i="12"/>
  <c r="E25" i="12"/>
  <c r="D25" i="12"/>
  <c r="F39" i="12"/>
  <c r="E39" i="12"/>
  <c r="F38" i="12"/>
  <c r="E38" i="12"/>
  <c r="D38" i="12"/>
  <c r="J36" i="12"/>
  <c r="I36" i="12"/>
  <c r="H36" i="12"/>
  <c r="G36" i="12"/>
  <c r="J35" i="12"/>
  <c r="I35" i="12"/>
  <c r="H35" i="12"/>
  <c r="G35" i="12"/>
  <c r="G34" i="12"/>
  <c r="H34" i="12"/>
  <c r="I34" i="12"/>
  <c r="J34" i="12"/>
  <c r="D24" i="12"/>
  <c r="D39" i="12"/>
  <c r="D37" i="12"/>
  <c r="E37" i="12"/>
  <c r="H39" i="12"/>
  <c r="J38" i="12"/>
  <c r="H37" i="12"/>
  <c r="J39" i="12" l="1"/>
  <c r="I39" i="12"/>
  <c r="P19" i="12"/>
  <c r="Q19" i="12" s="1"/>
  <c r="P16" i="12"/>
  <c r="P13" i="12"/>
  <c r="P10" i="12"/>
  <c r="P7" i="12"/>
  <c r="P4" i="12"/>
  <c r="P20" i="12"/>
  <c r="Q20" i="12" s="1"/>
  <c r="P17" i="12"/>
  <c r="P14" i="12"/>
  <c r="P11" i="12"/>
  <c r="P8" i="12"/>
  <c r="P5" i="12"/>
  <c r="P21" i="12"/>
  <c r="Q21" i="12" s="1"/>
  <c r="P18" i="12"/>
  <c r="P15" i="12"/>
  <c r="P12" i="12"/>
  <c r="P9" i="12"/>
  <c r="P6" i="12"/>
  <c r="G38" i="12"/>
  <c r="H38" i="12"/>
  <c r="I38" i="12"/>
  <c r="J37" i="12"/>
  <c r="I37" i="12"/>
  <c r="G37" i="12"/>
  <c r="G39" i="12"/>
  <c r="F37" i="12"/>
  <c r="A37" i="12"/>
  <c r="A34" i="12"/>
  <c r="M35" i="12"/>
  <c r="L35" i="12"/>
  <c r="M39" i="12"/>
  <c r="L38" i="12"/>
  <c r="T20" i="12" l="1"/>
  <c r="S20" i="12"/>
  <c r="Y20" i="12"/>
  <c r="U20" i="12"/>
  <c r="Y21" i="12"/>
  <c r="U21" i="12"/>
  <c r="T21" i="12"/>
  <c r="S21" i="12"/>
  <c r="V19" i="12"/>
  <c r="U19" i="12"/>
  <c r="S19" i="12"/>
  <c r="T19" i="12"/>
  <c r="L36" i="12"/>
  <c r="M36" i="12"/>
  <c r="M38" i="12"/>
  <c r="L39" i="12"/>
  <c r="I32" i="8"/>
  <c r="I31" i="8"/>
  <c r="I30" i="8"/>
  <c r="I29" i="8"/>
  <c r="I28" i="8"/>
  <c r="I27" i="8"/>
  <c r="I26" i="8"/>
  <c r="I25" i="8"/>
  <c r="I24" i="8"/>
  <c r="H32" i="8"/>
  <c r="H31" i="8"/>
  <c r="H29" i="8"/>
  <c r="H28" i="8"/>
  <c r="H26" i="8"/>
  <c r="H25" i="8"/>
  <c r="U6" i="3" l="1"/>
  <c r="AA4" i="3" l="1"/>
  <c r="AC4" i="3" s="1"/>
  <c r="H48" i="7" s="1"/>
  <c r="AA3" i="3"/>
  <c r="AC3" i="3" s="1"/>
  <c r="H50" i="7" s="1"/>
  <c r="V6" i="3"/>
  <c r="H49" i="7" l="1"/>
  <c r="AA6" i="3"/>
  <c r="AC6" i="3" s="1"/>
  <c r="I48" i="7" s="1"/>
  <c r="AA5" i="3"/>
  <c r="AC5" i="3" s="1"/>
  <c r="I50" i="7" s="1"/>
  <c r="I39" i="7"/>
  <c r="O16" i="12" s="1"/>
  <c r="Q16" i="12" s="1"/>
  <c r="J54" i="7"/>
  <c r="I54" i="7"/>
  <c r="H54" i="7"/>
  <c r="F54" i="7"/>
  <c r="D54" i="7"/>
  <c r="E54" i="7"/>
  <c r="J51" i="7"/>
  <c r="I51" i="7"/>
  <c r="H51" i="7"/>
  <c r="D51" i="7"/>
  <c r="E51" i="7"/>
  <c r="O18" i="12" l="1"/>
  <c r="Q18" i="12" s="1"/>
  <c r="U16" i="12"/>
  <c r="S16" i="12"/>
  <c r="T16" i="12"/>
  <c r="U18" i="12"/>
  <c r="S18" i="12"/>
  <c r="Y18" i="12"/>
  <c r="T18" i="12"/>
  <c r="D22" i="7"/>
  <c r="K7" i="12" s="1"/>
  <c r="R6" i="3"/>
  <c r="S6" i="3"/>
  <c r="H39" i="7" l="1"/>
  <c r="D39" i="7"/>
  <c r="E39" i="7"/>
  <c r="I34" i="9"/>
  <c r="J24" i="12"/>
  <c r="J32" i="12"/>
  <c r="E24" i="12"/>
  <c r="F24" i="12"/>
  <c r="I32" i="12"/>
  <c r="H32" i="12"/>
  <c r="G32" i="12"/>
  <c r="F32" i="12"/>
  <c r="E32" i="12"/>
  <c r="D32" i="12"/>
  <c r="I24" i="12"/>
  <c r="H24" i="12"/>
  <c r="G24" i="12"/>
  <c r="H27" i="12"/>
  <c r="G27" i="12"/>
  <c r="P33" i="12"/>
  <c r="P32" i="12"/>
  <c r="P30" i="12"/>
  <c r="M24" i="12"/>
  <c r="M26" i="12" s="1"/>
  <c r="L26" i="12"/>
  <c r="M30" i="12"/>
  <c r="M33" i="12" s="1"/>
  <c r="L30" i="12"/>
  <c r="L33" i="12" s="1"/>
  <c r="M27" i="12"/>
  <c r="M28" i="12" s="1"/>
  <c r="L27" i="12"/>
  <c r="L28" i="12" s="1"/>
  <c r="M19" i="12"/>
  <c r="M16" i="12"/>
  <c r="M13" i="12"/>
  <c r="M10" i="12"/>
  <c r="U52" i="12" s="1"/>
  <c r="L19" i="12"/>
  <c r="L16" i="12"/>
  <c r="L13" i="12"/>
  <c r="M7" i="12"/>
  <c r="L7" i="12"/>
  <c r="M4" i="12"/>
  <c r="L4" i="12"/>
  <c r="E40" i="8"/>
  <c r="E41" i="8" s="1"/>
  <c r="E45" i="8"/>
  <c r="E43" i="8"/>
  <c r="E44" i="8"/>
  <c r="J19" i="12"/>
  <c r="Y19" i="12" s="1"/>
  <c r="J16" i="12"/>
  <c r="Y16" i="12" s="1"/>
  <c r="J13" i="12"/>
  <c r="J10" i="12"/>
  <c r="J7" i="12"/>
  <c r="J4" i="12"/>
  <c r="X21" i="12"/>
  <c r="W21" i="12"/>
  <c r="G21" i="12"/>
  <c r="V21" i="12" s="1"/>
  <c r="X20" i="12"/>
  <c r="W20" i="12"/>
  <c r="G20" i="12"/>
  <c r="V20" i="12" s="1"/>
  <c r="X18" i="12"/>
  <c r="W18" i="12"/>
  <c r="G18" i="12"/>
  <c r="V18" i="12" s="1"/>
  <c r="G17" i="12"/>
  <c r="G15" i="12"/>
  <c r="G14" i="12"/>
  <c r="I12" i="12"/>
  <c r="H12" i="12"/>
  <c r="G12" i="12"/>
  <c r="I11" i="12"/>
  <c r="H11" i="12"/>
  <c r="G11" i="12"/>
  <c r="I9" i="12"/>
  <c r="H9" i="12"/>
  <c r="G9" i="12"/>
  <c r="I8" i="12"/>
  <c r="H8" i="12"/>
  <c r="G8" i="12"/>
  <c r="I6" i="12"/>
  <c r="H6" i="12"/>
  <c r="G6" i="12"/>
  <c r="I5" i="12"/>
  <c r="H5" i="12"/>
  <c r="G5" i="12"/>
  <c r="X19" i="12"/>
  <c r="W19" i="12"/>
  <c r="X16" i="12"/>
  <c r="W16" i="12"/>
  <c r="G16" i="12"/>
  <c r="V16" i="12" s="1"/>
  <c r="G13" i="12"/>
  <c r="I10" i="12"/>
  <c r="H10" i="12"/>
  <c r="G10" i="12"/>
  <c r="I7" i="12"/>
  <c r="H7" i="12"/>
  <c r="G7" i="12"/>
  <c r="I4" i="12"/>
  <c r="H4" i="12"/>
  <c r="G4" i="12"/>
  <c r="D29" i="12"/>
  <c r="D28" i="12"/>
  <c r="E29" i="12"/>
  <c r="E28" i="12"/>
  <c r="E27" i="12"/>
  <c r="D13" i="8"/>
  <c r="I29" i="12" s="1"/>
  <c r="A24" i="12"/>
  <c r="A30" i="12"/>
  <c r="A27" i="12"/>
  <c r="A19" i="12"/>
  <c r="R61" i="12" s="1"/>
  <c r="A16" i="12"/>
  <c r="R58" i="12" s="1"/>
  <c r="A13" i="12"/>
  <c r="R55" i="12" s="1"/>
  <c r="A10" i="12"/>
  <c r="R52" i="12" s="1"/>
  <c r="A7" i="12"/>
  <c r="R46" i="12" s="1"/>
  <c r="A4" i="12"/>
  <c r="R49" i="12" s="1"/>
  <c r="AX1" i="12"/>
  <c r="AY1" i="12" s="1"/>
  <c r="AZ1" i="12" s="1"/>
  <c r="BA1" i="12" s="1"/>
  <c r="AT1" i="12"/>
  <c r="AS1" i="12" s="1"/>
  <c r="AR1" i="12" s="1"/>
  <c r="AQ1" i="12" s="1"/>
  <c r="AP1" i="12" s="1"/>
  <c r="AO1" i="12" s="1"/>
  <c r="AN1" i="12" s="1"/>
  <c r="E24" i="9"/>
  <c r="D60" i="9" s="1"/>
  <c r="E49" i="8"/>
  <c r="R61" i="9"/>
  <c r="P61" i="9"/>
  <c r="R60" i="9"/>
  <c r="P60" i="9"/>
  <c r="R59" i="9"/>
  <c r="P59" i="9"/>
  <c r="R58" i="9"/>
  <c r="P58" i="9"/>
  <c r="R57" i="9"/>
  <c r="P57" i="9"/>
  <c r="R56" i="9"/>
  <c r="P56" i="9"/>
  <c r="R55" i="9"/>
  <c r="P55" i="9"/>
  <c r="R54" i="9"/>
  <c r="P54" i="9"/>
  <c r="R53" i="9"/>
  <c r="P53" i="9"/>
  <c r="R52" i="9"/>
  <c r="P52" i="9"/>
  <c r="R51" i="9"/>
  <c r="P51" i="9"/>
  <c r="R50" i="9"/>
  <c r="P50" i="9"/>
  <c r="R49" i="9"/>
  <c r="P49" i="9"/>
  <c r="R48" i="9"/>
  <c r="P48" i="9"/>
  <c r="R47" i="9"/>
  <c r="P47" i="9"/>
  <c r="R46" i="9"/>
  <c r="P46" i="9"/>
  <c r="R45" i="9"/>
  <c r="P45" i="9"/>
  <c r="R44" i="9"/>
  <c r="P44" i="9"/>
  <c r="R43" i="9"/>
  <c r="P43" i="9"/>
  <c r="R42" i="9"/>
  <c r="P42" i="9"/>
  <c r="R41" i="9"/>
  <c r="P41" i="9"/>
  <c r="R40" i="9"/>
  <c r="P40" i="9"/>
  <c r="R39" i="9"/>
  <c r="P39" i="9"/>
  <c r="R38" i="9"/>
  <c r="P38" i="9"/>
  <c r="R37" i="9"/>
  <c r="P37" i="9"/>
  <c r="R36" i="9"/>
  <c r="P36" i="9"/>
  <c r="R35" i="9"/>
  <c r="P35" i="9"/>
  <c r="R34" i="9"/>
  <c r="P34" i="9"/>
  <c r="R33" i="9"/>
  <c r="P33" i="9"/>
  <c r="R32" i="9"/>
  <c r="P32" i="9"/>
  <c r="R31" i="9"/>
  <c r="P31" i="9"/>
  <c r="I14" i="9"/>
  <c r="F18" i="6"/>
  <c r="E18" i="6"/>
  <c r="D18" i="6"/>
  <c r="C18" i="6"/>
  <c r="F13" i="6"/>
  <c r="E13" i="6"/>
  <c r="D13" i="6"/>
  <c r="C13" i="6"/>
  <c r="F8" i="6"/>
  <c r="E8" i="6"/>
  <c r="D8" i="6"/>
  <c r="C8" i="6"/>
  <c r="E19" i="8"/>
  <c r="D33" i="12" s="1"/>
  <c r="E17" i="8"/>
  <c r="E16" i="8"/>
  <c r="F33" i="12" s="1"/>
  <c r="E14" i="8"/>
  <c r="E13" i="8"/>
  <c r="H33" i="12" s="1"/>
  <c r="E11" i="8"/>
  <c r="J90" i="7"/>
  <c r="I90" i="7"/>
  <c r="H90" i="7"/>
  <c r="F90" i="7"/>
  <c r="D90" i="7"/>
  <c r="E90" i="7"/>
  <c r="P36" i="3"/>
  <c r="P34" i="3"/>
  <c r="I19" i="7"/>
  <c r="I18" i="7"/>
  <c r="F6" i="7"/>
  <c r="F51" i="7" s="1"/>
  <c r="J29" i="3"/>
  <c r="J28" i="3"/>
  <c r="J27" i="3"/>
  <c r="J26" i="3"/>
  <c r="J25" i="3"/>
  <c r="J24" i="3"/>
  <c r="J23" i="3"/>
  <c r="J22" i="3"/>
  <c r="J21" i="3"/>
  <c r="J20" i="3"/>
  <c r="J19" i="3"/>
  <c r="J18" i="3"/>
  <c r="J17" i="3"/>
  <c r="J16" i="3"/>
  <c r="J15" i="3"/>
  <c r="J14" i="3"/>
  <c r="J13" i="3"/>
  <c r="J12" i="3"/>
  <c r="J11" i="3"/>
  <c r="J10" i="3"/>
  <c r="J9" i="3"/>
  <c r="J8" i="3"/>
  <c r="J7" i="3"/>
  <c r="J4" i="3"/>
  <c r="J3" i="3"/>
  <c r="J19" i="7"/>
  <c r="H19" i="7"/>
  <c r="F19" i="7"/>
  <c r="D19" i="7"/>
  <c r="E19" i="7"/>
  <c r="J18" i="7"/>
  <c r="H18" i="7"/>
  <c r="F18" i="7"/>
  <c r="D18" i="7"/>
  <c r="E18" i="7"/>
  <c r="L34" i="9" l="1"/>
  <c r="I51" i="9" s="1"/>
  <c r="I35" i="9"/>
  <c r="T4" i="3"/>
  <c r="V4" i="3"/>
  <c r="I23" i="7" s="1"/>
  <c r="K17" i="12" s="1"/>
  <c r="O17" i="12" s="1"/>
  <c r="Q17" i="12" s="1"/>
  <c r="S17" i="12" s="1"/>
  <c r="S4" i="3"/>
  <c r="E23" i="7" s="1"/>
  <c r="K5" i="12" s="1"/>
  <c r="R4" i="3"/>
  <c r="D23" i="7" s="1"/>
  <c r="K8" i="12" s="1"/>
  <c r="O8" i="12" s="1"/>
  <c r="Q8" i="12" s="1"/>
  <c r="X8" i="12" s="1"/>
  <c r="U4" i="3"/>
  <c r="H23" i="7" s="1"/>
  <c r="K14" i="12" s="1"/>
  <c r="O14" i="12" s="1"/>
  <c r="Q14" i="12" s="1"/>
  <c r="V14" i="12" s="1"/>
  <c r="O9" i="12"/>
  <c r="Q9" i="12" s="1"/>
  <c r="W9" i="12" s="1"/>
  <c r="O4" i="12"/>
  <c r="Q4" i="12" s="1"/>
  <c r="V4" i="12" s="1"/>
  <c r="AJ4" i="12" s="1"/>
  <c r="L10" i="12"/>
  <c r="O7" i="12"/>
  <c r="Q7" i="12" s="1"/>
  <c r="S7" i="12" s="1"/>
  <c r="AG7" i="12" s="1"/>
  <c r="O15" i="12"/>
  <c r="Q15" i="12" s="1"/>
  <c r="X15" i="12" s="1"/>
  <c r="O10" i="12"/>
  <c r="Q10" i="12" s="1"/>
  <c r="X10" i="12" s="1"/>
  <c r="O11" i="12"/>
  <c r="Q11" i="12" s="1"/>
  <c r="W11" i="12" s="1"/>
  <c r="O12" i="12"/>
  <c r="Q12" i="12" s="1"/>
  <c r="X12" i="12" s="1"/>
  <c r="O13" i="12"/>
  <c r="Q13" i="12" s="1"/>
  <c r="V13" i="12" s="1"/>
  <c r="O6" i="12"/>
  <c r="Q6" i="12" s="1"/>
  <c r="X6" i="12" s="1"/>
  <c r="AK16" i="12"/>
  <c r="AD16" i="12"/>
  <c r="AE19" i="12"/>
  <c r="AL19" i="12"/>
  <c r="AC16" i="12"/>
  <c r="AJ16" i="12"/>
  <c r="AE16" i="12"/>
  <c r="AL16" i="12"/>
  <c r="AM16" i="12"/>
  <c r="AF16" i="12"/>
  <c r="AA16" i="12"/>
  <c r="AB16" i="12"/>
  <c r="AP16" i="12" s="1"/>
  <c r="Z16" i="12"/>
  <c r="AH16" i="12"/>
  <c r="AG16" i="12"/>
  <c r="AI16" i="12"/>
  <c r="AJ19" i="12"/>
  <c r="AG19" i="12"/>
  <c r="AI19" i="12"/>
  <c r="AH19" i="12"/>
  <c r="AK19" i="12"/>
  <c r="AD19" i="12"/>
  <c r="AM19" i="12"/>
  <c r="AF19" i="12"/>
  <c r="AB19" i="12"/>
  <c r="AA19" i="12"/>
  <c r="Z19" i="12"/>
  <c r="AC19" i="12"/>
  <c r="L6" i="12"/>
  <c r="M6" i="12"/>
  <c r="L9" i="12"/>
  <c r="M9" i="12"/>
  <c r="L15" i="12"/>
  <c r="L18" i="12"/>
  <c r="AD18" i="12" s="1"/>
  <c r="L21" i="12"/>
  <c r="AC21" i="12" s="1"/>
  <c r="M12" i="12"/>
  <c r="M15" i="12"/>
  <c r="M18" i="12"/>
  <c r="AK18" i="12" s="1"/>
  <c r="M21" i="12"/>
  <c r="AK21" i="12" s="1"/>
  <c r="J33" i="12"/>
  <c r="E33" i="12"/>
  <c r="G33" i="12"/>
  <c r="F29" i="12"/>
  <c r="G29" i="12"/>
  <c r="H29" i="12"/>
  <c r="F27" i="12"/>
  <c r="F28" i="12"/>
  <c r="I33" i="12"/>
  <c r="G28" i="12"/>
  <c r="H28" i="12"/>
  <c r="I28" i="12"/>
  <c r="E58" i="12"/>
  <c r="F58" i="12" s="1"/>
  <c r="G58" i="12" s="1"/>
  <c r="P35" i="3"/>
  <c r="L14" i="9"/>
  <c r="E53" i="8" s="1"/>
  <c r="I58" i="9"/>
  <c r="I48" i="9"/>
  <c r="I11" i="9" s="1"/>
  <c r="I52" i="9"/>
  <c r="I6" i="9" s="1"/>
  <c r="I55" i="9"/>
  <c r="I46" i="9"/>
  <c r="I49" i="9"/>
  <c r="I40" i="9"/>
  <c r="I43" i="9"/>
  <c r="I60" i="9"/>
  <c r="I10" i="9" s="1"/>
  <c r="I41" i="9"/>
  <c r="L17" i="12"/>
  <c r="L29" i="12"/>
  <c r="M29" i="12"/>
  <c r="L20" i="12"/>
  <c r="AC20" i="12" s="1"/>
  <c r="L14" i="12"/>
  <c r="L32" i="12"/>
  <c r="M32" i="12"/>
  <c r="M20" i="12"/>
  <c r="AJ20" i="12" s="1"/>
  <c r="M25" i="12"/>
  <c r="M11" i="12"/>
  <c r="M14" i="12"/>
  <c r="M5" i="12"/>
  <c r="L8" i="12"/>
  <c r="M8" i="12"/>
  <c r="M17" i="12"/>
  <c r="L5" i="12"/>
  <c r="I18" i="6"/>
  <c r="G26" i="8" s="1"/>
  <c r="G7" i="10" s="1"/>
  <c r="I13" i="6"/>
  <c r="G29" i="8" s="1"/>
  <c r="F7" i="10" s="1"/>
  <c r="G18" i="6"/>
  <c r="G24" i="8" s="1"/>
  <c r="G5" i="10" s="1"/>
  <c r="H18" i="6"/>
  <c r="G25" i="8" s="1"/>
  <c r="G6" i="10" s="1"/>
  <c r="I8" i="6"/>
  <c r="G32" i="8" s="1"/>
  <c r="E7" i="10" s="1"/>
  <c r="H8" i="6"/>
  <c r="G31" i="8" s="1"/>
  <c r="E6" i="10" s="1"/>
  <c r="G8" i="6"/>
  <c r="G30" i="8" s="1"/>
  <c r="E5" i="10" s="1"/>
  <c r="G13" i="6"/>
  <c r="G27" i="8" s="1"/>
  <c r="F5" i="10" s="1"/>
  <c r="H13" i="6"/>
  <c r="G28" i="8" s="1"/>
  <c r="F6" i="10" s="1"/>
  <c r="H14" i="9"/>
  <c r="E31" i="9"/>
  <c r="O31" i="9" s="1"/>
  <c r="Q31" i="9" s="1"/>
  <c r="D40" i="9"/>
  <c r="H6" i="9" s="1"/>
  <c r="E43" i="9"/>
  <c r="O43" i="9" s="1"/>
  <c r="Q43" i="9" s="1"/>
  <c r="D46" i="9"/>
  <c r="H12" i="9" s="1"/>
  <c r="D52" i="9"/>
  <c r="E55" i="9"/>
  <c r="O55" i="9" s="1"/>
  <c r="Q55" i="9" s="1"/>
  <c r="J8" i="9" s="1"/>
  <c r="D55" i="9"/>
  <c r="H8" i="9" s="1"/>
  <c r="E50" i="9"/>
  <c r="O50" i="9" s="1"/>
  <c r="Q50" i="9" s="1"/>
  <c r="D43" i="9"/>
  <c r="D35" i="9"/>
  <c r="H4" i="9" s="1"/>
  <c r="E32" i="9"/>
  <c r="O32" i="9" s="1"/>
  <c r="Q32" i="9" s="1"/>
  <c r="E56" i="9"/>
  <c r="O56" i="9" s="1"/>
  <c r="Q56" i="9" s="1"/>
  <c r="E34" i="9"/>
  <c r="O34" i="9" s="1"/>
  <c r="Q34" i="9" s="1"/>
  <c r="D37" i="9"/>
  <c r="E37" i="9"/>
  <c r="O37" i="9" s="1"/>
  <c r="Q37" i="9" s="1"/>
  <c r="D32" i="9"/>
  <c r="D38" i="9"/>
  <c r="E38" i="9"/>
  <c r="O38" i="9" s="1"/>
  <c r="Q38" i="9" s="1"/>
  <c r="E41" i="9"/>
  <c r="O41" i="9" s="1"/>
  <c r="Q41" i="9" s="1"/>
  <c r="E60" i="9"/>
  <c r="O60" i="9" s="1"/>
  <c r="Q60" i="9" s="1"/>
  <c r="E33" i="9"/>
  <c r="O33" i="9" s="1"/>
  <c r="Q33" i="9" s="1"/>
  <c r="D36" i="9"/>
  <c r="D39" i="9"/>
  <c r="H13" i="9" s="1"/>
  <c r="D45" i="9"/>
  <c r="H10" i="9" s="1"/>
  <c r="D48" i="9"/>
  <c r="D51" i="9"/>
  <c r="D57" i="9"/>
  <c r="E47" i="9"/>
  <c r="O47" i="9" s="1"/>
  <c r="Q47" i="9" s="1"/>
  <c r="J11" i="9" s="1"/>
  <c r="E36" i="9"/>
  <c r="O36" i="9" s="1"/>
  <c r="Q36" i="9" s="1"/>
  <c r="E39" i="9"/>
  <c r="O39" i="9" s="1"/>
  <c r="Q39" i="9" s="1"/>
  <c r="J13" i="9" s="1"/>
  <c r="D42" i="9"/>
  <c r="E45" i="9"/>
  <c r="O45" i="9" s="1"/>
  <c r="Q45" i="9" s="1"/>
  <c r="J10" i="9" s="1"/>
  <c r="E48" i="9"/>
  <c r="O48" i="9" s="1"/>
  <c r="Q48" i="9" s="1"/>
  <c r="E51" i="9"/>
  <c r="O51" i="9" s="1"/>
  <c r="Q51" i="9" s="1"/>
  <c r="D54" i="9"/>
  <c r="H9" i="9" s="1"/>
  <c r="E35" i="9"/>
  <c r="O35" i="9" s="1"/>
  <c r="Q35" i="9" s="1"/>
  <c r="E53" i="9"/>
  <c r="O53" i="9" s="1"/>
  <c r="Q53" i="9" s="1"/>
  <c r="D50" i="9"/>
  <c r="E44" i="9"/>
  <c r="O44" i="9" s="1"/>
  <c r="Q44" i="9" s="1"/>
  <c r="D34" i="9"/>
  <c r="D58" i="9"/>
  <c r="E57" i="9"/>
  <c r="O57" i="9" s="1"/>
  <c r="Q57" i="9" s="1"/>
  <c r="I50" i="9"/>
  <c r="I5" i="9" s="1"/>
  <c r="E40" i="9"/>
  <c r="O40" i="9" s="1"/>
  <c r="Q40" i="9" s="1"/>
  <c r="J6" i="9" s="1"/>
  <c r="I45" i="9"/>
  <c r="I13" i="9" s="1"/>
  <c r="D47" i="9"/>
  <c r="H11" i="9" s="1"/>
  <c r="E52" i="9"/>
  <c r="O52" i="9" s="1"/>
  <c r="Q52" i="9" s="1"/>
  <c r="I57" i="9"/>
  <c r="I3" i="9" s="1"/>
  <c r="E51" i="8" s="1"/>
  <c r="D59" i="9"/>
  <c r="E59" i="9"/>
  <c r="O59" i="9" s="1"/>
  <c r="Q59" i="9" s="1"/>
  <c r="J7" i="9" s="1"/>
  <c r="E42" i="9"/>
  <c r="O42" i="9" s="1"/>
  <c r="Q42" i="9" s="1"/>
  <c r="I47" i="9"/>
  <c r="I12" i="9" s="1"/>
  <c r="D49" i="9"/>
  <c r="H5" i="9" s="1"/>
  <c r="E54" i="9"/>
  <c r="O54" i="9" s="1"/>
  <c r="Q54" i="9" s="1"/>
  <c r="J9" i="9" s="1"/>
  <c r="I59" i="9"/>
  <c r="D61" i="9"/>
  <c r="D31" i="9"/>
  <c r="D33" i="9"/>
  <c r="I42" i="9"/>
  <c r="D44" i="9"/>
  <c r="E49" i="9"/>
  <c r="O49" i="9" s="1"/>
  <c r="Q49" i="9" s="1"/>
  <c r="J5" i="9" s="1"/>
  <c r="I54" i="9"/>
  <c r="I9" i="9" s="1"/>
  <c r="D56" i="9"/>
  <c r="E61" i="9"/>
  <c r="O61" i="9" s="1"/>
  <c r="Q61" i="9" s="1"/>
  <c r="I44" i="9"/>
  <c r="I56" i="9"/>
  <c r="I39" i="9"/>
  <c r="I2" i="9" s="1"/>
  <c r="D41" i="9"/>
  <c r="E46" i="9"/>
  <c r="O46" i="9" s="1"/>
  <c r="Q46" i="9" s="1"/>
  <c r="J12" i="9" s="1"/>
  <c r="D53" i="9"/>
  <c r="E58" i="9"/>
  <c r="O58" i="9" s="1"/>
  <c r="Q58" i="9" s="1"/>
  <c r="I53" i="9" l="1"/>
  <c r="I8" i="9" s="1"/>
  <c r="U17" i="12"/>
  <c r="AI17" i="12" s="1"/>
  <c r="X17" i="12"/>
  <c r="AL17" i="12" s="1"/>
  <c r="V17" i="12"/>
  <c r="AC17" i="12" s="1"/>
  <c r="W17" i="12"/>
  <c r="AK17" i="12" s="1"/>
  <c r="T17" i="12"/>
  <c r="AA17" i="12" s="1"/>
  <c r="Y17" i="12"/>
  <c r="AM17" i="12" s="1"/>
  <c r="L11" i="12"/>
  <c r="T52" i="12"/>
  <c r="AE10" i="12"/>
  <c r="L12" i="12"/>
  <c r="U9" i="12"/>
  <c r="AI9" i="12" s="1"/>
  <c r="U4" i="12"/>
  <c r="AI4" i="12" s="1"/>
  <c r="T8" i="12"/>
  <c r="AA8" i="12" s="1"/>
  <c r="S4" i="12"/>
  <c r="Y4" i="12"/>
  <c r="AM4" i="12" s="1"/>
  <c r="BA4" i="12" s="1"/>
  <c r="X4" i="12"/>
  <c r="AE4" i="12" s="1"/>
  <c r="T9" i="12"/>
  <c r="AH9" i="12" s="1"/>
  <c r="S9" i="12"/>
  <c r="AG9" i="12" s="1"/>
  <c r="T4" i="12"/>
  <c r="AH4" i="12" s="1"/>
  <c r="Y9" i="12"/>
  <c r="AM9" i="12" s="1"/>
  <c r="BA9" i="12" s="1"/>
  <c r="X9" i="12"/>
  <c r="AE9" i="12" s="1"/>
  <c r="V9" i="12"/>
  <c r="AJ9" i="12" s="1"/>
  <c r="X11" i="12"/>
  <c r="AL11" i="12" s="1"/>
  <c r="AZ11" i="12" s="1"/>
  <c r="Y10" i="12"/>
  <c r="AF10" i="12" s="1"/>
  <c r="W10" i="12"/>
  <c r="AK10" i="12" s="1"/>
  <c r="AY10" i="12" s="1"/>
  <c r="V10" i="12"/>
  <c r="AC10" i="12" s="1"/>
  <c r="AL10" i="12"/>
  <c r="W4" i="12"/>
  <c r="U7" i="12"/>
  <c r="AB7" i="12" s="1"/>
  <c r="AP7" i="12" s="1"/>
  <c r="V7" i="12"/>
  <c r="AJ7" i="12" s="1"/>
  <c r="Y13" i="12"/>
  <c r="Y8" i="12"/>
  <c r="AF8" i="12" s="1"/>
  <c r="AT8" i="12" s="1"/>
  <c r="V12" i="12"/>
  <c r="X7" i="12"/>
  <c r="W7" i="12"/>
  <c r="AK7" i="12" s="1"/>
  <c r="Y7" i="12"/>
  <c r="AM7" i="12" s="1"/>
  <c r="BA7" i="12" s="1"/>
  <c r="AC4" i="12"/>
  <c r="T7" i="12"/>
  <c r="AH7" i="12" s="1"/>
  <c r="AJ13" i="12"/>
  <c r="AC13" i="12"/>
  <c r="T11" i="12"/>
  <c r="Y11" i="12"/>
  <c r="AM11" i="12" s="1"/>
  <c r="BA11" i="12" s="1"/>
  <c r="U11" i="12"/>
  <c r="AI11" i="12" s="1"/>
  <c r="S11" i="12"/>
  <c r="AG11" i="12" s="1"/>
  <c r="Z7" i="12"/>
  <c r="AL12" i="12"/>
  <c r="S8" i="12"/>
  <c r="AG8" i="12" s="1"/>
  <c r="AU8" i="12" s="1"/>
  <c r="W12" i="12"/>
  <c r="AD12" i="12" s="1"/>
  <c r="X13" i="12"/>
  <c r="W14" i="12"/>
  <c r="AK14" i="12" s="1"/>
  <c r="AY14" i="12" s="1"/>
  <c r="W8" i="12"/>
  <c r="AD8" i="12" s="1"/>
  <c r="V11" i="12"/>
  <c r="AJ11" i="12" s="1"/>
  <c r="U12" i="12"/>
  <c r="Y12" i="12"/>
  <c r="T12" i="12"/>
  <c r="S12" i="12"/>
  <c r="U8" i="12"/>
  <c r="AB8" i="12" s="1"/>
  <c r="U13" i="12"/>
  <c r="T13" i="12"/>
  <c r="S13" i="12"/>
  <c r="T10" i="12"/>
  <c r="S10" i="12"/>
  <c r="U10" i="12"/>
  <c r="V8" i="12"/>
  <c r="AJ8" i="12" s="1"/>
  <c r="T15" i="12"/>
  <c r="AH15" i="12" s="1"/>
  <c r="Y15" i="12"/>
  <c r="AM15" i="12" s="1"/>
  <c r="U15" i="12"/>
  <c r="AI15" i="12" s="1"/>
  <c r="S15" i="12"/>
  <c r="AG15" i="12" s="1"/>
  <c r="BE15" i="12" s="1"/>
  <c r="W15" i="12"/>
  <c r="AD15" i="12" s="1"/>
  <c r="W13" i="12"/>
  <c r="V15" i="12"/>
  <c r="AC15" i="12" s="1"/>
  <c r="AE12" i="12"/>
  <c r="AS12" i="12" s="1"/>
  <c r="U14" i="12"/>
  <c r="AI14" i="12" s="1"/>
  <c r="AW14" i="12" s="1"/>
  <c r="S14" i="12"/>
  <c r="AG14" i="12" s="1"/>
  <c r="BE14" i="12" s="1"/>
  <c r="Y14" i="12"/>
  <c r="AF14" i="12" s="1"/>
  <c r="T14" i="12"/>
  <c r="AA14" i="12" s="1"/>
  <c r="X14" i="12"/>
  <c r="AE14" i="12" s="1"/>
  <c r="AK9" i="12"/>
  <c r="V6" i="12"/>
  <c r="AC6" i="12" s="1"/>
  <c r="T6" i="12"/>
  <c r="AH6" i="12" s="1"/>
  <c r="Y6" i="12"/>
  <c r="AM6" i="12" s="1"/>
  <c r="U6" i="12"/>
  <c r="AI6" i="12" s="1"/>
  <c r="S6" i="12"/>
  <c r="Z6" i="12" s="1"/>
  <c r="O5" i="12"/>
  <c r="Q5" i="12" s="1"/>
  <c r="W6" i="12"/>
  <c r="AK6" i="12" s="1"/>
  <c r="AE6" i="12"/>
  <c r="AE8" i="12"/>
  <c r="AL6" i="12"/>
  <c r="AC14" i="12"/>
  <c r="AL8" i="12"/>
  <c r="AZ8" i="12" s="1"/>
  <c r="AD11" i="12"/>
  <c r="AJ17" i="12"/>
  <c r="AC18" i="12"/>
  <c r="AE18" i="12"/>
  <c r="AK11" i="12"/>
  <c r="AY11" i="12" s="1"/>
  <c r="AD9" i="12"/>
  <c r="AR9" i="12" s="1"/>
  <c r="AB17" i="12"/>
  <c r="Z17" i="12"/>
  <c r="AJ14" i="12"/>
  <c r="AX14" i="12" s="1"/>
  <c r="AF21" i="12"/>
  <c r="AT21" i="12" s="1"/>
  <c r="AB21" i="12"/>
  <c r="AP21" i="12" s="1"/>
  <c r="AA21" i="12"/>
  <c r="AO21" i="12" s="1"/>
  <c r="Z21" i="12"/>
  <c r="AL21" i="12"/>
  <c r="AZ21" i="12" s="1"/>
  <c r="AH20" i="12"/>
  <c r="AM20" i="12"/>
  <c r="AG20" i="12"/>
  <c r="AI20" i="12"/>
  <c r="AD21" i="12"/>
  <c r="AR21" i="12" s="1"/>
  <c r="AE21" i="12"/>
  <c r="AS21" i="12" s="1"/>
  <c r="AG18" i="12"/>
  <c r="AM18" i="12"/>
  <c r="AI18" i="12"/>
  <c r="AH18" i="12"/>
  <c r="AB20" i="12"/>
  <c r="AP20" i="12" s="1"/>
  <c r="AA20" i="12"/>
  <c r="AO20" i="12" s="1"/>
  <c r="AF20" i="12"/>
  <c r="AT20" i="12" s="1"/>
  <c r="Z20" i="12"/>
  <c r="AL20" i="12"/>
  <c r="AE15" i="12"/>
  <c r="AD20" i="12"/>
  <c r="AR20" i="12" s="1"/>
  <c r="AH21" i="12"/>
  <c r="AG21" i="12"/>
  <c r="AI21" i="12"/>
  <c r="AM21" i="12"/>
  <c r="AJ18" i="12"/>
  <c r="AF18" i="12"/>
  <c r="AB18" i="12"/>
  <c r="AP18" i="12" s="1"/>
  <c r="AA18" i="12"/>
  <c r="Z18" i="12"/>
  <c r="AG17" i="12"/>
  <c r="AJ21" i="12"/>
  <c r="AL18" i="12"/>
  <c r="AE20" i="12"/>
  <c r="AS20" i="12" s="1"/>
  <c r="AL15" i="12"/>
  <c r="AZ15" i="12" s="1"/>
  <c r="AK20" i="12"/>
  <c r="AQ21" i="12"/>
  <c r="G35" i="8"/>
  <c r="G34" i="8"/>
  <c r="G33" i="8"/>
  <c r="H35" i="8"/>
  <c r="D10" i="10" s="1"/>
  <c r="H34" i="8"/>
  <c r="D9" i="10" s="1"/>
  <c r="H33" i="8"/>
  <c r="D8" i="10" s="1"/>
  <c r="N26" i="12"/>
  <c r="N25" i="12"/>
  <c r="N24" i="12"/>
  <c r="N39" i="12"/>
  <c r="N38" i="12"/>
  <c r="N37" i="12"/>
  <c r="N36" i="12"/>
  <c r="N35" i="12"/>
  <c r="N34" i="12"/>
  <c r="F33" i="8"/>
  <c r="I4" i="9"/>
  <c r="I7" i="9"/>
  <c r="AQ19" i="12"/>
  <c r="AY16" i="12"/>
  <c r="AR19" i="12"/>
  <c r="AW16" i="12"/>
  <c r="AZ19" i="12"/>
  <c r="AS16" i="12"/>
  <c r="AT19" i="12"/>
  <c r="AT16" i="12"/>
  <c r="AQ20" i="12"/>
  <c r="AO19" i="12"/>
  <c r="AV19" i="12"/>
  <c r="H2" i="9"/>
  <c r="H3" i="9"/>
  <c r="N31" i="12" s="1"/>
  <c r="R10" i="10" l="1"/>
  <c r="Q10" i="10"/>
  <c r="P10" i="10"/>
  <c r="O10" i="10"/>
  <c r="Q9" i="10"/>
  <c r="P9" i="10"/>
  <c r="O9" i="10"/>
  <c r="R9" i="10"/>
  <c r="Q8" i="10"/>
  <c r="R8" i="10"/>
  <c r="O8" i="10"/>
  <c r="P8" i="10"/>
  <c r="T31" i="12"/>
  <c r="U31" i="12"/>
  <c r="V31" i="12"/>
  <c r="W31" i="12"/>
  <c r="Y31" i="12"/>
  <c r="X31" i="12"/>
  <c r="S31" i="12"/>
  <c r="AA11" i="12"/>
  <c r="AH17" i="12"/>
  <c r="AF17" i="12"/>
  <c r="AT17" i="12" s="1"/>
  <c r="AE17" i="12"/>
  <c r="AD17" i="12"/>
  <c r="AR17" i="12" s="1"/>
  <c r="AB12" i="12"/>
  <c r="AF12" i="12"/>
  <c r="AT12" i="12" s="1"/>
  <c r="AC12" i="12"/>
  <c r="AQ12" i="12" s="1"/>
  <c r="Z12" i="12"/>
  <c r="AN12" i="12" s="1"/>
  <c r="AA12" i="12"/>
  <c r="AO12" i="12" s="1"/>
  <c r="AG4" i="12"/>
  <c r="AU4" i="12" s="1"/>
  <c r="Z4" i="12"/>
  <c r="BB4" i="12" s="1"/>
  <c r="AB9" i="12"/>
  <c r="AP9" i="12" s="1"/>
  <c r="AB4" i="12"/>
  <c r="AP4" i="12" s="1"/>
  <c r="AL4" i="12"/>
  <c r="AZ4" i="12" s="1"/>
  <c r="AI7" i="12"/>
  <c r="AW7" i="12" s="1"/>
  <c r="AH8" i="12"/>
  <c r="AV8" i="12" s="1"/>
  <c r="AD14" i="12"/>
  <c r="AR14" i="12" s="1"/>
  <c r="AA9" i="12"/>
  <c r="AO9" i="12" s="1"/>
  <c r="AI8" i="12"/>
  <c r="AW8" i="12" s="1"/>
  <c r="AF9" i="12"/>
  <c r="AT9" i="12" s="1"/>
  <c r="Z9" i="12"/>
  <c r="BB9" i="12" s="1"/>
  <c r="AC9" i="12"/>
  <c r="AQ9" i="12" s="1"/>
  <c r="AE11" i="12"/>
  <c r="AS11" i="12" s="1"/>
  <c r="AJ10" i="12"/>
  <c r="AK15" i="12"/>
  <c r="AY15" i="12" s="1"/>
  <c r="AF4" i="12"/>
  <c r="AT4" i="12" s="1"/>
  <c r="AL9" i="12"/>
  <c r="AZ9" i="12" s="1"/>
  <c r="AD10" i="12"/>
  <c r="AR10" i="12" s="1"/>
  <c r="AA4" i="12"/>
  <c r="AO4" i="12" s="1"/>
  <c r="AF11" i="12"/>
  <c r="AT11" i="12" s="1"/>
  <c r="Z11" i="12"/>
  <c r="BB11" i="12" s="1"/>
  <c r="AC11" i="12"/>
  <c r="AM8" i="12"/>
  <c r="BA8" i="12" s="1"/>
  <c r="AH11" i="12"/>
  <c r="AV11" i="12" s="1"/>
  <c r="AM10" i="12"/>
  <c r="BA10" i="12" s="1"/>
  <c r="AJ12" i="12"/>
  <c r="AX12" i="12" s="1"/>
  <c r="AC7" i="12"/>
  <c r="AQ7" i="12" s="1"/>
  <c r="AK4" i="12"/>
  <c r="AY4" i="12" s="1"/>
  <c r="AD4" i="12"/>
  <c r="AR4" i="12" s="1"/>
  <c r="AD7" i="12"/>
  <c r="AR7" i="12" s="1"/>
  <c r="Z14" i="12"/>
  <c r="AJ15" i="12"/>
  <c r="AX15" i="12" s="1"/>
  <c r="AF7" i="12"/>
  <c r="AT7" i="12" s="1"/>
  <c r="AA7" i="12"/>
  <c r="BC7" i="12" s="1"/>
  <c r="Z8" i="12"/>
  <c r="BB8" i="12" s="1"/>
  <c r="AK8" i="12"/>
  <c r="AY8" i="12" s="1"/>
  <c r="AI12" i="12"/>
  <c r="AW12" i="12" s="1"/>
  <c r="AH12" i="12"/>
  <c r="AV12" i="12" s="1"/>
  <c r="AK12" i="12"/>
  <c r="AY12" i="12" s="1"/>
  <c r="AE7" i="12"/>
  <c r="AS7" i="12" s="1"/>
  <c r="AL7" i="12"/>
  <c r="AZ7" i="12" s="1"/>
  <c r="AG12" i="12"/>
  <c r="AU12" i="12" s="1"/>
  <c r="AB11" i="12"/>
  <c r="AP11" i="12" s="1"/>
  <c r="AL14" i="12"/>
  <c r="AZ14" i="12" s="1"/>
  <c r="AF13" i="12"/>
  <c r="AT13" i="12" s="1"/>
  <c r="AM13" i="12"/>
  <c r="BA13" i="12" s="1"/>
  <c r="Z15" i="12"/>
  <c r="AN15" i="12" s="1"/>
  <c r="AC8" i="12"/>
  <c r="AQ8" i="12" s="1"/>
  <c r="AA15" i="12"/>
  <c r="Z10" i="12"/>
  <c r="AN10" i="12" s="1"/>
  <c r="AG10" i="12"/>
  <c r="AU10" i="12" s="1"/>
  <c r="AM14" i="12"/>
  <c r="BA14" i="12" s="1"/>
  <c r="AA10" i="12"/>
  <c r="AO10" i="12" s="1"/>
  <c r="AH10" i="12"/>
  <c r="AV10" i="12" s="1"/>
  <c r="Z13" i="12"/>
  <c r="AN13" i="12" s="1"/>
  <c r="AG13" i="12"/>
  <c r="BE13" i="12" s="1"/>
  <c r="AB14" i="12"/>
  <c r="AP14" i="12" s="1"/>
  <c r="AB13" i="12"/>
  <c r="AP13" i="12" s="1"/>
  <c r="AI13" i="12"/>
  <c r="AW13" i="12" s="1"/>
  <c r="AM12" i="12"/>
  <c r="BA12" i="12" s="1"/>
  <c r="AB15" i="12"/>
  <c r="AP15" i="12" s="1"/>
  <c r="AF15" i="12"/>
  <c r="AT15" i="12" s="1"/>
  <c r="AH14" i="12"/>
  <c r="AV14" i="12" s="1"/>
  <c r="AB10" i="12"/>
  <c r="AP10" i="12" s="1"/>
  <c r="AI10" i="12"/>
  <c r="AW10" i="12" s="1"/>
  <c r="AD13" i="12"/>
  <c r="AR13" i="12" s="1"/>
  <c r="AK13" i="12"/>
  <c r="AY13" i="12" s="1"/>
  <c r="AA13" i="12"/>
  <c r="AO13" i="12" s="1"/>
  <c r="AH13" i="12"/>
  <c r="AV13" i="12" s="1"/>
  <c r="AL13" i="12"/>
  <c r="AZ13" i="12" s="1"/>
  <c r="AE13" i="12"/>
  <c r="AS13" i="12" s="1"/>
  <c r="AJ6" i="12"/>
  <c r="U5" i="12"/>
  <c r="T5" i="12"/>
  <c r="S5" i="12"/>
  <c r="Y5" i="12"/>
  <c r="W5" i="12"/>
  <c r="X5" i="12"/>
  <c r="V5" i="12"/>
  <c r="AG6" i="12"/>
  <c r="AF6" i="12"/>
  <c r="AT6" i="12" s="1"/>
  <c r="AA6" i="12"/>
  <c r="AO6" i="12" s="1"/>
  <c r="AD6" i="12"/>
  <c r="AR6" i="12" s="1"/>
  <c r="AB6" i="12"/>
  <c r="AP6" i="12" s="1"/>
  <c r="Y36" i="12"/>
  <c r="S36" i="12"/>
  <c r="X36" i="12"/>
  <c r="W36" i="12"/>
  <c r="U36" i="12"/>
  <c r="V36" i="12"/>
  <c r="T36" i="12"/>
  <c r="S37" i="12"/>
  <c r="Y37" i="12"/>
  <c r="U37" i="12"/>
  <c r="X37" i="12"/>
  <c r="W37" i="12"/>
  <c r="V37" i="12"/>
  <c r="T37" i="12"/>
  <c r="Y25" i="12"/>
  <c r="T25" i="12"/>
  <c r="X25" i="12"/>
  <c r="W25" i="12"/>
  <c r="V25" i="12"/>
  <c r="U25" i="12"/>
  <c r="S25" i="12"/>
  <c r="S26" i="12"/>
  <c r="Y26" i="12"/>
  <c r="V26" i="12"/>
  <c r="U26" i="12"/>
  <c r="X26" i="12"/>
  <c r="W26" i="12"/>
  <c r="T26" i="12"/>
  <c r="W38" i="12"/>
  <c r="S38" i="12"/>
  <c r="V38" i="12"/>
  <c r="U38" i="12"/>
  <c r="Y38" i="12"/>
  <c r="X38" i="12"/>
  <c r="T38" i="12"/>
  <c r="W39" i="12"/>
  <c r="X39" i="12"/>
  <c r="V39" i="12"/>
  <c r="Y39" i="12"/>
  <c r="S39" i="12"/>
  <c r="U39" i="12"/>
  <c r="T39" i="12"/>
  <c r="U24" i="12"/>
  <c r="X24" i="12"/>
  <c r="V24" i="12"/>
  <c r="T24" i="12"/>
  <c r="W24" i="12"/>
  <c r="S24" i="12"/>
  <c r="Y24" i="12"/>
  <c r="U34" i="12"/>
  <c r="Y34" i="12"/>
  <c r="V34" i="12"/>
  <c r="X34" i="12"/>
  <c r="W34" i="12"/>
  <c r="T34" i="12"/>
  <c r="S34" i="12"/>
  <c r="T35" i="12"/>
  <c r="S35" i="12"/>
  <c r="W35" i="12"/>
  <c r="V35" i="12"/>
  <c r="Y35" i="12"/>
  <c r="X35" i="12"/>
  <c r="U35" i="12"/>
  <c r="E52" i="8"/>
  <c r="N29" i="12"/>
  <c r="N28" i="12"/>
  <c r="N27" i="12"/>
  <c r="N33" i="12"/>
  <c r="N32" i="12"/>
  <c r="N30" i="12"/>
  <c r="F34" i="8"/>
  <c r="D3" i="10" s="1"/>
  <c r="F35" i="8"/>
  <c r="D4" i="10" s="1"/>
  <c r="AU15" i="12"/>
  <c r="BB18" i="12"/>
  <c r="AQ18" i="12"/>
  <c r="AW18" i="12"/>
  <c r="AS18" i="12"/>
  <c r="AT18" i="12"/>
  <c r="AV18" i="12"/>
  <c r="AY18" i="12"/>
  <c r="BA17" i="12"/>
  <c r="AV17" i="12"/>
  <c r="AS17" i="12"/>
  <c r="AN17" i="12"/>
  <c r="AX17" i="12"/>
  <c r="AP17" i="12"/>
  <c r="D7" i="10"/>
  <c r="D6" i="10"/>
  <c r="D5" i="10"/>
  <c r="D2" i="10"/>
  <c r="BA15" i="12"/>
  <c r="BC16" i="12"/>
  <c r="AQ16" i="12"/>
  <c r="AS9" i="12"/>
  <c r="AW21" i="12"/>
  <c r="AU19" i="12"/>
  <c r="AW15" i="12"/>
  <c r="BF19" i="12"/>
  <c r="AR12" i="12"/>
  <c r="AX19" i="12"/>
  <c r="AR16" i="12"/>
  <c r="AQ15" i="12"/>
  <c r="AX13" i="12"/>
  <c r="AY19" i="12"/>
  <c r="BB21" i="12"/>
  <c r="AY9" i="12"/>
  <c r="AX21" i="12"/>
  <c r="AV9" i="12"/>
  <c r="BA21" i="12"/>
  <c r="AS15" i="12"/>
  <c r="AR15" i="12"/>
  <c r="BA16" i="12"/>
  <c r="AV4" i="12"/>
  <c r="AW9" i="12"/>
  <c r="BE8" i="12"/>
  <c r="AS8" i="12"/>
  <c r="AW11" i="12"/>
  <c r="AY7" i="12"/>
  <c r="AN16" i="12"/>
  <c r="AZ12" i="12"/>
  <c r="AR11" i="12"/>
  <c r="AZ16" i="12"/>
  <c r="BA19" i="12"/>
  <c r="AP12" i="12"/>
  <c r="AS19" i="12"/>
  <c r="AR8" i="12"/>
  <c r="BC20" i="12"/>
  <c r="AY20" i="12"/>
  <c r="AP8" i="12"/>
  <c r="AZ20" i="12"/>
  <c r="BD21" i="12"/>
  <c r="AY21" i="12"/>
  <c r="AT14" i="12"/>
  <c r="AW4" i="12"/>
  <c r="AN20" i="12"/>
  <c r="BC21" i="12"/>
  <c r="AS4" i="12"/>
  <c r="AQ14" i="12"/>
  <c r="AV7" i="12"/>
  <c r="AU14" i="12"/>
  <c r="AS14" i="12"/>
  <c r="AO14" i="12"/>
  <c r="BA20" i="12"/>
  <c r="AT10" i="12"/>
  <c r="AY6" i="12"/>
  <c r="BD20" i="12"/>
  <c r="AQ6" i="12"/>
  <c r="AZ6" i="12"/>
  <c r="AS6" i="12"/>
  <c r="BA6" i="12"/>
  <c r="AS10" i="12"/>
  <c r="AZ10" i="12"/>
  <c r="AW20" i="12"/>
  <c r="AW6" i="12"/>
  <c r="AV20" i="12"/>
  <c r="AU20" i="12"/>
  <c r="BE20" i="12"/>
  <c r="AX16" i="12"/>
  <c r="AN19" i="12"/>
  <c r="BB19" i="12"/>
  <c r="AP19" i="12"/>
  <c r="BC19" i="12"/>
  <c r="AQ13" i="12"/>
  <c r="AV16" i="12"/>
  <c r="BF16" i="12"/>
  <c r="AV15" i="12"/>
  <c r="AO8" i="12"/>
  <c r="BE11" i="12"/>
  <c r="AU11" i="12"/>
  <c r="AX9" i="12"/>
  <c r="BE16" i="12"/>
  <c r="AU16" i="12"/>
  <c r="AU9" i="12"/>
  <c r="BE9" i="12"/>
  <c r="AX11" i="12"/>
  <c r="BG11" i="12"/>
  <c r="AU21" i="12"/>
  <c r="BE21" i="12"/>
  <c r="AX8" i="12"/>
  <c r="AQ4" i="12"/>
  <c r="AN18" i="12"/>
  <c r="AV6" i="12"/>
  <c r="AC31" i="12" l="1"/>
  <c r="AJ31" i="12"/>
  <c r="AI31" i="12"/>
  <c r="AB31" i="12"/>
  <c r="Q3" i="10"/>
  <c r="O3" i="10"/>
  <c r="R3" i="10"/>
  <c r="P3" i="10"/>
  <c r="AD31" i="12"/>
  <c r="AK31" i="12"/>
  <c r="R2" i="10"/>
  <c r="Q2" i="10"/>
  <c r="P2" i="10"/>
  <c r="O2" i="10"/>
  <c r="R4" i="10"/>
  <c r="Q4" i="10"/>
  <c r="P4" i="10"/>
  <c r="O4" i="10"/>
  <c r="R5" i="10"/>
  <c r="Q5" i="10"/>
  <c r="P5" i="10"/>
  <c r="O5" i="10"/>
  <c r="N5" i="10"/>
  <c r="M5" i="10"/>
  <c r="L5" i="10"/>
  <c r="R6" i="10"/>
  <c r="P6" i="10"/>
  <c r="O6" i="10"/>
  <c r="Q6" i="10"/>
  <c r="N6" i="10"/>
  <c r="M6" i="10"/>
  <c r="L6" i="10"/>
  <c r="R7" i="10"/>
  <c r="Q7" i="10"/>
  <c r="O7" i="10"/>
  <c r="P7" i="10"/>
  <c r="L7" i="10"/>
  <c r="N7" i="10"/>
  <c r="M7" i="10"/>
  <c r="Z31" i="12"/>
  <c r="AG31" i="12"/>
  <c r="AE31" i="12"/>
  <c r="AL31" i="12"/>
  <c r="AH31" i="12"/>
  <c r="AA31" i="12"/>
  <c r="AF31" i="12"/>
  <c r="AM31" i="12"/>
  <c r="BB12" i="12"/>
  <c r="BC9" i="12"/>
  <c r="AN9" i="12"/>
  <c r="AN4" i="12"/>
  <c r="BC4" i="12"/>
  <c r="BD7" i="12"/>
  <c r="BG14" i="12"/>
  <c r="BC15" i="12"/>
  <c r="AO15" i="12"/>
  <c r="BG8" i="12"/>
  <c r="AO7" i="12"/>
  <c r="BF12" i="12"/>
  <c r="BE10" i="12"/>
  <c r="BC11" i="12"/>
  <c r="AU13" i="12"/>
  <c r="BC13" i="12"/>
  <c r="AC5" i="12"/>
  <c r="AQ5" i="12" s="1"/>
  <c r="AJ5" i="12"/>
  <c r="AX5" i="12" s="1"/>
  <c r="AD5" i="12"/>
  <c r="AR5" i="12" s="1"/>
  <c r="AK5" i="12"/>
  <c r="AY5" i="12" s="1"/>
  <c r="AF5" i="12"/>
  <c r="AT5" i="12" s="1"/>
  <c r="AM5" i="12"/>
  <c r="BA5" i="12" s="1"/>
  <c r="AG5" i="12"/>
  <c r="BE5" i="12" s="1"/>
  <c r="Z5" i="12"/>
  <c r="AN5" i="12" s="1"/>
  <c r="AE5" i="12"/>
  <c r="AS5" i="12" s="1"/>
  <c r="AL5" i="12"/>
  <c r="AZ5" i="12" s="1"/>
  <c r="AH5" i="12"/>
  <c r="AV5" i="12" s="1"/>
  <c r="AA5" i="12"/>
  <c r="AO5" i="12" s="1"/>
  <c r="AB5" i="12"/>
  <c r="AP5" i="12" s="1"/>
  <c r="AI5" i="12"/>
  <c r="AW5" i="12" s="1"/>
  <c r="AJ35" i="12"/>
  <c r="AC35" i="12"/>
  <c r="AK39" i="12"/>
  <c r="AY39" i="12" s="1"/>
  <c r="AD39" i="12"/>
  <c r="AR39" i="12" s="1"/>
  <c r="AK35" i="12"/>
  <c r="AY35" i="12" s="1"/>
  <c r="AD35" i="12"/>
  <c r="AR35" i="12" s="1"/>
  <c r="AA38" i="12"/>
  <c r="AH38" i="12"/>
  <c r="AG35" i="12"/>
  <c r="Z35" i="12"/>
  <c r="AI37" i="12"/>
  <c r="AW37" i="12" s="1"/>
  <c r="AB37" i="12"/>
  <c r="AP37" i="12" s="1"/>
  <c r="X27" i="12"/>
  <c r="W27" i="12"/>
  <c r="V27" i="12"/>
  <c r="T27" i="12"/>
  <c r="S27" i="12"/>
  <c r="Y27" i="12"/>
  <c r="U27" i="12"/>
  <c r="AM37" i="12"/>
  <c r="BA37" i="12" s="1"/>
  <c r="AF37" i="12"/>
  <c r="AT37" i="12" s="1"/>
  <c r="Y28" i="12"/>
  <c r="X28" i="12"/>
  <c r="S28" i="12"/>
  <c r="W28" i="12"/>
  <c r="V28" i="12"/>
  <c r="U28" i="12"/>
  <c r="T28" i="12"/>
  <c r="AB38" i="12"/>
  <c r="AP38" i="12" s="1"/>
  <c r="AI38" i="12"/>
  <c r="AW38" i="12" s="1"/>
  <c r="V29" i="12"/>
  <c r="Y29" i="12"/>
  <c r="X29" i="12"/>
  <c r="U29" i="12"/>
  <c r="W29" i="12"/>
  <c r="T29" i="12"/>
  <c r="S29" i="12"/>
  <c r="AA36" i="12"/>
  <c r="AH36" i="12"/>
  <c r="AD25" i="12"/>
  <c r="AR25" i="12" s="1"/>
  <c r="AK25" i="12"/>
  <c r="AY25" i="12" s="1"/>
  <c r="AI39" i="12"/>
  <c r="AW39" i="12" s="1"/>
  <c r="AB39" i="12"/>
  <c r="AP39" i="12" s="1"/>
  <c r="AL25" i="12"/>
  <c r="AZ25" i="12" s="1"/>
  <c r="AE25" i="12"/>
  <c r="AS25" i="12" s="1"/>
  <c r="AJ34" i="12"/>
  <c r="AC34" i="12"/>
  <c r="AH26" i="12"/>
  <c r="AA26" i="12"/>
  <c r="AD36" i="12"/>
  <c r="AR36" i="12" s="1"/>
  <c r="AK36" i="12"/>
  <c r="AY36" i="12" s="1"/>
  <c r="AI35" i="12"/>
  <c r="AW35" i="12" s="1"/>
  <c r="AB35" i="12"/>
  <c r="AP35" i="12" s="1"/>
  <c r="AM39" i="12"/>
  <c r="BA39" i="12" s="1"/>
  <c r="AF39" i="12"/>
  <c r="AT39" i="12" s="1"/>
  <c r="AK26" i="12"/>
  <c r="AY26" i="12" s="1"/>
  <c r="AD26" i="12"/>
  <c r="AR26" i="12" s="1"/>
  <c r="AM25" i="12"/>
  <c r="BA25" i="12" s="1"/>
  <c r="AF25" i="12"/>
  <c r="AT25" i="12" s="1"/>
  <c r="AL36" i="12"/>
  <c r="AZ36" i="12" s="1"/>
  <c r="AE36" i="12"/>
  <c r="AS36" i="12" s="1"/>
  <c r="U30" i="12"/>
  <c r="W30" i="12"/>
  <c r="T30" i="12"/>
  <c r="S30" i="12"/>
  <c r="V30" i="12"/>
  <c r="Y30" i="12"/>
  <c r="X30" i="12"/>
  <c r="AD37" i="12"/>
  <c r="AR37" i="12" s="1"/>
  <c r="AK37" i="12"/>
  <c r="AY37" i="12" s="1"/>
  <c r="V32" i="12"/>
  <c r="X32" i="12"/>
  <c r="W32" i="12"/>
  <c r="T32" i="12"/>
  <c r="U32" i="12"/>
  <c r="S32" i="12"/>
  <c r="Y32" i="12"/>
  <c r="AL37" i="12"/>
  <c r="AZ37" i="12" s="1"/>
  <c r="AE37" i="12"/>
  <c r="AS37" i="12" s="1"/>
  <c r="V33" i="12"/>
  <c r="W33" i="12"/>
  <c r="U33" i="12"/>
  <c r="S33" i="12"/>
  <c r="X33" i="12"/>
  <c r="T33" i="12"/>
  <c r="Y33" i="12"/>
  <c r="AL38" i="12"/>
  <c r="AZ38" i="12" s="1"/>
  <c r="AE38" i="12"/>
  <c r="AS38" i="12" s="1"/>
  <c r="AH35" i="12"/>
  <c r="AA35" i="12"/>
  <c r="AG25" i="12"/>
  <c r="Z25" i="12"/>
  <c r="AE24" i="12"/>
  <c r="AS24" i="12" s="1"/>
  <c r="AL24" i="12"/>
  <c r="AZ24" i="12" s="1"/>
  <c r="AG37" i="12"/>
  <c r="Z37" i="12"/>
  <c r="AH34" i="12"/>
  <c r="AA34" i="12"/>
  <c r="AC25" i="12"/>
  <c r="AJ25" i="12"/>
  <c r="AH39" i="12"/>
  <c r="AA39" i="12"/>
  <c r="AG38" i="12"/>
  <c r="Z38" i="12"/>
  <c r="AE34" i="12"/>
  <c r="AS34" i="12" s="1"/>
  <c r="AL34" i="12"/>
  <c r="AZ34" i="12" s="1"/>
  <c r="AD38" i="12"/>
  <c r="AR38" i="12" s="1"/>
  <c r="AK38" i="12"/>
  <c r="AY38" i="12" s="1"/>
  <c r="AB36" i="12"/>
  <c r="AP36" i="12" s="1"/>
  <c r="AI36" i="12"/>
  <c r="AW36" i="12" s="1"/>
  <c r="AG39" i="12"/>
  <c r="Z39" i="12"/>
  <c r="AA25" i="12"/>
  <c r="AH25" i="12"/>
  <c r="AF34" i="12"/>
  <c r="AT34" i="12" s="1"/>
  <c r="AM34" i="12"/>
  <c r="BA34" i="12" s="1"/>
  <c r="AL35" i="12"/>
  <c r="AZ35" i="12" s="1"/>
  <c r="AE35" i="12"/>
  <c r="AS35" i="12" s="1"/>
  <c r="AB34" i="12"/>
  <c r="AP34" i="12" s="1"/>
  <c r="AI34" i="12"/>
  <c r="AW34" i="12" s="1"/>
  <c r="AC39" i="12"/>
  <c r="AJ39" i="12"/>
  <c r="AE26" i="12"/>
  <c r="AS26" i="12" s="1"/>
  <c r="AL26" i="12"/>
  <c r="AZ26" i="12" s="1"/>
  <c r="AH37" i="12"/>
  <c r="AA37" i="12"/>
  <c r="Z36" i="12"/>
  <c r="AG36" i="12"/>
  <c r="AG24" i="12"/>
  <c r="Z24" i="12"/>
  <c r="AJ26" i="12"/>
  <c r="AC26" i="12"/>
  <c r="AK24" i="12"/>
  <c r="AY24" i="12" s="1"/>
  <c r="AD24" i="12"/>
  <c r="AR24" i="12" s="1"/>
  <c r="AF26" i="12"/>
  <c r="AT26" i="12" s="1"/>
  <c r="AM26" i="12"/>
  <c r="BA26" i="12" s="1"/>
  <c r="AH24" i="12"/>
  <c r="AA24" i="12"/>
  <c r="AG26" i="12"/>
  <c r="Z26" i="12"/>
  <c r="AJ24" i="12"/>
  <c r="AC24" i="12"/>
  <c r="AM38" i="12"/>
  <c r="BA38" i="12" s="1"/>
  <c r="AF38" i="12"/>
  <c r="AT38" i="12" s="1"/>
  <c r="AG34" i="12"/>
  <c r="Z34" i="12"/>
  <c r="AB25" i="12"/>
  <c r="AP25" i="12" s="1"/>
  <c r="AI25" i="12"/>
  <c r="AW25" i="12" s="1"/>
  <c r="AI24" i="12"/>
  <c r="AW24" i="12" s="1"/>
  <c r="AB24" i="12"/>
  <c r="AP24" i="12" s="1"/>
  <c r="AJ38" i="12"/>
  <c r="AC38" i="12"/>
  <c r="AK34" i="12"/>
  <c r="AY34" i="12" s="1"/>
  <c r="AD34" i="12"/>
  <c r="AR34" i="12" s="1"/>
  <c r="AC36" i="12"/>
  <c r="AJ36" i="12"/>
  <c r="AF35" i="12"/>
  <c r="AT35" i="12" s="1"/>
  <c r="AM35" i="12"/>
  <c r="BA35" i="12" s="1"/>
  <c r="AF24" i="12"/>
  <c r="AT24" i="12" s="1"/>
  <c r="AM24" i="12"/>
  <c r="BA24" i="12" s="1"/>
  <c r="AE39" i="12"/>
  <c r="AS39" i="12" s="1"/>
  <c r="AL39" i="12"/>
  <c r="AZ39" i="12" s="1"/>
  <c r="AI26" i="12"/>
  <c r="AW26" i="12" s="1"/>
  <c r="AB26" i="12"/>
  <c r="AP26" i="12" s="1"/>
  <c r="AJ37" i="12"/>
  <c r="AC37" i="12"/>
  <c r="AM36" i="12"/>
  <c r="BA36" i="12" s="1"/>
  <c r="AF36" i="12"/>
  <c r="AT36" i="12" s="1"/>
  <c r="BG4" i="12"/>
  <c r="BF18" i="12"/>
  <c r="BB15" i="12"/>
  <c r="AU18" i="12"/>
  <c r="BC18" i="12"/>
  <c r="AX18" i="12"/>
  <c r="BA18" i="12"/>
  <c r="AZ18" i="12"/>
  <c r="AO17" i="12"/>
  <c r="AY17" i="12"/>
  <c r="AR18" i="12"/>
  <c r="BG15" i="12"/>
  <c r="BB17" i="12"/>
  <c r="AZ17" i="12"/>
  <c r="BE17" i="12"/>
  <c r="AW17" i="12"/>
  <c r="AQ17" i="12"/>
  <c r="BF13" i="12"/>
  <c r="BF21" i="12"/>
  <c r="AW19" i="12"/>
  <c r="AO16" i="12"/>
  <c r="BE19" i="12"/>
  <c r="BD13" i="12"/>
  <c r="BD9" i="12"/>
  <c r="AN21" i="12"/>
  <c r="BG7" i="12"/>
  <c r="AN8" i="12"/>
  <c r="BE12" i="12"/>
  <c r="BF15" i="12"/>
  <c r="BC8" i="12"/>
  <c r="BF8" i="12"/>
  <c r="BF11" i="12"/>
  <c r="BD16" i="12"/>
  <c r="BG19" i="12"/>
  <c r="BD15" i="12"/>
  <c r="BG9" i="12"/>
  <c r="BG16" i="12"/>
  <c r="BG12" i="12"/>
  <c r="BF9" i="12"/>
  <c r="BD19" i="12"/>
  <c r="AV21" i="12"/>
  <c r="BD11" i="12"/>
  <c r="BC12" i="12"/>
  <c r="BG21" i="12"/>
  <c r="BD8" i="12"/>
  <c r="BB16" i="12"/>
  <c r="BD12" i="12"/>
  <c r="AN11" i="12"/>
  <c r="AQ11" i="12"/>
  <c r="AX4" i="12"/>
  <c r="BB20" i="12"/>
  <c r="BE4" i="12"/>
  <c r="AN14" i="12"/>
  <c r="BB14" i="12"/>
  <c r="BD4" i="12"/>
  <c r="BB13" i="12"/>
  <c r="AO11" i="12"/>
  <c r="BF4" i="12"/>
  <c r="AX7" i="12"/>
  <c r="BF14" i="12"/>
  <c r="BB10" i="12"/>
  <c r="BF20" i="12"/>
  <c r="BF7" i="12"/>
  <c r="BB7" i="12"/>
  <c r="AN7" i="12"/>
  <c r="BG13" i="12"/>
  <c r="AU7" i="12"/>
  <c r="BE7" i="12"/>
  <c r="BG20" i="12"/>
  <c r="BD14" i="12"/>
  <c r="BC6" i="12"/>
  <c r="BC14" i="12"/>
  <c r="BG6" i="12"/>
  <c r="AX6" i="12"/>
  <c r="AX20" i="12"/>
  <c r="AN6" i="12"/>
  <c r="BB6" i="12"/>
  <c r="BC10" i="12"/>
  <c r="BD6" i="12"/>
  <c r="BF10" i="12"/>
  <c r="BE6" i="12"/>
  <c r="AU6" i="12"/>
  <c r="BG10" i="12"/>
  <c r="AX10" i="12"/>
  <c r="AQ10" i="12"/>
  <c r="BD10" i="12"/>
  <c r="BF6" i="12"/>
  <c r="BB5" i="12" l="1"/>
  <c r="BD5" i="12"/>
  <c r="AU5" i="12"/>
  <c r="BG5" i="12"/>
  <c r="BC5" i="12"/>
  <c r="BF5" i="12"/>
  <c r="AM32" i="12"/>
  <c r="BA32" i="12" s="1"/>
  <c r="AF32" i="12"/>
  <c r="AT32" i="12" s="1"/>
  <c r="AG30" i="12"/>
  <c r="Z30" i="12"/>
  <c r="AG27" i="12"/>
  <c r="Z27" i="12"/>
  <c r="Z32" i="12"/>
  <c r="AG32" i="12"/>
  <c r="AH30" i="12"/>
  <c r="AA30" i="12"/>
  <c r="AA28" i="12"/>
  <c r="AH28" i="12"/>
  <c r="AH27" i="12"/>
  <c r="AA27" i="12"/>
  <c r="AL33" i="12"/>
  <c r="AZ33" i="12" s="1"/>
  <c r="AE33" i="12"/>
  <c r="AS33" i="12" s="1"/>
  <c r="AG28" i="12"/>
  <c r="Z28" i="12"/>
  <c r="AJ32" i="12"/>
  <c r="AC32" i="12"/>
  <c r="AK29" i="12"/>
  <c r="AY29" i="12" s="1"/>
  <c r="AD29" i="12"/>
  <c r="AR29" i="12" s="1"/>
  <c r="AI33" i="12"/>
  <c r="AW33" i="12" s="1"/>
  <c r="AB33" i="12"/>
  <c r="AP33" i="12" s="1"/>
  <c r="AI29" i="12"/>
  <c r="AW29" i="12" s="1"/>
  <c r="AB29" i="12"/>
  <c r="AP29" i="12" s="1"/>
  <c r="AL29" i="12"/>
  <c r="AZ29" i="12" s="1"/>
  <c r="AE29" i="12"/>
  <c r="AS29" i="12" s="1"/>
  <c r="AJ33" i="12"/>
  <c r="AC33" i="12"/>
  <c r="AF29" i="12"/>
  <c r="AT29" i="12" s="1"/>
  <c r="AM29" i="12"/>
  <c r="BA29" i="12" s="1"/>
  <c r="AF30" i="12"/>
  <c r="AT30" i="12" s="1"/>
  <c r="AM30" i="12"/>
  <c r="BA30" i="12" s="1"/>
  <c r="AJ29" i="12"/>
  <c r="AC29" i="12"/>
  <c r="AC30" i="12"/>
  <c r="AJ30" i="12"/>
  <c r="AI32" i="12"/>
  <c r="AW32" i="12" s="1"/>
  <c r="AB32" i="12"/>
  <c r="AP32" i="12" s="1"/>
  <c r="AI28" i="12"/>
  <c r="AW28" i="12" s="1"/>
  <c r="AB28" i="12"/>
  <c r="AP28" i="12" s="1"/>
  <c r="AF33" i="12"/>
  <c r="AT33" i="12" s="1"/>
  <c r="AM33" i="12"/>
  <c r="BA33" i="12" s="1"/>
  <c r="AH32" i="12"/>
  <c r="AA32" i="12"/>
  <c r="AB30" i="12"/>
  <c r="AP30" i="12" s="1"/>
  <c r="AI30" i="12"/>
  <c r="AW30" i="12" s="1"/>
  <c r="AC28" i="12"/>
  <c r="AJ28" i="12"/>
  <c r="AK27" i="12"/>
  <c r="AY27" i="12" s="1"/>
  <c r="AD27" i="12"/>
  <c r="AR27" i="12" s="1"/>
  <c r="AL32" i="12"/>
  <c r="AZ32" i="12" s="1"/>
  <c r="AE32" i="12"/>
  <c r="AS32" i="12" s="1"/>
  <c r="AH29" i="12"/>
  <c r="AA29" i="12"/>
  <c r="AG33" i="12"/>
  <c r="Z33" i="12"/>
  <c r="AE28" i="12"/>
  <c r="AS28" i="12" s="1"/>
  <c r="AL28" i="12"/>
  <c r="AZ28" i="12" s="1"/>
  <c r="AM28" i="12"/>
  <c r="BA28" i="12" s="1"/>
  <c r="AF28" i="12"/>
  <c r="AT28" i="12" s="1"/>
  <c r="AK33" i="12"/>
  <c r="AY33" i="12" s="1"/>
  <c r="AD33" i="12"/>
  <c r="AR33" i="12" s="1"/>
  <c r="AL30" i="12"/>
  <c r="AZ30" i="12" s="1"/>
  <c r="AE30" i="12"/>
  <c r="AS30" i="12" s="1"/>
  <c r="AI27" i="12"/>
  <c r="AW27" i="12" s="1"/>
  <c r="AB27" i="12"/>
  <c r="AP27" i="12" s="1"/>
  <c r="AM27" i="12"/>
  <c r="BA27" i="12" s="1"/>
  <c r="AF27" i="12"/>
  <c r="AT27" i="12" s="1"/>
  <c r="AK30" i="12"/>
  <c r="AY30" i="12" s="1"/>
  <c r="AD30" i="12"/>
  <c r="AR30" i="12" s="1"/>
  <c r="AJ27" i="12"/>
  <c r="AC27" i="12"/>
  <c r="AA33" i="12"/>
  <c r="AH33" i="12"/>
  <c r="AD32" i="12"/>
  <c r="AR32" i="12" s="1"/>
  <c r="AK32" i="12"/>
  <c r="AY32" i="12" s="1"/>
  <c r="AG29" i="12"/>
  <c r="Z29" i="12"/>
  <c r="AD28" i="12"/>
  <c r="AR28" i="12" s="1"/>
  <c r="AK28" i="12"/>
  <c r="AY28" i="12" s="1"/>
  <c r="AL27" i="12"/>
  <c r="AZ27" i="12" s="1"/>
  <c r="AE27" i="12"/>
  <c r="AS27" i="12" s="1"/>
  <c r="AX39" i="12"/>
  <c r="BG39" i="12"/>
  <c r="BD39" i="12"/>
  <c r="AQ39" i="12"/>
  <c r="BF37" i="12"/>
  <c r="AV37" i="12"/>
  <c r="BE35" i="12"/>
  <c r="AU35" i="12"/>
  <c r="AU37" i="12"/>
  <c r="BE37" i="12"/>
  <c r="AO39" i="12"/>
  <c r="BC39" i="12"/>
  <c r="AO25" i="12"/>
  <c r="BC25" i="12"/>
  <c r="BF39" i="12"/>
  <c r="AV39" i="12"/>
  <c r="BF25" i="12"/>
  <c r="AV25" i="12"/>
  <c r="AO38" i="12"/>
  <c r="BC38" i="12"/>
  <c r="AU36" i="12"/>
  <c r="BE36" i="12"/>
  <c r="BE26" i="12"/>
  <c r="AU26" i="12"/>
  <c r="AN24" i="12"/>
  <c r="BB24" i="12"/>
  <c r="AX37" i="12"/>
  <c r="BG37" i="12"/>
  <c r="AN25" i="12"/>
  <c r="BB25" i="12"/>
  <c r="BD35" i="12"/>
  <c r="AQ35" i="12"/>
  <c r="BB35" i="12"/>
  <c r="AN35" i="12"/>
  <c r="BF36" i="12"/>
  <c r="AV36" i="12"/>
  <c r="BC26" i="12"/>
  <c r="AO26" i="12"/>
  <c r="AQ26" i="12"/>
  <c r="BD26" i="12"/>
  <c r="BB37" i="12"/>
  <c r="AN37" i="12"/>
  <c r="BG36" i="12"/>
  <c r="AX36" i="12"/>
  <c r="BC36" i="12"/>
  <c r="AO36" i="12"/>
  <c r="BF26" i="12"/>
  <c r="AV26" i="12"/>
  <c r="AX26" i="12"/>
  <c r="BG26" i="12"/>
  <c r="BB26" i="12"/>
  <c r="AN26" i="12"/>
  <c r="AU38" i="12"/>
  <c r="BE38" i="12"/>
  <c r="BB36" i="12"/>
  <c r="AN36" i="12"/>
  <c r="AU24" i="12"/>
  <c r="BE24" i="12"/>
  <c r="AQ37" i="12"/>
  <c r="BD37" i="12"/>
  <c r="AU25" i="12"/>
  <c r="BE25" i="12"/>
  <c r="BG35" i="12"/>
  <c r="AX35" i="12"/>
  <c r="BF34" i="12"/>
  <c r="AV34" i="12"/>
  <c r="BE39" i="12"/>
  <c r="AU39" i="12"/>
  <c r="AO37" i="12"/>
  <c r="BC37" i="12"/>
  <c r="AV38" i="12"/>
  <c r="BF38" i="12"/>
  <c r="BB38" i="12"/>
  <c r="AN38" i="12"/>
  <c r="AQ24" i="12"/>
  <c r="BD24" i="12"/>
  <c r="BD25" i="12"/>
  <c r="AQ25" i="12"/>
  <c r="AU34" i="12"/>
  <c r="BE34" i="12"/>
  <c r="AO35" i="12"/>
  <c r="BC35" i="12"/>
  <c r="BD38" i="12"/>
  <c r="AQ38" i="12"/>
  <c r="BD36" i="12"/>
  <c r="AQ36" i="12"/>
  <c r="BG25" i="12"/>
  <c r="AX25" i="12"/>
  <c r="BB34" i="12"/>
  <c r="AN34" i="12"/>
  <c r="BF35" i="12"/>
  <c r="AV35" i="12"/>
  <c r="AQ34" i="12"/>
  <c r="BD34" i="12"/>
  <c r="AO24" i="12"/>
  <c r="BC24" i="12"/>
  <c r="BG38" i="12"/>
  <c r="AX38" i="12"/>
  <c r="AV24" i="12"/>
  <c r="BF24" i="12"/>
  <c r="BG24" i="12"/>
  <c r="AX24" i="12"/>
  <c r="BG34" i="12"/>
  <c r="AX34" i="12"/>
  <c r="AO34" i="12"/>
  <c r="BC34" i="12"/>
  <c r="BB39" i="12"/>
  <c r="AN39" i="12"/>
  <c r="BE18" i="12"/>
  <c r="AO18" i="12"/>
  <c r="BG18" i="12"/>
  <c r="BC17" i="12"/>
  <c r="BD18" i="12"/>
  <c r="BF17" i="12"/>
  <c r="AU17" i="12"/>
  <c r="BG17" i="12"/>
  <c r="BD17" i="12"/>
  <c r="O23" i="6"/>
  <c r="O27" i="6" s="1"/>
  <c r="B22" i="6" s="1"/>
  <c r="F17" i="6"/>
  <c r="E17" i="6"/>
  <c r="D17" i="6"/>
  <c r="C17" i="6"/>
  <c r="F16" i="6"/>
  <c r="E16" i="6"/>
  <c r="D16" i="6"/>
  <c r="C16" i="6"/>
  <c r="F12" i="6"/>
  <c r="E12" i="6"/>
  <c r="D12" i="6"/>
  <c r="C12" i="6"/>
  <c r="F11" i="6"/>
  <c r="E11" i="6"/>
  <c r="D11" i="6"/>
  <c r="C11" i="6"/>
  <c r="F7" i="6"/>
  <c r="E7" i="6"/>
  <c r="D7" i="6"/>
  <c r="C7" i="6"/>
  <c r="F6" i="6"/>
  <c r="E6" i="6"/>
  <c r="D6" i="6"/>
  <c r="I6" i="6" s="1"/>
  <c r="E10" i="10" l="1"/>
  <c r="L10" i="10" s="1"/>
  <c r="E4" i="10"/>
  <c r="L4" i="10" s="1"/>
  <c r="AQ32" i="12"/>
  <c r="BD32" i="12"/>
  <c r="BE27" i="12"/>
  <c r="AU27" i="12"/>
  <c r="BE28" i="12"/>
  <c r="AU28" i="12"/>
  <c r="AX32" i="12"/>
  <c r="BG32" i="12"/>
  <c r="AN27" i="12"/>
  <c r="BB27" i="12"/>
  <c r="AV30" i="12"/>
  <c r="BF30" i="12"/>
  <c r="AO30" i="12"/>
  <c r="BC30" i="12"/>
  <c r="BF33" i="12"/>
  <c r="AV33" i="12"/>
  <c r="AN29" i="12"/>
  <c r="BB29" i="12"/>
  <c r="BC33" i="12"/>
  <c r="AO33" i="12"/>
  <c r="AN28" i="12"/>
  <c r="BB28" i="12"/>
  <c r="AQ30" i="12"/>
  <c r="BD30" i="12"/>
  <c r="AO27" i="12"/>
  <c r="BC27" i="12"/>
  <c r="AX29" i="12"/>
  <c r="BG29" i="12"/>
  <c r="AQ27" i="12"/>
  <c r="BD27" i="12"/>
  <c r="AU32" i="12"/>
  <c r="BE32" i="12"/>
  <c r="AQ28" i="12"/>
  <c r="BD28" i="12"/>
  <c r="AO29" i="12"/>
  <c r="BC29" i="12"/>
  <c r="AQ29" i="12"/>
  <c r="BD29" i="12"/>
  <c r="AX27" i="12"/>
  <c r="BG27" i="12"/>
  <c r="AN32" i="12"/>
  <c r="BB32" i="12"/>
  <c r="BG28" i="12"/>
  <c r="AX28" i="12"/>
  <c r="BE33" i="12"/>
  <c r="AU33" i="12"/>
  <c r="AV29" i="12"/>
  <c r="BF29" i="12"/>
  <c r="BG30" i="12"/>
  <c r="AX30" i="12"/>
  <c r="AV27" i="12"/>
  <c r="BF27" i="12"/>
  <c r="AU29" i="12"/>
  <c r="BE29" i="12"/>
  <c r="BC28" i="12"/>
  <c r="AO28" i="12"/>
  <c r="AU30" i="12"/>
  <c r="BE30" i="12"/>
  <c r="BF32" i="12"/>
  <c r="AV32" i="12"/>
  <c r="AN33" i="12"/>
  <c r="BB33" i="12"/>
  <c r="AQ33" i="12"/>
  <c r="BD33" i="12"/>
  <c r="AX33" i="12"/>
  <c r="BG33" i="12"/>
  <c r="AV28" i="12"/>
  <c r="BF28" i="12"/>
  <c r="BB30" i="12"/>
  <c r="AN30" i="12"/>
  <c r="BC32" i="12"/>
  <c r="AO32" i="12"/>
  <c r="I12" i="6"/>
  <c r="G7" i="6"/>
  <c r="F30" i="8" s="1"/>
  <c r="I17" i="6"/>
  <c r="I16" i="6"/>
  <c r="I11" i="6"/>
  <c r="G6" i="6"/>
  <c r="H11" i="6"/>
  <c r="G11" i="6"/>
  <c r="G16" i="6"/>
  <c r="H16" i="6"/>
  <c r="H7" i="6"/>
  <c r="F31" i="8" s="1"/>
  <c r="I7" i="6"/>
  <c r="G12" i="6"/>
  <c r="F27" i="8" s="1"/>
  <c r="H12" i="6"/>
  <c r="F28" i="8" s="1"/>
  <c r="G17" i="6"/>
  <c r="F24" i="8" s="1"/>
  <c r="H17" i="6"/>
  <c r="F25" i="8" s="1"/>
  <c r="H6" i="6"/>
  <c r="G10" i="10" l="1"/>
  <c r="N10" i="10" s="1"/>
  <c r="G4" i="10"/>
  <c r="N4" i="10" s="1"/>
  <c r="H27" i="8"/>
  <c r="F29" i="8"/>
  <c r="E2" i="10"/>
  <c r="L2" i="10" s="1"/>
  <c r="E8" i="10"/>
  <c r="L8" i="10" s="1"/>
  <c r="E3" i="10"/>
  <c r="L3" i="10" s="1"/>
  <c r="E9" i="10"/>
  <c r="L9" i="10" s="1"/>
  <c r="H24" i="8"/>
  <c r="F26" i="8"/>
  <c r="H30" i="8"/>
  <c r="F32" i="8"/>
  <c r="G2" i="10"/>
  <c r="N2" i="10" s="1"/>
  <c r="G8" i="10"/>
  <c r="N8" i="10" s="1"/>
  <c r="F8" i="10"/>
  <c r="M8" i="10" s="1"/>
  <c r="F2" i="10"/>
  <c r="M2" i="10" s="1"/>
  <c r="F10" i="10"/>
  <c r="M10" i="10" s="1"/>
  <c r="F4" i="10"/>
  <c r="M4" i="10" s="1"/>
  <c r="G9" i="10"/>
  <c r="N9" i="10" s="1"/>
  <c r="G3" i="10"/>
  <c r="N3" i="10" s="1"/>
  <c r="F3" i="10"/>
  <c r="M3" i="10" s="1"/>
  <c r="F9" i="10"/>
  <c r="M9" i="10" s="1"/>
  <c r="J4" i="2"/>
  <c r="J5" i="2"/>
  <c r="J3" i="2"/>
  <c r="G3" i="2" l="1"/>
  <c r="J7" i="2" l="1"/>
  <c r="J8" i="2"/>
  <c r="J6" i="2"/>
  <c r="G12" i="2"/>
  <c r="G13" i="2"/>
  <c r="F14" i="1"/>
  <c r="F12" i="1"/>
  <c r="F5" i="1"/>
  <c r="F3" i="1"/>
  <c r="H6" i="1"/>
  <c r="H7" i="1"/>
  <c r="F7" i="1" s="1"/>
  <c r="G11" i="1"/>
  <c r="G14" i="1"/>
  <c r="G8" i="1"/>
  <c r="G5" i="1"/>
  <c r="G4" i="2"/>
  <c r="F4" i="1"/>
  <c r="F13" i="1"/>
  <c r="F6" i="1" l="1"/>
  <c r="F8" i="1"/>
  <c r="G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tc={4F6197ED-5C87-4713-9A89-D9BAA099EFAC}</author>
    <author>tc={B3191031-1088-4AD0-A43C-BBA170E57734}</author>
    <author>tc={C0D4B8F8-F35E-4504-9227-D19A99AAC57B}</author>
    <author>tc={BC4090C2-E2B4-42B1-A7D2-3BFB26CEC946}</author>
    <author>tc={93316685-42B8-4685-BE75-22C322C9110A}</author>
    <author>tc={FF28D66B-6B84-4111-8E03-2F29086BBB6A}</author>
    <author>tc={3367CCF0-2A49-44B5-B82E-C1219F9A9FCA}</author>
    <author>tc={9D05C442-BA1F-41A3-8918-B4057113BCA1}</author>
    <author>tc={DB6B520B-2205-45B9-97E0-DA0DB7995062}</author>
    <author>tc={A5093C28-B94C-432A-8A3B-A66462C707B1}</author>
    <author>tc={A2A9159B-64FD-4D45-9330-3267109E5183}</author>
    <author>tc={D8A75505-DECB-4A29-A4D0-1D64F70CB8F6}</author>
    <author>tc={35D7F603-BCFD-4EF7-8805-DB4A1CE8BBFA}</author>
    <author>tc={4D35FFEA-2871-4D71-B105-E0FB3021A50B}</author>
    <author>tc={5FA19528-28A8-4F77-8818-5A288B2426F5}</author>
    <author>tc={E8857A8F-D4A6-4DD7-8F58-A16CC196809F}</author>
    <author>tc={B6F00EB7-C2D4-461C-B088-59B1971996EB}</author>
    <author>tc={8E501C1A-43E3-4108-AD82-76D1A0F35C53}</author>
  </authors>
  <commentList>
    <comment ref="G1" authorId="0" shapeId="0" xr:uid="{4F6197ED-5C87-4713-9A89-D9BAA099EFAC}">
      <text>
        <t xml:space="preserve">[Threaded comment]
Your version of Excel allows you to read this threaded comment; however, any edits to it will get removed if the file is opened in a newer version of Excel. Learn more: https://go.microsoft.com/fwlink/?linkid=870924
Comment:
    Representative materials were chosen from the lists below. If specific material is known and is included in the larger lists below these can be changed. </t>
      </text>
    </comment>
    <comment ref="I1" authorId="1" shapeId="0" xr:uid="{B3191031-1088-4AD0-A43C-BBA170E57734}">
      <text>
        <t xml:space="preserve">[Threaded comment]
Your version of Excel allows you to read this threaded comment; however, any edits to it will get removed if the file is opened in a newer version of Excel. Learn more: https://go.microsoft.com/fwlink/?linkid=870924
Comment:
    There were not appropriate materials for PVC and rubber, so EVA was used for both as it's the closest in physical structure. </t>
      </text>
    </comment>
    <comment ref="H3" authorId="2" shapeId="0" xr:uid="{C0D4B8F8-F35E-4504-9227-D19A99AAC57B}">
      <text>
        <t xml:space="preserve">[Threaded comment]
Your version of Excel allows you to read this threaded comment; however, any edits to it will get removed if the file is opened in a newer version of Excel. Learn more: https://go.microsoft.com/fwlink/?linkid=870924
Comment:
    Value is for carpet. Closest material to fabric. </t>
      </text>
    </comment>
    <comment ref="I3" authorId="3" shapeId="0" xr:uid="{BC4090C2-E2B4-42B1-A7D2-3BFB26CEC946}">
      <text>
        <t>[Threaded comment]
Your version of Excel allows you to read this threaded comment; however, any edits to it will get removed if the file is opened in a newer version of Excel. Learn more: https://go.microsoft.com/fwlink/?linkid=870924
Comment:
    Value for rayon because it results in the highest emission rate of the fabrics</t>
      </text>
    </comment>
    <comment ref="D29" authorId="4" shapeId="0" xr:uid="{93316685-42B8-4685-BE75-22C322C9110A}">
      <text>
        <t xml:space="preserve">[Threaded comment]
Your version of Excel allows you to read this threaded comment; however, any edits to it will get removed if the file is opened in a newer version of Excel. Learn more: https://go.microsoft.com/fwlink/?linkid=870924
Comment:
    Temperature assuming room temp = 72F. Value to be used in emissions equations. </t>
      </text>
    </comment>
    <comment ref="E29" authorId="5" shapeId="0" xr:uid="{FF28D66B-6B84-4111-8E03-2F29086BBB6A}">
      <text>
        <t>[Threaded comment]
Your version of Excel allows you to read this threaded comment; however, any edits to it will get removed if the file is opened in a newer version of Excel. Learn more: https://go.microsoft.com/fwlink/?linkid=870924
Comment:
    Temperature assuming room temp = 98.7F. Value to be used in calculations for chemical migration rates</t>
      </text>
    </comment>
    <comment ref="K34" authorId="6" shapeId="0" xr:uid="{3367CCF0-2A49-44B5-B82E-C1219F9A9FCA}">
      <text>
        <t>[Threaded comment]
Your version of Excel allows you to read this threaded comment; however, any edits to it will get removed if the file is opened in a newer version of Excel. Learn more: https://go.microsoft.com/fwlink/?linkid=870924
Comment:
    R is ideal gas constant 8.314 J/(K∙mol)</t>
      </text>
    </comment>
    <comment ref="A36" authorId="7" shapeId="0" xr:uid="{9D05C442-BA1F-41A3-8918-B4057113BCA1}">
      <text>
        <t>[Threaded comment]
Your version of Excel allows you to read this threaded comment; however, any edits to it will get removed if the file is opened in a newer version of Excel. Learn more: https://go.microsoft.com/fwlink/?linkid=870924
Comment:
    Rigid, brittle plastic used in things like disposable cutlery and food packaging</t>
      </text>
    </comment>
    <comment ref="I37" authorId="8" shapeId="0" xr:uid="{DB6B520B-2205-45B9-97E0-DA0DB7995062}">
      <text>
        <t xml:space="preserve">[Threaded comment]
Your version of Excel allows you to read this threaded comment; however, any edits to it will get removed if the file is opened in a newer version of Excel. Learn more: https://go.microsoft.com/fwlink/?linkid=870924
Comment:
    Temperature assuming room temp = 72F. Value to be used in emissions equations. </t>
      </text>
    </comment>
    <comment ref="A45" authorId="9" shapeId="0" xr:uid="{A5093C28-B94C-432A-8A3B-A66462C707B1}">
      <text>
        <t>[Threaded comment]
Your version of Excel allows you to read this threaded comment; however, any edits to it will get removed if the file is opened in a newer version of Excel. Learn more: https://go.microsoft.com/fwlink/?linkid=870924
Comment:
    Particleboard, Oriented strand board (OSB), Medium-density fiberboard (MDF), High-density board, and Wood chamber wall.</t>
      </text>
    </comment>
    <comment ref="N45" authorId="10" shapeId="0" xr:uid="{A2A9159B-64FD-4D45-9330-3267109E5183}">
      <text>
        <t>[Threaded comment]
Your version of Excel allows you to read this threaded comment; however, any edits to it will get removed if the file is opened in a newer version of Excel. Learn more: https://go.microsoft.com/fwlink/?linkid=870924
Comment:
    Particleboard, Oriented strand board (OSB), Medium-density fiberboard (MDF), High-density board, and Wood chamber wall.</t>
      </text>
    </comment>
    <comment ref="A55" authorId="11" shapeId="0" xr:uid="{D8A75505-DECB-4A29-A4D0-1D64F70CB8F6}">
      <text>
        <t>[Threaded comment]
Your version of Excel allows you to read this threaded comment; however, any edits to it will get removed if the file is opened in a newer version of Excel. Learn more: https://go.microsoft.com/fwlink/?linkid=870924
Comment:
    Refers to low-density polyurethane foams with a density of 0.005 to 0.03 g/cm3.</t>
      </text>
    </comment>
    <comment ref="N55" authorId="12" shapeId="0" xr:uid="{35D7F603-BCFD-4EF7-8805-DB4A1CE8BBFA}">
      <text>
        <t>[Threaded comment]
Your version of Excel allows you to read this threaded comment; however, any edits to it will get removed if the file is opened in a newer version of Excel. Learn more: https://go.microsoft.com/fwlink/?linkid=870924
Comment:
    Refers to low-density polyurethane foams with a density of 0.005 to 0.03 g/cm3.</t>
      </text>
    </comment>
    <comment ref="A58" authorId="13" shapeId="0" xr:uid="{4D35FFEA-2871-4D71-B105-E0FB3021A50B}">
      <text>
        <t xml:space="preserve">[Threaded comment]
Your version of Excel allows you to read this threaded comment; however, any edits to it will get removed if the file is opened in a newer version of Excel. Learn more: https://go.microsoft.com/fwlink/?linkid=870924
Comment:
    Polyether ether ketone (PEEK), Rigid PVC, Polytetrafluoroethylene (PTFE), and Polycarbonate. Commonly used in lab and engineering applications. </t>
      </text>
    </comment>
    <comment ref="N58" authorId="14" shapeId="0" xr:uid="{5FA19528-28A8-4F77-8818-5A288B2426F5}">
      <text>
        <t>[Threaded comment]
Your version of Excel allows you to read this threaded comment; however, any edits to it will get removed if the file is opened in a newer version of Excel. Learn more: https://go.microsoft.com/fwlink/?linkid=870924
Comment:
    Polyether ether ketone (PEEK), Rigid PVC, Polytetrafluoroethylene (PTFE), and Polycarbonate.</t>
      </text>
    </comment>
    <comment ref="A60" authorId="15" shapeId="0" xr:uid="{E8857A8F-D4A6-4DD7-8F58-A16CC196809F}">
      <text>
        <t xml:space="preserve">[Threaded comment]
Your version of Excel allows you to read this threaded comment; however, any edits to it will get removed if the file is opened in a newer version of Excel. Learn more: https://go.microsoft.com/fwlink/?linkid=870924
Comment:
    Ethyl vinyl acetate (EVA), Polyvinyl acetate (PVA), and Polyvinyl acetate polyacrylic acid copolymer. </t>
      </text>
    </comment>
    <comment ref="G60" authorId="16" shapeId="0" xr:uid="{B6F00EB7-C2D4-461C-B088-59B1971996EB}">
      <text>
        <t>[Threaded comment]
Your version of Excel allows you to read this threaded comment; however, any edits to it will get removed if the file is opened in a newer version of Excel. Learn more: https://go.microsoft.com/fwlink/?linkid=870924
Comment:
    Oriented strand board (OSB), particleboard, medium-density board and high-density board.</t>
      </text>
    </comment>
    <comment ref="N60" authorId="17" shapeId="0" xr:uid="{8E501C1A-43E3-4108-AD82-76D1A0F35C53}">
      <text>
        <t xml:space="preserve">[Threaded comment]
Your version of Excel allows you to read this threaded comment; however, any edits to it will get removed if the file is opened in a newer version of Excel. Learn more: https://go.microsoft.com/fwlink/?linkid=870924
Comment:
    Ethyl vinyl acetate (EVA), Polyvinyl acetate (PVA), and Polyvinyl acetate polyacrylic acid copolymer.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tc={8B4FEE18-C00A-47EC-ABD9-8FE2FA03CD2D}</author>
    <author>tc={569B28BA-35FA-4850-85EF-86428981AD09}</author>
    <author>tc={C2E83F44-5B3C-46FB-8236-5EB6C9E8585A}</author>
    <author>tc={34ACB827-D40F-45B8-BCF4-625B55885612}</author>
    <author>tc={FFE4446C-44A3-4BA4-8BBC-DAE02625A2C8}</author>
    <author>tc={87FCA65C-226C-4C41-815B-37C92FA02593}</author>
    <author>tc={DFF67299-CCAC-450D-BC98-559CE9B201CC}</author>
    <author>tc={94FAC659-A314-4A6D-8509-D1E8A05574A6}</author>
    <author>tc={ADC8B858-D803-41B1-9431-6EBFEEADC51B}</author>
    <author>tc={C69E6CF1-2B91-4279-8533-4EC497BE238A}</author>
    <author>tc={6B9116F9-8A6A-46F4-B0D8-A82FE98E2A5B}</author>
    <author>tc={0A2F7339-8F06-4C26-AFD9-8C9F80A90951}</author>
    <author>tc={6FF4A623-4AEA-40BD-B37D-8DAF37FF8912}</author>
    <author>tc={5461EB8A-A348-4C01-9E33-96C35085FC2B}</author>
    <author>tc={772F459A-33DB-4CAC-B2CC-0C3EB8AE5EB6}</author>
    <author>tc={FACD52C8-FB66-48F0-B1AB-32894CF35368}</author>
    <author>tc={06509E43-05E5-45BA-9F56-DD1ADA1F60CD}</author>
  </authors>
  <commentList>
    <comment ref="G1" authorId="0" shapeId="0" xr:uid="{8B4FEE18-C00A-47EC-ABD9-8FE2FA03CD2D}">
      <text>
        <t>[Threaded comment]
Your version of Excel allows you to read this threaded comment; however, any edits to it will get removed if the file is opened in a newer version of Excel. Learn more: https://go.microsoft.com/fwlink/?linkid=870924
Comment:
    Inputs are the same</t>
      </text>
    </comment>
    <comment ref="F6" authorId="1" shapeId="0" xr:uid="{569B28BA-35FA-4850-85EF-86428981AD09}">
      <text>
        <t xml:space="preserve">[Threaded comment]
Your version of Excel allows you to read this threaded comment; however, any edits to it will get removed if the file is opened in a newer version of Excel. Learn more: https://go.microsoft.com/fwlink/?linkid=870924
Comment:
    EFH Table 17-10 cleaning frequency 4x/month. Since D4 can be present in multiple products in same household assumed 2x/week frequency of use  </t>
      </text>
    </comment>
    <comment ref="H6" authorId="2" shapeId="0" xr:uid="{C2E83F44-5B3C-46FB-8236-5EB6C9E8585A}">
      <text>
        <t>[Threaded comment]
Your version of Excel allows you to read this threaded comment; however, any edits to it will get removed if the file is opened in a newer version of Excel. Learn more: https://go.microsoft.com/fwlink/?linkid=870924
Comment:
    EFH Table 17-4</t>
      </text>
    </comment>
    <comment ref="I6" authorId="3" shapeId="0" xr:uid="{34ACB827-D40F-45B8-BCF4-625B55885612}">
      <text>
        <t>[Threaded comment]
Your version of Excel allows you to read this threaded comment; however, any edits to it will get removed if the file is opened in a newer version of Excel. Learn more: https://go.microsoft.com/fwlink/?linkid=870924
Comment:
    EFH Table 17-4</t>
      </text>
    </comment>
    <comment ref="J6" authorId="4" shapeId="0" xr:uid="{FFE4446C-44A3-4BA4-8BBC-DAE02625A2C8}">
      <text>
        <t>[Threaded comment]
Your version of Excel allows you to read this threaded comment; however, any edits to it will get removed if the file is opened in a newer version of Excel. Learn more: https://go.microsoft.com/fwlink/?linkid=870924
Comment:
    Once per week based on professional judgement</t>
      </text>
    </comment>
    <comment ref="F22" authorId="5" shapeId="0" xr:uid="{87FCA65C-226C-4C41-815B-37C92FA02593}">
      <text>
        <t>[Threaded comment]
Your version of Excel allows you to read this threaded comment; however, any edits to it will get removed if the file is opened in a newer version of Excel. Learn more: https://go.microsoft.com/fwlink/?linkid=870924
Comment:
    Weight Fractions from ACC</t>
      </text>
    </comment>
    <comment ref="G22" authorId="6" shapeId="0" xr:uid="{DFF67299-CCAC-450D-BC98-559CE9B201CC}">
      <text>
        <t xml:space="preserve">[Threaded comment]
Your version of Excel allows you to read this threaded comment; however, any edits to it will get removed if the file is opened in a newer version of Excel. Learn more: https://go.microsoft.com/fwlink/?linkid=870924
Comment:
    No products identified so weight fractions reported by ACC SEHSC were used
</t>
      </text>
    </comment>
    <comment ref="J22" authorId="7" shapeId="0" xr:uid="{94FAC659-A314-4A6D-8509-D1E8A05574A6}">
      <text>
        <t xml:space="preserve">[Threaded comment]
Your version of Excel allows you to read this threaded comment; however, any edits to it will get removed if the file is opened in a newer version of Excel. Learn more: https://go.microsoft.com/fwlink/?linkid=870924
Comment:
    No products identified so weight fractions reported by ACC SEHSC were used
</t>
      </text>
    </comment>
    <comment ref="E28" authorId="8" shapeId="0" xr:uid="{ADC8B858-D803-41B1-9431-6EBFEEADC51B}">
      <text>
        <t>[Threaded comment]
Your version of Excel allows you to read this threaded comment; however, any edits to it will get removed if the file is opened in a newer version of Excel. Learn more: https://go.microsoft.com/fwlink/?linkid=870924
Comment:
    Selected for conservatism with size/airflow</t>
      </text>
    </comment>
    <comment ref="F28" authorId="9" shapeId="0" xr:uid="{C69E6CF1-2B91-4279-8533-4EC497BE238A}">
      <text>
        <t xml:space="preserve">[Threaded comment]
Your version of Excel allows you to read this threaded comment; however, any edits to it will get removed if the file is opened in a newer version of Excel. Learn more: https://go.microsoft.com/fwlink/?linkid=870924
Comment:
    Selected for conservatism with size/airflow
</t>
      </text>
    </comment>
    <comment ref="J28" authorId="10" shapeId="0" xr:uid="{6B9116F9-8A6A-46F4-B0D8-A82FE98E2A5B}">
      <text>
        <t xml:space="preserve">[Threaded comment]
Your version of Excel allows you to read this threaded comment; however, any edits to it will get removed if the file is opened in a newer version of Excel. Learn more: https://go.microsoft.com/fwlink/?linkid=870924
Comment:
    Selected for conservatism with size/airflow
</t>
      </text>
    </comment>
    <comment ref="F39" authorId="11" shapeId="0" xr:uid="{0A2F7339-8F06-4C26-AFD9-8C9F80A90951}">
      <text>
        <t xml:space="preserve">[Threaded comment]
Your version of Excel allows you to read this threaded comment; however, any edits to it will get removed if the file is opened in a newer version of Excel. Learn more: https://go.microsoft.com/fwlink/?linkid=870924
Comment:
    No products were identified, assumed to be a thin liquid spray with a density similar to water. </t>
      </text>
    </comment>
    <comment ref="G39" authorId="12" shapeId="0" xr:uid="{6FF4A623-4AEA-40BD-B37D-8DAF37FF8912}">
      <text>
        <t xml:space="preserve">[Threaded comment]
Your version of Excel allows you to read this threaded comment; however, any edits to it will get removed if the file is opened in a newer version of Excel. Learn more: https://go.microsoft.com/fwlink/?linkid=870924
Comment:
    No products were identified, assumed to be a thin liquid spray with a density similar to water. </t>
      </text>
    </comment>
    <comment ref="J39" authorId="13" shapeId="0" xr:uid="{5461EB8A-A348-4C01-9E33-96C35085FC2B}">
      <text>
        <t xml:space="preserve">[Threaded comment]
Your version of Excel allows you to read this threaded comment; however, any edits to it will get removed if the file is opened in a newer version of Excel. Learn more: https://go.microsoft.com/fwlink/?linkid=870924
Comment:
    No products were identified, assumed to be a thin liquid spray with a density similar to water. </t>
      </text>
    </comment>
    <comment ref="F48" authorId="14" shapeId="0" xr:uid="{772F459A-33DB-4CAC-B2CC-0C3EB8AE5EB6}">
      <text>
        <t>[Threaded comment]
Your version of Excel allows you to read this threaded comment; however, any edits to it will get removed if the file is opened in a newer version of Excel. Learn more: https://go.microsoft.com/fwlink/?linkid=870924
Comment:
    EFH table 17-37 all purpose cleaner</t>
      </text>
    </comment>
    <comment ref="J48" authorId="15" shapeId="0" xr:uid="{FACD52C8-FB66-48F0-B1AB-32894CF35368}">
      <text>
        <t>[Threaded comment]
Your version of Excel allows you to read this threaded comment; however, any edits to it will get removed if the file is opened in a newer version of Excel. Learn more: https://go.microsoft.com/fwlink/?linkid=870924
Comment:
    EFH table 17-37 all purpose cleaner</t>
      </text>
    </comment>
    <comment ref="A89" authorId="16" shapeId="0" xr:uid="{06509E43-05E5-45BA-9F56-DD1ADA1F60CD}">
      <text>
        <t>[Threaded comment]
Your version of Excel allows you to read this threaded comment; however, any edits to it will get removed if the file is opened in a newer version of Excel. Learn more: https://go.microsoft.com/fwlink/?linkid=870924
Comment:
    CEM default is 1 m3</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tc={196A2519-9777-4715-9C9E-DEA8EBD8EABB}</author>
    <author>tc={D644364E-185D-4936-B303-63F4F7F2E8A2}</author>
    <author>tc={8AA3565D-5FA1-4524-B559-2C0E0C6E24EB}</author>
    <author>tc={9DCF4375-78E5-459A-8611-C961BA7A057A}</author>
  </authors>
  <commentList>
    <comment ref="E11" authorId="0" shapeId="0" xr:uid="{196A2519-9777-4715-9C9E-DEA8EBD8EABB}">
      <text>
        <t xml:space="preserve">[Threaded comment]
Your version of Excel allows you to read this threaded comment; however, any edits to it will get removed if the file is opened in a newer version of Excel. Learn more: https://go.microsoft.com/fwlink/?linkid=870924
Comment:
    EFH Table 16-26, 1-4 year olds
</t>
      </text>
    </comment>
    <comment ref="J11" authorId="1" shapeId="0" xr:uid="{D644364E-185D-4936-B303-63F4F7F2E8A2}">
      <text>
        <t>[Threaded comment]
Your version of Excel allows you to read this threaded comment; however, any edits to it will get removed if the file is opened in a newer version of Excel. Learn more: https://go.microsoft.com/fwlink/?linkid=870924
Comment:
    Professional judgement</t>
      </text>
    </comment>
    <comment ref="E14" authorId="2" shapeId="0" xr:uid="{8AA3565D-5FA1-4524-B559-2C0E0C6E24EB}">
      <text>
        <t>[Threaded comment]
Your version of Excel allows you to read this threaded comment; however, any edits to it will get removed if the file is opened in a newer version of Excel. Learn more: https://go.microsoft.com/fwlink/?linkid=870924
Comment:
    EFH Table 16-26, 12-17 year olds</t>
      </text>
    </comment>
    <comment ref="E17" authorId="3" shapeId="0" xr:uid="{9DCF4375-78E5-459A-8611-C961BA7A057A}">
      <text>
        <t xml:space="preserve">[Threaded comment]
Your version of Excel allows you to read this threaded comment; however, any edits to it will get removed if the file is opened in a newer version of Excel. Learn more: https://go.microsoft.com/fwlink/?linkid=870924
Comment:
    EFH Table 16-26, 18-64 year olds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tc={2D824FB1-4965-4AF4-AFB0-3FFB30C4F687}</author>
  </authors>
  <commentList>
    <comment ref="C5" authorId="0" shapeId="0" xr:uid="{2D824FB1-4965-4AF4-AFB0-3FFB30C4F687}">
      <text>
        <t xml:space="preserve">[Threaded comment]
Your version of Excel allows you to read this threaded comment; however, any edits to it will get removed if the file is opened in a newer version of Excel. Learn more: https://go.microsoft.com/fwlink/?linkid=870924
Comment:
    This appears to be an error. Additionally, the word doc says these values should be: 0.05%, 0.53%, and 1%
Reply:
    Updated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tc={72801C49-D865-4F72-A102-38C6E3514542}</author>
    <author>tc={98AC8589-DA9E-453A-965F-89EDC2DE3EA1}</author>
  </authors>
  <commentList>
    <comment ref="G4" authorId="0" shapeId="0" xr:uid="{72801C49-D865-4F72-A102-38C6E3514542}">
      <text>
        <t xml:space="preserve">[Threaded comment]
Your version of Excel allows you to read this threaded comment; however, any edits to it will get removed if the file is opened in a newer version of Excel. Learn more: https://go.microsoft.com/fwlink/?linkid=870924
Comment:
    CEM default clothing - 960 </t>
      </text>
    </comment>
    <comment ref="J4" authorId="1" shapeId="0" xr:uid="{98AC8589-DA9E-453A-965F-89EDC2DE3EA1}">
      <text>
        <t>[Threaded comment]
Your version of Excel allows you to read this threaded comment; however, any edits to it will get removed if the file is opened in a newer version of Excel. Learn more: https://go.microsoft.com/fwlink/?linkid=870924
Comment:
    CEM default clothing - 1.1789</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tc={32EC44C7-F325-4039-9F8D-C5BE2F4B9BF3}</author>
    <author>tc={BBE766C2-575B-4CCA-8D58-DF53B95140B0}</author>
  </authors>
  <commentList>
    <comment ref="I3" authorId="0" shapeId="0" xr:uid="{32EC44C7-F325-4039-9F8D-C5BE2F4B9BF3}">
      <text>
        <t>[Threaded comment]
Your version of Excel allows you to read this threaded comment; however, any edits to it will get removed if the file is opened in a newer version of Excel. Learn more: https://go.microsoft.com/fwlink/?linkid=870924
Comment:
    Previously entered as 0.5. Corrected 2/11/25</t>
      </text>
    </comment>
    <comment ref="L11" authorId="1" shapeId="0" xr:uid="{BBE766C2-575B-4CCA-8D58-DF53B95140B0}">
      <text>
        <t xml:space="preserve">[Threaded comment]
Your version of Excel allows you to read this threaded comment; however, any edits to it will get removed if the file is opened in a newer version of Excel. Learn more: https://go.microsoft.com/fwlink/?linkid=870924
Comment:
    https://www.outdoorsupplyhardware.com/2763541/product/black-magic-bc23220
</t>
      </text>
    </comment>
  </commentList>
</comments>
</file>

<file path=xl/sharedStrings.xml><?xml version="1.0" encoding="utf-8"?>
<sst xmlns="http://schemas.openxmlformats.org/spreadsheetml/2006/main" count="3001" uniqueCount="969">
  <si>
    <t>PUBLIC RELEASE DRAFT</t>
  </si>
  <si>
    <t>September 2025</t>
  </si>
  <si>
    <t>Draft Consumer Exposure Analysis for Octamethylcyclotetrasiloxane (D4)</t>
  </si>
  <si>
    <t>CASRN 556-67-2</t>
  </si>
  <si>
    <t>Table of Contents</t>
  </si>
  <si>
    <t>Sheet</t>
  </si>
  <si>
    <t>P-Chem</t>
  </si>
  <si>
    <t xml:space="preserve">Physicochemical properties used in models. Equations and calculations for parameters relevant to chemical transport, including solid phase diffusion, solid-gas partitioning, gas phase mass transfer, and chemical migration rate. </t>
  </si>
  <si>
    <t>Article_Data</t>
  </si>
  <si>
    <t>Mouthing time calculations and material density for materials often modeled for consumer exposure</t>
  </si>
  <si>
    <t>Product_Inputs</t>
  </si>
  <si>
    <t>Modeling inputs for liquid products</t>
  </si>
  <si>
    <t>Article_Inputs</t>
  </si>
  <si>
    <t>Modeling inputs for solid articles</t>
  </si>
  <si>
    <t>Dermal Calcs</t>
  </si>
  <si>
    <t>Calculations for dermal exposure</t>
  </si>
  <si>
    <t>Calculations for mouthing exposure</t>
  </si>
  <si>
    <t>Product WF and Use</t>
  </si>
  <si>
    <t xml:space="preserve">Research on consumer uses of liquid products, calculations for weight fractions in these products. </t>
  </si>
  <si>
    <t>CEM_Models</t>
  </si>
  <si>
    <t xml:space="preserve">Lookup Table from CEM listing prebuilt scenarios, associated emissions models and exposure pathways </t>
  </si>
  <si>
    <t>CEM_ENV</t>
  </si>
  <si>
    <t xml:space="preserve">Lookup Table from CEM listing environment parameters for each available room of use. </t>
  </si>
  <si>
    <t>Subcondition of Use</t>
  </si>
  <si>
    <t>Adhesives and sealants</t>
  </si>
  <si>
    <t>Adhesives and sealants (product)</t>
  </si>
  <si>
    <t>Automotive care products</t>
  </si>
  <si>
    <t>Automotive care products (product)</t>
  </si>
  <si>
    <t>Furnishing, cleaning, treatment/care products</t>
  </si>
  <si>
    <t>Cleaning and furnishing care products (product)</t>
  </si>
  <si>
    <t>Fabric, textile, and leather products not covered elsewhere (product)</t>
  </si>
  <si>
    <t>Laundry and dishwashing products (product)</t>
  </si>
  <si>
    <t>Other</t>
  </si>
  <si>
    <t>Animal grooming products</t>
  </si>
  <si>
    <t>Packaging, paper, plastic, hobby products</t>
  </si>
  <si>
    <t>Plastic and rubber products not covered elsewhere (article)</t>
  </si>
  <si>
    <t>Toys, playground, and sporting equipment (article)</t>
  </si>
  <si>
    <t>Plastic and rubber products not covered elsewhere (product)</t>
  </si>
  <si>
    <t>Toys, playground, and sporting equipment (product)</t>
  </si>
  <si>
    <t>Paints and coatings</t>
  </si>
  <si>
    <t>Paints and coatings (product)</t>
  </si>
  <si>
    <t>Physical and Chemical Properties for D4 Used in Consumer Modeling</t>
  </si>
  <si>
    <t>Common Materials</t>
  </si>
  <si>
    <t>Kma</t>
  </si>
  <si>
    <t>Chemical Migration Partial Calculation</t>
  </si>
  <si>
    <t>D4 CAS 556-67-2</t>
  </si>
  <si>
    <t>Carpet</t>
  </si>
  <si>
    <t>Property or Endpoint</t>
  </si>
  <si>
    <t>Selected Value</t>
  </si>
  <si>
    <t>Unit</t>
  </si>
  <si>
    <t>Fabric</t>
  </si>
  <si>
    <t>Molecular weight</t>
  </si>
  <si>
    <t>g/mol</t>
  </si>
  <si>
    <t>PVC</t>
  </si>
  <si>
    <t>Vapor pressure</t>
  </si>
  <si>
    <t>mm Hg at 25 °C </t>
  </si>
  <si>
    <t>Rigid Plastics</t>
  </si>
  <si>
    <t>Water solubility</t>
  </si>
  <si>
    <t>mg/L at 23 °C </t>
  </si>
  <si>
    <t>Flexible Plastics</t>
  </si>
  <si>
    <t>Octanol/water partition coefficient (log Kow)</t>
  </si>
  <si>
    <t>at 21.7 °C </t>
  </si>
  <si>
    <t>Rubbers</t>
  </si>
  <si>
    <t>Henry’s Law constant</t>
  </si>
  <si>
    <t>atm·m3/mol at 21.7 °C </t>
  </si>
  <si>
    <t>Low Density Foam (Packaging)</t>
  </si>
  <si>
    <t>High Density Foam (matresses, insulation)</t>
  </si>
  <si>
    <t>Wood</t>
  </si>
  <si>
    <t xml:space="preserve">Source of Pchem Information: RE fate module </t>
  </si>
  <si>
    <t>Pressed Wood</t>
  </si>
  <si>
    <t>Paper</t>
  </si>
  <si>
    <t>Gypsum Board</t>
  </si>
  <si>
    <t>CEM estimated Gas Phase Mass Transfer Coefficient (h)</t>
  </si>
  <si>
    <t>CEM Estimated Value (Material Agnostic)</t>
  </si>
  <si>
    <t>N/A</t>
  </si>
  <si>
    <t>Internal Diffusion Coefficient used to describe chemical migration through solids</t>
  </si>
  <si>
    <t>Calculation of Internal Diffusion Coefficient based on Huang et al. (2017)</t>
  </si>
  <si>
    <t>Calculations for Solid-Air Partitioning Coefficient</t>
  </si>
  <si>
    <t>Calculations for chemical Migration Rate to Saliva based on Aurisano et al. (2022)</t>
  </si>
  <si>
    <t>https://doi.org/10.1111/ina.12395</t>
  </si>
  <si>
    <t>DOI: 10.1111/ina.12510</t>
  </si>
  <si>
    <t>doi: 10.1038/s41370-021-00354-0</t>
  </si>
  <si>
    <t>QPPR Equaation</t>
  </si>
  <si>
    <t xml:space="preserve">QPPR Equation </t>
  </si>
  <si>
    <t>where D is the diffusion coefficient (m2/s), MW is molecular weight (g/mol), T is absolute temperature (K), b and τ (K) are the material-specific coefficients below</t>
  </si>
  <si>
    <t>where Kma is the dimensionless solid material-air partition coefficient, Koa is the chemical's dimensionless octanol-air partition coefficient at 25°C, ΔHma is the enthalpy of the partitioning between material and air (J/mol) which is given by Equation (5), T is absolute temperature (K), and b is the material-specific coefficient below</t>
  </si>
  <si>
    <t>Full list of Materials</t>
  </si>
  <si>
    <t>T</t>
  </si>
  <si>
    <t>Material</t>
  </si>
  <si>
    <t>b</t>
  </si>
  <si>
    <t>τ</t>
  </si>
  <si>
    <t>(5)</t>
  </si>
  <si>
    <t>Term 1</t>
  </si>
  <si>
    <t>Term 2</t>
  </si>
  <si>
    <t>Term 4</t>
  </si>
  <si>
    <t>Calcium silicate</t>
  </si>
  <si>
    <t>Where  ΔHv is the chemicals enthalpy of vaporization obtained from chem spider</t>
  </si>
  <si>
    <t>Cement</t>
  </si>
  <si>
    <t>https://www.chemspider.com/</t>
  </si>
  <si>
    <t>Ethylene-propylene rubbers</t>
  </si>
  <si>
    <t>ΔHv (J/mol)</t>
  </si>
  <si>
    <t>Δhma/2.303*R</t>
  </si>
  <si>
    <t>Flexible PVC</t>
  </si>
  <si>
    <t>General polystyrene (PS)</t>
  </si>
  <si>
    <t>Glass, Stainless steel</t>
  </si>
  <si>
    <t>Gypsum and cellulose ceiling tile</t>
  </si>
  <si>
    <t>Gypsum board</t>
  </si>
  <si>
    <t>High density polyethylene (HDPE)</t>
  </si>
  <si>
    <t>Cellulose fabric (cotton, linen)</t>
  </si>
  <si>
    <t>High-impact polystyrene (HIPS)</t>
  </si>
  <si>
    <t>Cement, Calcium silicate</t>
  </si>
  <si>
    <t>Methyl methacrylate (MMA) copolymer-medium or low density</t>
  </si>
  <si>
    <t>Concrete</t>
  </si>
  <si>
    <t>Methyl methacrylate (MMA) homopolymer</t>
  </si>
  <si>
    <t>Ethylene Vinyl Acetate (EVA)</t>
  </si>
  <si>
    <t>Natural rubber (NR)</t>
  </si>
  <si>
    <t>Glass</t>
  </si>
  <si>
    <t>Other wooden boards</t>
  </si>
  <si>
    <t>Latex and solvent-based paint</t>
  </si>
  <si>
    <t>Plywood</t>
  </si>
  <si>
    <t>Polyamide (PA)</t>
  </si>
  <si>
    <t>Poly acrylnitrile butadiene styrene (ABS), Ethylene vinyl alcohol (EVOH)</t>
  </si>
  <si>
    <t>Polyester fabric</t>
  </si>
  <si>
    <t>Polychloroprene (CR)</t>
  </si>
  <si>
    <t>Polyether ether ketone (PEEK)</t>
  </si>
  <si>
    <t>Polyethylene (PE, LDPE, LLDPE)</t>
  </si>
  <si>
    <t>Polyethylene (PE)</t>
  </si>
  <si>
    <t>Polyethylene naphthalate (PEN)</t>
  </si>
  <si>
    <t>Polypropylene (PP)</t>
  </si>
  <si>
    <t>Polyethylene terephthalate (PET)</t>
  </si>
  <si>
    <t>Polytetrafluoroethylene (PTFE)</t>
  </si>
  <si>
    <t>Polystyrene foam (XPS, EPS)</t>
  </si>
  <si>
    <t>PU-ester</t>
  </si>
  <si>
    <t>Polyurethane-based materials</t>
  </si>
  <si>
    <t>PU-ether</t>
  </si>
  <si>
    <t>PP copolymer</t>
  </si>
  <si>
    <t>PUF-undefined</t>
  </si>
  <si>
    <t>PP homopolymer</t>
  </si>
  <si>
    <t>Rayon fabric</t>
  </si>
  <si>
    <t>Rigid polymers</t>
  </si>
  <si>
    <t>Stainless steel</t>
  </si>
  <si>
    <t>Synthetic rubber</t>
  </si>
  <si>
    <t>Vinyl flooring</t>
  </si>
  <si>
    <t>Vinyl acetate-based polymers</t>
  </si>
  <si>
    <t>Wooden boards</t>
  </si>
  <si>
    <t>Table 2-1. Physical and Chemical Properties of D4 </t>
  </si>
  <si>
    <t>(From RE module 4.30.2024)</t>
  </si>
  <si>
    <r>
      <t>Property</t>
    </r>
    <r>
      <rPr>
        <sz val="11"/>
        <rFont val="Times New Roman"/>
        <family val="1"/>
      </rPr>
      <t> </t>
    </r>
  </si>
  <si>
    <r>
      <t>Reference(s)</t>
    </r>
    <r>
      <rPr>
        <sz val="11"/>
        <rFont val="Times New Roman"/>
        <family val="1"/>
      </rPr>
      <t> </t>
    </r>
  </si>
  <si>
    <t>Molecular formula </t>
  </si>
  <si>
    <t>Molecular weight </t>
  </si>
  <si>
    <t>296.61 g/mol </t>
  </si>
  <si>
    <t>Physical form </t>
  </si>
  <si>
    <t>Colorless, oily liquid </t>
  </si>
  <si>
    <t>{DOE, 2016, 3981013; NLM, 2020, 6982832 citing Lewis, 2007, 3378175 and O’Neil, 2013, 6982970} </t>
  </si>
  <si>
    <t>High </t>
  </si>
  <si>
    <t>Melting point </t>
  </si>
  <si>
    <t>17.5 °C </t>
  </si>
  <si>
    <t>{O’Neil, 2013, 6982970; DOE, 2016, 3981013; NLM, 2020, 6982832; RSC, 2020, 6982833} </t>
  </si>
  <si>
    <t>Boiling point </t>
  </si>
  <si>
    <t>175 °C </t>
  </si>
  <si>
    <t>{O’Neil, 2013, 6982970; Hayes, 2014, 6982969; DOE, 2016, 3981013; NLM, 2020, 6982832} </t>
  </si>
  <si>
    <t>Density </t>
  </si>
  <si>
    <t>{Zhang, 2015, 4279677} </t>
  </si>
  <si>
    <t>Vapor pressure </t>
  </si>
  <si>
    <t>0.9338 mmHg at 25 °C  </t>
  </si>
  <si>
    <t>{Lei, 2010, 2629388} </t>
  </si>
  <si>
    <t>Vapor density </t>
  </si>
  <si>
    <t>No data identified </t>
  </si>
  <si>
    <t>Water solubility </t>
  </si>
  <si>
    <t>0.056 mg/L at 23 °C </t>
  </si>
  <si>
    <t>{Dow Corning, 1991, 7310465; Varaprath, 1996, 6984031; NLM, 2020, 6982832} </t>
  </si>
  <si>
    <t>6.59 ± 0.07 at 5.7 °C </t>
  </si>
  <si>
    <t>{Xu, 2012, 2188633; Xu, 2014, 2535012} </t>
  </si>
  <si>
    <t>6.98 ± 0.13 at 21.7 °C </t>
  </si>
  <si>
    <t>7.13 ± 0.1 at 34.8 °C </t>
  </si>
  <si>
    <t>6.488 ± 0.017 at 25.1 °C  </t>
  </si>
  <si>
    <t>{Kozerski, 2007, 6987895} </t>
  </si>
  <si>
    <t>(OECD 123) </t>
  </si>
  <si>
    <t>4.29 ± 0.03 at 21.7 °C </t>
  </si>
  <si>
    <r>
      <t>{SEHSC, 2020, 7296376 citing Xu, 2006, 6987840; Xu, 2007, 6987898; Xu, 2012, 2188633}</t>
    </r>
    <r>
      <rPr>
        <sz val="11"/>
        <color rgb="FF000000"/>
        <rFont val="Times New Roman"/>
        <family val="1"/>
      </rPr>
      <t>  </t>
    </r>
  </si>
  <si>
    <t>4.22 ± 0.01 at 24 °C </t>
  </si>
  <si>
    <t>4.81 ± 0.02 at 5.7 °C </t>
  </si>
  <si>
    <r>
      <t xml:space="preserve">{Xu, 2014, </t>
    </r>
    <r>
      <rPr>
        <sz val="11"/>
        <rFont val="Times New Roman"/>
        <family val="1"/>
      </rPr>
      <t>2535012</t>
    </r>
    <r>
      <rPr>
        <sz val="11"/>
        <color rgb="FF000000"/>
        <rFont val="Times New Roman"/>
        <family val="1"/>
      </rPr>
      <t>} </t>
    </r>
  </si>
  <si>
    <t>4.53 ± 0.08 at 12.2 °C </t>
  </si>
  <si>
    <t>4.04 ± 0.07 at 34.8 °C </t>
  </si>
  <si>
    <t>Henry’s Law constant </t>
  </si>
  <si>
    <t>Flash point </t>
  </si>
  <si>
    <t>55 °C (closed cup) </t>
  </si>
  <si>
    <t>{NLM, 2020, 6982832 citing Sigma-Aldrich, 2020, 7311180} </t>
  </si>
  <si>
    <t>Autoflammability </t>
  </si>
  <si>
    <t>Viscosity </t>
  </si>
  <si>
    <t>2.45 cP at 20 °C </t>
  </si>
  <si>
    <t>{Palczewska-Tulinska, 2005, 3569075} </t>
  </si>
  <si>
    <t>2.7 cP at 26.95 °C </t>
  </si>
  <si>
    <t>{Liu, 2013, 6835221} </t>
  </si>
  <si>
    <t>Refractive index </t>
  </si>
  <si>
    <t>1.39674 at 20 °C </t>
  </si>
  <si>
    <t>{Elsevier, 2019, 6984075} </t>
  </si>
  <si>
    <r>
      <t>a</t>
    </r>
    <r>
      <rPr>
        <sz val="11"/>
        <rFont val="Times New Roman"/>
        <family val="1"/>
      </rPr>
      <t xml:space="preserve"> Measured unless otherwise noted </t>
    </r>
  </si>
  <si>
    <r>
      <t>b</t>
    </r>
    <r>
      <rPr>
        <i/>
        <sz val="11"/>
        <rFont val="Times New Roman"/>
        <family val="1"/>
      </rPr>
      <t xml:space="preserve"> </t>
    </r>
    <r>
      <rPr>
        <sz val="11"/>
        <rFont val="Times New Roman"/>
        <family val="1"/>
      </rPr>
      <t>“Overall Quality Determinations” apply to all references listed in this table </t>
    </r>
  </si>
  <si>
    <t>Averages by Product Category</t>
  </si>
  <si>
    <t>COU</t>
  </si>
  <si>
    <t>Sub COU</t>
  </si>
  <si>
    <t xml:space="preserve">Product Category </t>
  </si>
  <si>
    <t>Product</t>
  </si>
  <si>
    <t>Manufacturer</t>
  </si>
  <si>
    <t>Use Env</t>
  </si>
  <si>
    <t>Form</t>
  </si>
  <si>
    <t>Reported Weight  (%)</t>
  </si>
  <si>
    <t>Min WF</t>
  </si>
  <si>
    <t>Mid WF</t>
  </si>
  <si>
    <t>Max WF</t>
  </si>
  <si>
    <t>Density</t>
  </si>
  <si>
    <t>Data Source</t>
  </si>
  <si>
    <t xml:space="preserve">Vendor </t>
  </si>
  <si>
    <t>Detailed Use Description</t>
  </si>
  <si>
    <t>Additional Notes</t>
  </si>
  <si>
    <t>Auto Care</t>
  </si>
  <si>
    <t>Caulking Products</t>
  </si>
  <si>
    <t>Cleaning Products</t>
  </si>
  <si>
    <t>Paint/Varnish (large project outside)</t>
  </si>
  <si>
    <t xml:space="preserve">Paint/Varnish (small project inside) </t>
  </si>
  <si>
    <t>Level</t>
  </si>
  <si>
    <t>Conversation Factor For Mass Calcs</t>
  </si>
  <si>
    <t>Adhesive/Sealant</t>
  </si>
  <si>
    <t>Nuflex® 302 GP- Clear</t>
  </si>
  <si>
    <t>Nuco</t>
  </si>
  <si>
    <t>Bathroom</t>
  </si>
  <si>
    <t>Paste  (caulk)</t>
  </si>
  <si>
    <t>SDS (USE REPORT)</t>
  </si>
  <si>
    <t>Walmart</t>
  </si>
  <si>
    <t>Adheres to most non-porous construction substrates (e.g., metal, laminates, glass, wood, ceramic, natural and synthetic fibres, painted surfaces, most plastics). Basic uses include caulking and sealing around form-in place gaskets where there is no oil contact, duct joints, areas that need weather stripping, and sinks, basins, showers, and tubs.</t>
  </si>
  <si>
    <t>WHITE LIGHTNING® SILICONE ULTRA Window &amp; Door Sealant (Clear)</t>
  </si>
  <si>
    <t>White Lightning Products</t>
  </si>
  <si>
    <t>NR</t>
  </si>
  <si>
    <t>Amazon</t>
  </si>
  <si>
    <t>White Lightning clear caulk is compatible with glass, wood, vinyl and ceramic materials with a 3 hrs cure time. This caulk is waterproof and for use indoor / outdoor</t>
  </si>
  <si>
    <t>10 fl oz tube = 316 g</t>
  </si>
  <si>
    <t>Marine Sealant 08017, 08027</t>
  </si>
  <si>
    <t>3M</t>
  </si>
  <si>
    <t>&lt;0.1</t>
  </si>
  <si>
    <t>SDS (TPS)</t>
  </si>
  <si>
    <t>Bottom Paint Store</t>
  </si>
  <si>
    <t xml:space="preserve">High quality silicone designed for the harsh marine environment. It forms a mildew-resistant, non-yellowing seal that remains flexible even after years of exposure. Amazon reviews suggest that this product is commonly used for off-label appliactions including a wide range of home repairs (bath and kitchen caulking, ceiling repair, window installation. </t>
  </si>
  <si>
    <t>3M™ Super Silicone Sealant (Clear), 08661, 08663</t>
  </si>
  <si>
    <t>&lt;1</t>
  </si>
  <si>
    <t>Ebay</t>
  </si>
  <si>
    <t>3M™ Clear Super Silicone Seal is a paste-like, one-component clear material that cures to a tough, rubbery solid when exposed to moisture in the air. This silicone seal adheres to clean metal, glass, wood, ceramic, natural and synthetic fiber, painted surfaces and many plastics.</t>
  </si>
  <si>
    <t>RTV 732, Clear</t>
  </si>
  <si>
    <t>Saf-T-Lok</t>
  </si>
  <si>
    <t>EBay</t>
  </si>
  <si>
    <t>SAF-T-LOK Silicones cure rapidly to a strong, durable, flexible rubber at room temperature and bond to a wide range of substrate materials including metals, glass, most plastics, fabric, wood, ceramics, etc</t>
  </si>
  <si>
    <t>3 oz tube = 85 g</t>
  </si>
  <si>
    <t>RTV102 White</t>
  </si>
  <si>
    <t>Momentive</t>
  </si>
  <si>
    <t>Paste (tube)</t>
  </si>
  <si>
    <t xml:space="preserve">RTV102 is a white one-component RTV commonly used as a formed-in-place silicone gasket material. Additional uses include sealing, caulking, insulating and bonding. It cures to a tough, durable and resilient elastomer, making it ideal as a silicone rubber gasket. Amazon review suggest that this product is used for a wide variety of small repair projects primarily as an adhesive. </t>
  </si>
  <si>
    <t>2.8 fl oz tube = 87 g</t>
  </si>
  <si>
    <t>Data source: EFH Table 174, 17-5, 17-6</t>
  </si>
  <si>
    <t>Sealant</t>
  </si>
  <si>
    <t>Silicone RTV 4500</t>
  </si>
  <si>
    <t>Silco</t>
  </si>
  <si>
    <t>Kitchen</t>
  </si>
  <si>
    <t>Review on Amazon indicate that consumers use this product for a variety of small repair projects, including repairs of  refrigerator and dishwasher parts as well as repair of food containing kitchen items (dishes, water bottles, coffee carafes)</t>
  </si>
  <si>
    <t>890-SL Silicone Joint Sealant</t>
  </si>
  <si>
    <t>Dow</t>
  </si>
  <si>
    <t>Garage</t>
  </si>
  <si>
    <t>PK Supplies</t>
  </si>
  <si>
    <t>concrete to concrete pavement joints, concrete to asphalt pavement joints, repairs, to seal irregularly shaped and spalled joints</t>
  </si>
  <si>
    <t>20 fl oz = 633 g</t>
  </si>
  <si>
    <t>Black Magic Tire Wet Spray BC23220; BC23220W; BC23220ES</t>
  </si>
  <si>
    <t>ITW Global</t>
  </si>
  <si>
    <t>Liquid (spray)</t>
  </si>
  <si>
    <t xml:space="preserve">With one quick spray, this tire dressing leaves tires looking wet, black, and glossy.  Amazon reviews indicate use is largely as intended. Instrucions say to spray, not wipe. </t>
  </si>
  <si>
    <t>Spray Wax 2625</t>
  </si>
  <si>
    <t>Zmax</t>
  </si>
  <si>
    <t> zMAX Speed Wax is a formulated paint gloss intensifier with a convenient one-step application. Apply onto a wet or dry surface for a brilliant high gloss shine that helps to protect the paint finish of your car. Instructions say to apply a thin mist and wipe with cloth</t>
  </si>
  <si>
    <t>Black Edge Spray Wax</t>
  </si>
  <si>
    <t>Surf City Garage</t>
  </si>
  <si>
    <t>Pep Boys</t>
  </si>
  <si>
    <t>Car wax. Spray on and wipe with a cloth. Customer reviews on Pep Boys website indicate that use is mostly as intended</t>
  </si>
  <si>
    <t>Rain-X Pro Graphene Spray Wax</t>
  </si>
  <si>
    <t>Car wax. Spray on and wipe with a cloth. Customer reviews on Amazon indicate that use is mostly as intended</t>
  </si>
  <si>
    <t>Speed Demon</t>
  </si>
  <si>
    <t>Car wax. Spray on and wipe with a cloth. Customer reviews on Pepboys Website indicate that use is mostly as intended</t>
  </si>
  <si>
    <t>Mystic Spray Wax</t>
  </si>
  <si>
    <t>Wizards</t>
  </si>
  <si>
    <t>Hybrid Solutions Ceramic Acrylic Black Wax</t>
  </si>
  <si>
    <t>Turtle Wax</t>
  </si>
  <si>
    <t>waterless Wash and Wax</t>
  </si>
  <si>
    <t>3M Waterless Wash &amp; Wax helps allows you to clean your vehicle without water. Simply spray on, and wipe off! </t>
  </si>
  <si>
    <t>Wax Spray and Seal</t>
  </si>
  <si>
    <t>Jax</t>
  </si>
  <si>
    <t>JaxWax.com</t>
  </si>
  <si>
    <t>Lightly mist Jax Wax Spray &amp; Seal across the surface, embracing the art of detailing with your favorite plush microfiber towel. Gently work the product into the paint, and then elevate the shine to its maximum potential with a final buff</t>
  </si>
  <si>
    <t>CMX Spray</t>
  </si>
  <si>
    <t>Mothers</t>
  </si>
  <si>
    <t>Cleaning Product</t>
  </si>
  <si>
    <t>Shine Plus</t>
  </si>
  <si>
    <t>Spartan Chemicals</t>
  </si>
  <si>
    <t>DK Hardware</t>
  </si>
  <si>
    <t>Shine Plus is a multi-surface protectant that reconditions, shines, and protects, all in 1 application. With its unique blend of specially selected silicones, Shine Plus may be used on a variety of surfaces, such as: vinyl, plastic, wood, leather, rubber, and Formica. Shine Plus should only be used on clean dry surfaces and multiple applications will provide more protection and a brilliant shine</t>
  </si>
  <si>
    <t>CRL848 PLASTIC CLEANER</t>
  </si>
  <si>
    <t>CR Laurence</t>
  </si>
  <si>
    <t>Apply it to a variety of plastic materials: acrylic, plexiglas, polycarbonates, and safety glazing panels</t>
  </si>
  <si>
    <t>cleaners, furniture polishes, and dishwasher detergents</t>
  </si>
  <si>
    <t>Miscellaneous</t>
  </si>
  <si>
    <t>&lt;0.1, 0.15, 1</t>
  </si>
  <si>
    <t>HERO ID 6833916</t>
  </si>
  <si>
    <t>Products with different uses were reported together so this cannot be clearly defined</t>
  </si>
  <si>
    <t>Spray Sizing</t>
  </si>
  <si>
    <t xml:space="preserve">Niagara </t>
  </si>
  <si>
    <t>Utility Room</t>
  </si>
  <si>
    <t>SDS (Use Report)</t>
  </si>
  <si>
    <t>Paint/Varnish</t>
  </si>
  <si>
    <t>WOLMAN 5-GL RAINCOAT CLEAR OIL</t>
  </si>
  <si>
    <t>Outdoors</t>
  </si>
  <si>
    <t>Liquid spray on</t>
  </si>
  <si>
    <t>Home Depot</t>
  </si>
  <si>
    <t xml:space="preserve">Apply two coats to clean wood surface. Customer reviews on Home Depot website indicate thtat the product is most commonly applied by spraying on outdoor surfaces such as fences, decks, and wooden trailer surfaces. </t>
  </si>
  <si>
    <t>DryLok Siloxane 7</t>
  </si>
  <si>
    <t>UGL</t>
  </si>
  <si>
    <t xml:space="preserve">DRYLOK Siloxane 7 Brick and Masonry Penetrating Sealer is a clear, durable, water-repellent, specialty formulation for use on exterior, above-grade, vertical and horizontal brick and masonry surfaces. With just one coat, it minimizes the deterioration of masonry and mortar, and helps control efflorescence (salt deposits) and surface staining. Customer reviews on Home Depot wesite indicate that product is most commonly appied by spraying onto a variety of outdoor brick and stone surfaces including chimneys, outdoor fireplaces, stone siding, and patio/walkway surfaces. </t>
  </si>
  <si>
    <t>WOODLUXE OIL-BASED WATERPROOFING STAIN &amp; SEALER TRANSLUCENT - TEAK</t>
  </si>
  <si>
    <t>Benjamin Moore</t>
  </si>
  <si>
    <t>Ace Hardware</t>
  </si>
  <si>
    <t xml:space="preserve">This premium-quality all-weather exterior stain protects and beautifies siding, decks, porches, fences and furniture. For roller, pad, or spray application, follow with back brushing for greater penetration. Only one coat is necessary when applied at the recommended coverage rates listed. </t>
  </si>
  <si>
    <t>Wood Conditioner</t>
  </si>
  <si>
    <t>Old Masters</t>
  </si>
  <si>
    <t>Liquid brush/roll on</t>
  </si>
  <si>
    <t>Apply with a polyester or nylon brush. Amazon review indicate that this may be used for DIY furniture finishing/refinishing</t>
  </si>
  <si>
    <t>High Performance Protective Enamel Gloss Leather Brown Oil-Based Interior/Exterior Metal Paint</t>
  </si>
  <si>
    <t>Rust-Oleum</t>
  </si>
  <si>
    <t>Liquid brush or spray</t>
  </si>
  <si>
    <t>Applied on metal surface. Manufacturer suggests two coats but some reviews on Home Depot and Lowe's suggest 3.  Reviews suggest that this product is used for a variety of project ranging from painting small parts, to medium sized projects like cabinets and bathtubs...and more than one person used it to repaint a vehicle</t>
  </si>
  <si>
    <t>Mouthing Duration</t>
  </si>
  <si>
    <t>Calculation of Daily Mouthing Durations for Age Groups Applicable to CEM</t>
  </si>
  <si>
    <t>Item Mouthed</t>
  </si>
  <si>
    <t>Duration Mouthed Units</t>
  </si>
  <si>
    <t>Reported Age Group</t>
  </si>
  <si>
    <t>CEM Age Group: Infants &lt;1 year</t>
  </si>
  <si>
    <t>Maximum</t>
  </si>
  <si>
    <t>Average</t>
  </si>
  <si>
    <t>Minimum</t>
  </si>
  <si>
    <t>Toy</t>
  </si>
  <si>
    <t>min/day</t>
  </si>
  <si>
    <t>Source</t>
  </si>
  <si>
    <t>PVC Product Density Calculations</t>
  </si>
  <si>
    <t>https://www.ji-horng.com/plastic-material-density-specific-gravity</t>
  </si>
  <si>
    <t>Min Density</t>
  </si>
  <si>
    <t>Max Density</t>
  </si>
  <si>
    <t>Average Density</t>
  </si>
  <si>
    <t>Ansys (2021)</t>
  </si>
  <si>
    <t>Polyvinylchloride (tpPVC)</t>
  </si>
  <si>
    <t>Rubber</t>
  </si>
  <si>
    <t>https://www.suebel.net/About/Materials</t>
  </si>
  <si>
    <t>PVC toy with phthalates</t>
  </si>
  <si>
    <t>--</t>
  </si>
  <si>
    <t>https://matmatch.com/learn/property/density-of-wood</t>
  </si>
  <si>
    <t>iPolymer.com</t>
  </si>
  <si>
    <t>https://www3.epa.gov/ttnchie1/ap42/ch10/final/c10s06-2.pdf</t>
  </si>
  <si>
    <t>Fabric (cotton)</t>
  </si>
  <si>
    <t>https://textilefact.com/physical-properties-of-cotton-fiber/#:~:text=Cotton%20fibers%20have%20a%20density,the%20dyeability%20of%20the%20fabric.</t>
  </si>
  <si>
    <t>Drywall</t>
  </si>
  <si>
    <t>https://www.researchgate.net/figure/Gypsum-board-density-by-board-type-and-manufacturer_fig3_44061410</t>
  </si>
  <si>
    <t>Foam</t>
  </si>
  <si>
    <t>https://plastics-rubber.basf.com/global/en/performance_polymers/locations/great-britain/insulation.html</t>
  </si>
  <si>
    <t>Caulking Compounds</t>
  </si>
  <si>
    <t>Laundry Detergent (Liquid/Solid)</t>
  </si>
  <si>
    <t>Paint/Laquer (Large Project)</t>
  </si>
  <si>
    <t>Paint/Laquer (Small Project)</t>
  </si>
  <si>
    <t>Pet Care</t>
  </si>
  <si>
    <t>Exposure Pathway Assessed</t>
  </si>
  <si>
    <t>Inhalation, Dermal</t>
  </si>
  <si>
    <t>Inhalation</t>
  </si>
  <si>
    <t>Dermal Spreadsheet Inputs</t>
  </si>
  <si>
    <t>Units</t>
  </si>
  <si>
    <t>Exposure Level</t>
  </si>
  <si>
    <t>Value</t>
  </si>
  <si>
    <t xml:space="preserve">Users </t>
  </si>
  <si>
    <t>Adult/Youth</t>
  </si>
  <si>
    <t>Frequency of Product Contact</t>
  </si>
  <si>
    <t>events/day</t>
  </si>
  <si>
    <t>events/year</t>
  </si>
  <si>
    <t>365, 300, 185</t>
  </si>
  <si>
    <t>Duration of Product Contact (Adults)</t>
  </si>
  <si>
    <t>min/event</t>
  </si>
  <si>
    <t>High</t>
  </si>
  <si>
    <t>Med</t>
  </si>
  <si>
    <t>Low</t>
  </si>
  <si>
    <t>Duration of Product Contact (Youth)</t>
  </si>
  <si>
    <t>Duration of Product Contact (Child)</t>
  </si>
  <si>
    <t>CEM Model Selection</t>
  </si>
  <si>
    <t>CEM Model Selected::</t>
  </si>
  <si>
    <t>Generic product E3</t>
  </si>
  <si>
    <t>Generic product E1</t>
  </si>
  <si>
    <t>Generic product E4</t>
  </si>
  <si>
    <t>Emission Model</t>
  </si>
  <si>
    <t>E4</t>
  </si>
  <si>
    <t>Inhalation Pathways:</t>
  </si>
  <si>
    <t>P_INH1</t>
  </si>
  <si>
    <t>Input Parameter</t>
  </si>
  <si>
    <t>Scenario Screen Parameters</t>
  </si>
  <si>
    <t xml:space="preserve">Weight Fraction </t>
  </si>
  <si>
    <t>(-)</t>
  </si>
  <si>
    <t>Initial Concentration of SVOC in Article</t>
  </si>
  <si>
    <t>Background Air Concentration</t>
  </si>
  <si>
    <t>Background Dust Concentration</t>
  </si>
  <si>
    <t>Product/Article Use Environment</t>
  </si>
  <si>
    <t>-</t>
  </si>
  <si>
    <t>Launrdy Room</t>
  </si>
  <si>
    <t>Outside</t>
  </si>
  <si>
    <t>Pathways</t>
  </si>
  <si>
    <t>Product Users</t>
  </si>
  <si>
    <t>Adult/Yout</t>
  </si>
  <si>
    <t>Activity Pattern</t>
  </si>
  <si>
    <t>Stay-At-Home</t>
  </si>
  <si>
    <t>User-defined Emission Rates</t>
  </si>
  <si>
    <t>Let CEM Estimate Emission Rate</t>
  </si>
  <si>
    <t>Use Near-field Zone? (E1, E2, E3 only)</t>
  </si>
  <si>
    <t>Use Near-field area in zone 1 (P_INH2)</t>
  </si>
  <si>
    <t>Do not use near field (P_INH1)</t>
  </si>
  <si>
    <t>Dermal Absorption or Permeability?</t>
  </si>
  <si>
    <t>Emission Factor Method (E1 only)</t>
  </si>
  <si>
    <t>Evaporation Time</t>
  </si>
  <si>
    <t>Product/Article Properties Screen Parameters</t>
  </si>
  <si>
    <t>Product/Article and Use Inputs</t>
  </si>
  <si>
    <t>User Defined Emission Rate</t>
  </si>
  <si>
    <t>mg/hr</t>
  </si>
  <si>
    <t>Density of Product/Article</t>
  </si>
  <si>
    <t xml:space="preserve">Surface Area of Article </t>
  </si>
  <si>
    <t>Thickness of Article Surface Layer</t>
  </si>
  <si>
    <t>cm</t>
  </si>
  <si>
    <t>Duration of Article Contact</t>
  </si>
  <si>
    <t xml:space="preserve">Area of Article mouthed </t>
  </si>
  <si>
    <t>Chronic and Acute Assessments</t>
  </si>
  <si>
    <t>Duration of Use (acute)</t>
  </si>
  <si>
    <t xml:space="preserve">Mass of Product Used Per Event </t>
  </si>
  <si>
    <t>g/event</t>
  </si>
  <si>
    <t>Frequency of Use (Chronic)</t>
  </si>
  <si>
    <t>events/yr</t>
  </si>
  <si>
    <t>Frequency of Use (acute)</t>
  </si>
  <si>
    <t>All Assessments</t>
  </si>
  <si>
    <t xml:space="preserve">Aerosol fraction </t>
  </si>
  <si>
    <t>unitless</t>
  </si>
  <si>
    <t xml:space="preserve">Fraction Product Ingested </t>
  </si>
  <si>
    <t>Inputs for Dermal and Ingestion Exposure</t>
  </si>
  <si>
    <t>Film Thickness on Skin</t>
  </si>
  <si>
    <t>Amount Retained on Skin</t>
  </si>
  <si>
    <t xml:space="preserve">Skin Permeability Coefficient </t>
  </si>
  <si>
    <t>cm/hr</t>
  </si>
  <si>
    <t>Chemical Migration Rate</t>
  </si>
  <si>
    <t>Thickness of Contact Layer</t>
  </si>
  <si>
    <t>Surface Loading</t>
  </si>
  <si>
    <t>Mouthing Transfer Efficiency</t>
  </si>
  <si>
    <t>(per event)</t>
  </si>
  <si>
    <t>Fraction of Chemical that is Dislodgeable</t>
  </si>
  <si>
    <t>Product Dilution Factor</t>
  </si>
  <si>
    <t>Transdermal Permeability Coefficient</t>
  </si>
  <si>
    <t>m/hr</t>
  </si>
  <si>
    <t>Absorption Fraction-Acute</t>
  </si>
  <si>
    <t>Absorption Fraction-Chronic</t>
  </si>
  <si>
    <t>Ingestion Fraction-RP</t>
  </si>
  <si>
    <t>Ingestion Fraction-Dust</t>
  </si>
  <si>
    <t>Ingestion Fraction-Abraded particle</t>
  </si>
  <si>
    <t>Chemical Half-life in Soil</t>
  </si>
  <si>
    <t>days</t>
  </si>
  <si>
    <t>Avg Molecule Difffusion per Contact</t>
  </si>
  <si>
    <t>cm/day</t>
  </si>
  <si>
    <t>Frequency of Article Contact</t>
  </si>
  <si>
    <t>Adherence Factor</t>
  </si>
  <si>
    <t>Environment Inputs</t>
  </si>
  <si>
    <t>Environment Property/Attribute</t>
  </si>
  <si>
    <t>Building Volume (Residence)</t>
  </si>
  <si>
    <t>Use Environment Volume</t>
  </si>
  <si>
    <t>Yard Area</t>
  </si>
  <si>
    <t>Air Exchange Rate, Zone 1 (Residence)</t>
  </si>
  <si>
    <t>Air Exchange Rate, Zone 2 (Residence)</t>
  </si>
  <si>
    <t>Interzone Ventilation Rate</t>
  </si>
  <si>
    <t>Area of Interior Surface</t>
  </si>
  <si>
    <t>Thickness of Interior Surface</t>
  </si>
  <si>
    <t>m</t>
  </si>
  <si>
    <t>Near Field Environmental Inputs</t>
  </si>
  <si>
    <t>Near Field Volume</t>
  </si>
  <si>
    <t>Far-Field Volume</t>
  </si>
  <si>
    <t xml:space="preserve">Air Exchange Rate at Near-field Boundary </t>
  </si>
  <si>
    <t>per hour</t>
  </si>
  <si>
    <t>Soil Properties</t>
  </si>
  <si>
    <t xml:space="preserve">Soil Mixing Depth </t>
  </si>
  <si>
    <t xml:space="preserve">Soil Density </t>
  </si>
  <si>
    <t>Soil Porosity</t>
  </si>
  <si>
    <t>Chronic Concentration in Soil/Powders</t>
  </si>
  <si>
    <t>mg/kg</t>
  </si>
  <si>
    <t>Acute Concentration in Soil/Powders</t>
  </si>
  <si>
    <t>Dust Parameter Inputs</t>
  </si>
  <si>
    <t>RP</t>
  </si>
  <si>
    <t xml:space="preserve">Deposition rate </t>
  </si>
  <si>
    <t xml:space="preserve">Resuspension rate </t>
  </si>
  <si>
    <t>Mass Generation Rate, Suspended</t>
  </si>
  <si>
    <t>Mass Generation Rate, Floor</t>
  </si>
  <si>
    <t>Radius of Particle</t>
  </si>
  <si>
    <t>Density of Particle</t>
  </si>
  <si>
    <t xml:space="preserve">Dust </t>
  </si>
  <si>
    <t>Abraded Particle</t>
  </si>
  <si>
    <t>Ambient RP Concentration</t>
  </si>
  <si>
    <t xml:space="preserve">Cleaning Frequency </t>
  </si>
  <si>
    <t>Cleaning Efficiency</t>
  </si>
  <si>
    <t xml:space="preserve">HVAC Filter Penetration </t>
  </si>
  <si>
    <t>Receptor Exposure Factors</t>
  </si>
  <si>
    <t xml:space="preserve">Exposure Duration - chronic </t>
  </si>
  <si>
    <t>years</t>
  </si>
  <si>
    <t>Exposure Duration - acute</t>
  </si>
  <si>
    <t>Mouthing Duration (Adult &gt;= 21 yrs)</t>
  </si>
  <si>
    <t>min/hour</t>
  </si>
  <si>
    <t>Mouthing Duration (Youth 16-20 yrs)</t>
  </si>
  <si>
    <t>Mouthing Duration (Youth 11-15 yrs)</t>
  </si>
  <si>
    <t>Mouthing Duration (Child 6-10 yrs)</t>
  </si>
  <si>
    <t>Mouthing Duration (Child 3-5 yrs)</t>
  </si>
  <si>
    <t>Mouthing Duration (Small Child 1-2 yrs)</t>
  </si>
  <si>
    <t>Mouthing Duration (Small Child &lt;1 yr)</t>
  </si>
  <si>
    <t>Article</t>
  </si>
  <si>
    <t>Clothing</t>
  </si>
  <si>
    <t>Bedding</t>
  </si>
  <si>
    <t>Soft Toys</t>
  </si>
  <si>
    <t>Plastic and rubber items meant to be mouthed</t>
  </si>
  <si>
    <t>Plastic and Rubber Toys</t>
  </si>
  <si>
    <t>Exposure Assessed</t>
  </si>
  <si>
    <t>Dermal</t>
  </si>
  <si>
    <t>Ingestion</t>
  </si>
  <si>
    <t>Ingestion, Dermal</t>
  </si>
  <si>
    <t>Article Location (Inhalation only)</t>
  </si>
  <si>
    <t>Bedroom</t>
  </si>
  <si>
    <t>Weight Fraction</t>
  </si>
  <si>
    <t>g/g</t>
  </si>
  <si>
    <t>Dermal &amp; Mouthing Spreadsheet Inputs</t>
  </si>
  <si>
    <t>Adults, Youth, Children</t>
  </si>
  <si>
    <t>Children</t>
  </si>
  <si>
    <t>Duration of Article Contact (Children)</t>
  </si>
  <si>
    <t>Duration of Article Contact (Youth)</t>
  </si>
  <si>
    <t>Duration of Article Contact (Adults)</t>
  </si>
  <si>
    <t>Chemical Migration Rate to Saliva</t>
  </si>
  <si>
    <t xml:space="preserve"> </t>
  </si>
  <si>
    <t>IECCU Emission Model Selection</t>
  </si>
  <si>
    <t>Building Configuration</t>
  </si>
  <si>
    <t>All Zones Conditioned</t>
  </si>
  <si>
    <t>Yes</t>
  </si>
  <si>
    <t>Case 2 (2 Zone)</t>
  </si>
  <si>
    <t>Zone 1 Volume</t>
  </si>
  <si>
    <t>Zone 2 Volume</t>
  </si>
  <si>
    <t>Ventilation</t>
  </si>
  <si>
    <t>From Zone 0 to Zone 1</t>
  </si>
  <si>
    <t>From Zone 1 to Zone 2</t>
  </si>
  <si>
    <t>From Zone 2 to Zone 0</t>
  </si>
  <si>
    <t>Sources</t>
  </si>
  <si>
    <t>Diffusion Model Inputs</t>
  </si>
  <si>
    <t>Zone ID</t>
  </si>
  <si>
    <t xml:space="preserve">Source Area </t>
  </si>
  <si>
    <t>Thickness</t>
  </si>
  <si>
    <t>Solid-air Partition Coefficient (k)</t>
  </si>
  <si>
    <t>Solid Phase Diffusion Coefficient (D)</t>
  </si>
  <si>
    <t>Gas-Phase Mass Transfer Coefficient (h)</t>
  </si>
  <si>
    <t>C0 (Enter same value for all slices)</t>
  </si>
  <si>
    <t>Simulation Conditions</t>
  </si>
  <si>
    <t>Simulation Duration</t>
  </si>
  <si>
    <t>Hours</t>
  </si>
  <si>
    <t>Number of Data Points</t>
  </si>
  <si>
    <t>Output Selections</t>
  </si>
  <si>
    <t>Air Concentration</t>
  </si>
  <si>
    <t>Dermal Calculations for Consumer Scenarios</t>
  </si>
  <si>
    <t>Product Name</t>
  </si>
  <si>
    <t>Figure Label</t>
  </si>
  <si>
    <t xml:space="preserve"> Dermal Contact (1=yes, 0=no)</t>
  </si>
  <si>
    <t>Chronic  Dose  ug/kg bw day - By Individual Age Group</t>
  </si>
  <si>
    <t xml:space="preserve"> Acute Dose ug/kg bw day - By Individual Age Group</t>
  </si>
  <si>
    <t>Chronic  Dose  ug/kg bw day - By Grouping</t>
  </si>
  <si>
    <t xml:space="preserve"> Acute Dose ug/kg bw day - By Grouping</t>
  </si>
  <si>
    <t xml:space="preserve">ADULTS &gt;21
</t>
  </si>
  <si>
    <t xml:space="preserve">YOUTHS (16-20)
</t>
  </si>
  <si>
    <t xml:space="preserve">YOUTHS (11 to &lt;15)
</t>
  </si>
  <si>
    <t xml:space="preserve">CHILDREN (6-&lt;10)
</t>
  </si>
  <si>
    <t xml:space="preserve">SMALL CHILDREN (3-&lt;6)
</t>
  </si>
  <si>
    <t xml:space="preserve">INFANTS (1-&lt;3)
</t>
  </si>
  <si>
    <t xml:space="preserve">INFANTS (&lt; 1)
</t>
  </si>
  <si>
    <t>D4 Weight Fraction</t>
  </si>
  <si>
    <t>Frequency (chronic)</t>
  </si>
  <si>
    <t>Frequency (acute)</t>
  </si>
  <si>
    <t>Film Thickness (cm)</t>
  </si>
  <si>
    <t>Absorption Fraction</t>
  </si>
  <si>
    <t>Contact Area</t>
  </si>
  <si>
    <t>ADULTS &gt;21</t>
  </si>
  <si>
    <t>YOUTHS (11-20)</t>
  </si>
  <si>
    <t>CHILDREN (1-10)</t>
  </si>
  <si>
    <r>
      <t>D4 Mass on Skin (mg/cm</t>
    </r>
    <r>
      <rPr>
        <b/>
        <vertAlign val="superscript"/>
        <sz val="11"/>
        <rFont val="Times New Roman"/>
        <family val="1"/>
      </rPr>
      <t>2</t>
    </r>
    <r>
      <rPr>
        <b/>
        <sz val="11"/>
        <rFont val="Times New Roman"/>
        <family val="1"/>
      </rPr>
      <t>)</t>
    </r>
  </si>
  <si>
    <t>Absorption Fraction (unitless)</t>
  </si>
  <si>
    <t>Inside of two hands (palms, fingers)</t>
  </si>
  <si>
    <t>Medium</t>
  </si>
  <si>
    <t>Inside of one hand (palms, fingers)</t>
  </si>
  <si>
    <t>Mid</t>
  </si>
  <si>
    <t>10% of Hands (some fingers)</t>
  </si>
  <si>
    <t>Paint/Lacquer (Large Project)</t>
  </si>
  <si>
    <t>Paint/Lacquer (Small Project)</t>
  </si>
  <si>
    <t>Article Name</t>
  </si>
  <si>
    <t>Contact Time Infants and Children (min/day)</t>
  </si>
  <si>
    <t>Contact Time Teens (min/day)</t>
  </si>
  <si>
    <t>Contact Time Adults (min/day)</t>
  </si>
  <si>
    <t>Dp (m2/min)</t>
  </si>
  <si>
    <t>Arts and Crafts (jewelry making, modeling clay)</t>
  </si>
  <si>
    <t>Entire Body</t>
  </si>
  <si>
    <t>50% of Entire Body Surface Area</t>
  </si>
  <si>
    <t>25% of Face, Hands, and Arms</t>
  </si>
  <si>
    <t>High (refined)</t>
  </si>
  <si>
    <t>Not Assessed</t>
  </si>
  <si>
    <t>Rubber Footwear Components</t>
  </si>
  <si>
    <t>LOOKUP TABLES AND SUPPLEMENTARY CALCULATIONS</t>
  </si>
  <si>
    <t>Surface Area/BW ratios</t>
  </si>
  <si>
    <t>Population</t>
  </si>
  <si>
    <t>Both Hands (entire surface area)</t>
  </si>
  <si>
    <t>Flux from liquid products</t>
  </si>
  <si>
    <t>Flux from solid articles products</t>
  </si>
  <si>
    <t>Flux Equation</t>
  </si>
  <si>
    <t>Flux Value</t>
  </si>
  <si>
    <t>Kp_cw (m/hr)</t>
  </si>
  <si>
    <t>kp_w</t>
  </si>
  <si>
    <t>kp_b</t>
  </si>
  <si>
    <t>kp_g</t>
  </si>
  <si>
    <t xml:space="preserve">Product </t>
  </si>
  <si>
    <t>WF (%)</t>
  </si>
  <si>
    <t>Mass of Product Used (g)</t>
  </si>
  <si>
    <r>
      <t>Acute Frequency of Use (day</t>
    </r>
    <r>
      <rPr>
        <vertAlign val="superscript"/>
        <sz val="11"/>
        <color theme="1"/>
        <rFont val="Times New Roman"/>
        <family val="1"/>
      </rPr>
      <t>-1</t>
    </r>
    <r>
      <rPr>
        <sz val="11"/>
        <color theme="1"/>
        <rFont val="Times New Roman"/>
        <family val="1"/>
      </rPr>
      <t>)</t>
    </r>
  </si>
  <si>
    <r>
      <t>Chronic Frequency of Use (year</t>
    </r>
    <r>
      <rPr>
        <vertAlign val="superscript"/>
        <sz val="11"/>
        <color theme="1"/>
        <rFont val="Times New Roman"/>
        <family val="1"/>
      </rPr>
      <t>-1</t>
    </r>
    <r>
      <rPr>
        <sz val="11"/>
        <color theme="1"/>
        <rFont val="Times New Roman"/>
        <family val="1"/>
      </rPr>
      <t>)</t>
    </r>
  </si>
  <si>
    <t>Room of Use</t>
  </si>
  <si>
    <t>Notes For:</t>
  </si>
  <si>
    <t xml:space="preserve">Adhesives and Sealants </t>
  </si>
  <si>
    <t>x</t>
  </si>
  <si>
    <t>Calculated by taking table 17-4 and 17-6, (ounces/year)/(uses/year) and converting ounces to grams to achieve grams per use. The 5th, 50th, and 95th percentile were used for low, med, and high, and all divided by the median frequency of use to prevent the medium exposure scenario from being larger than the high exposure scenario</t>
  </si>
  <si>
    <t>No clear data. Reasonable assumptions would be: low=1/365, med=1, high=3 (i.e., the mean person accomplishes all of their adhesive projects in one day)</t>
  </si>
  <si>
    <t xml:space="preserve">EPA EFH ch17 pg 17-16. Uses per year. Chose median, 5% percentile, and 95% percentile to be represented. </t>
  </si>
  <si>
    <t>Adhesives and Sealants likely a universal use</t>
  </si>
  <si>
    <t>Medium estimate assumed 1 interation per day</t>
  </si>
  <si>
    <t>Low estimate reasonable to assume 1 day per year</t>
  </si>
  <si>
    <t>EPA EFH ch17 table 17-4. Took the median of aerosol spray paint for cars, auto spray primers, spray lubricant for cars, and tire/hubcap cleaners to approximate use of wax and tire shine products. Median of all percentiles was taken for point estimate of total Auto Care</t>
  </si>
  <si>
    <t>Room of use assumed to be garage</t>
  </si>
  <si>
    <t>EPA EFH Ch17 pg 17-35, mean, min, max of overall use of all-purpose cleaner, and frequency of use on daily scale</t>
  </si>
  <si>
    <t>EPA EFH ch17 pg 17-24 possible</t>
  </si>
  <si>
    <t>Cleaning products likely a universal use</t>
  </si>
  <si>
    <t>Paint and Lacquers</t>
  </si>
  <si>
    <t>EPA EFH ch17 table 17-4. Took the median of the three paint/lacquer options in EPA EFH: latex paint, oil paint, and wood stains/varnishes/finishes. I believe these are a fair representation of household 'paint and lacquer' use</t>
  </si>
  <si>
    <t>Paints and lacquers likely a universal use</t>
  </si>
  <si>
    <t>Parameter Inputs</t>
  </si>
  <si>
    <t>Parameter Notes</t>
  </si>
  <si>
    <t xml:space="preserve">Inhalation </t>
  </si>
  <si>
    <t>Mouthing</t>
  </si>
  <si>
    <t xml:space="preserve"> Dermal Contact time (min/day)</t>
  </si>
  <si>
    <r>
      <t>Acute Dermal Contact Frequency (day</t>
    </r>
    <r>
      <rPr>
        <vertAlign val="superscript"/>
        <sz val="11"/>
        <color theme="1"/>
        <rFont val="Times New Roman"/>
        <family val="1"/>
      </rPr>
      <t>-1</t>
    </r>
    <r>
      <rPr>
        <sz val="11"/>
        <color theme="1"/>
        <rFont val="Times New Roman"/>
        <family val="1"/>
      </rPr>
      <t>)</t>
    </r>
  </si>
  <si>
    <r>
      <t>Chronic Dermal Contact Frequency (year</t>
    </r>
    <r>
      <rPr>
        <vertAlign val="superscript"/>
        <sz val="11"/>
        <color theme="1"/>
        <rFont val="Times New Roman"/>
        <family val="1"/>
      </rPr>
      <t>-1</t>
    </r>
    <r>
      <rPr>
        <sz val="11"/>
        <color theme="1"/>
        <rFont val="Times New Roman"/>
        <family val="1"/>
      </rPr>
      <t>)</t>
    </r>
  </si>
  <si>
    <t>Article Surface Area (m2)</t>
  </si>
  <si>
    <t>Notes for:</t>
  </si>
  <si>
    <t>Article Surface Area</t>
  </si>
  <si>
    <t>24 hrs</t>
  </si>
  <si>
    <t>Average between adult men and adult women, trunk, legs, arms, feet, head and hands for high exposure (approximating total coverage). EPA EFH table 7-2</t>
  </si>
  <si>
    <t>Day</t>
  </si>
  <si>
    <t>Average between adult men and adult women, only trunk, legs, arms, feet for medium exposure (approximating standard layer). EPA EFH table 7-2</t>
  </si>
  <si>
    <t>1/3 of 204 hrs</t>
  </si>
  <si>
    <t>Average between adult men and adult women, only trunk and legs for low exposure (approximating under/base layer). EPA EFH table 7-2</t>
  </si>
  <si>
    <t>Assumed to be synonymous with time spent sleeping. EPA EFH table 16-26 full population, 95th percentile</t>
  </si>
  <si>
    <t xml:space="preserve">Assuming that body coverage with bedding is similar to clothing. High scenario represents entire body contact (i.e., nude). </t>
  </si>
  <si>
    <t>EPA EFH table 16-26 full population, 50th percentile</t>
  </si>
  <si>
    <t xml:space="preserve">Medium scenario represents contact with body excluding trunk and legs (i.e., partial coverage nighttime clothing) </t>
  </si>
  <si>
    <t>EPA EFH table 16-26 full population, 5th percentile</t>
  </si>
  <si>
    <t>Low scenario represents contact with body excluding trunk, arms, legs, and feet (i.e., full nighttime clothing)</t>
  </si>
  <si>
    <t>Toys</t>
  </si>
  <si>
    <t>Table 7-33, duration(mins/hours)*(24 hours/day). 95th percentile value</t>
  </si>
  <si>
    <t>This seems really high, but the math is simple. EPA EFH table 7-33 reports a range and median of toy contacts/hour for children, extrapolating to a day.</t>
  </si>
  <si>
    <t>Table 7-33, duration(mins/hours)*(24 hours/day). Median value</t>
  </si>
  <si>
    <t>Table 7-33, duration(mins/hours)*(24 hours/day). Minimum value in table is 0, here is assumed 1 minute per hour per day</t>
  </si>
  <si>
    <t xml:space="preserve">, </t>
  </si>
  <si>
    <t>Chemical Migration Rate (ug/10 cm2/min)</t>
  </si>
  <si>
    <t>Mouthing Duration Infant1 (min/day)</t>
  </si>
  <si>
    <t>Mouthing Duration Infant2 (min/day)</t>
  </si>
  <si>
    <t>Mouthing Duration Child1 (min/day)</t>
  </si>
  <si>
    <t>Mouthing Duration Child2 (min/day)</t>
  </si>
  <si>
    <t>Mouthing Duration Youth1 (min/day)</t>
  </si>
  <si>
    <t>Mouthing Duration Youth2 (min/day)</t>
  </si>
  <si>
    <t>Mouthing Duration Adult (min/day)</t>
  </si>
  <si>
    <t>Infant1 Daily Dose (mg/kg/day)</t>
  </si>
  <si>
    <t>Infant2 Daily Dose (mg/kg/day)</t>
  </si>
  <si>
    <t>Child1 Daily Dose (mg/kg/day)</t>
  </si>
  <si>
    <t>Child2 Daily Dose (mg/kg/day)</t>
  </si>
  <si>
    <t>Youth1 Daily Dose (ug/kg/day)</t>
  </si>
  <si>
    <t>Youth2 Daily Dose (ug/kg/day)</t>
  </si>
  <si>
    <t>Adult Daily Dose (ug/kg/day)</t>
  </si>
  <si>
    <t>Body Weight Lookup Table (From EFH Table 8-1)</t>
  </si>
  <si>
    <t>Mean Body Weight (Kg)</t>
  </si>
  <si>
    <t>Infant1</t>
  </si>
  <si>
    <t>Infant2</t>
  </si>
  <si>
    <t>Child1</t>
  </si>
  <si>
    <t>Child2</t>
  </si>
  <si>
    <t>Youth1</t>
  </si>
  <si>
    <t>Youth2</t>
  </si>
  <si>
    <t>Adult</t>
  </si>
  <si>
    <t>Product_Name</t>
  </si>
  <si>
    <t>Product_Article</t>
  </si>
  <si>
    <t>INH Models</t>
  </si>
  <si>
    <t>ING Models</t>
  </si>
  <si>
    <t>DER Models</t>
  </si>
  <si>
    <t>Product_Default_Environment</t>
  </si>
  <si>
    <t>Surface_Area</t>
  </si>
  <si>
    <t>Surface_Thickness</t>
  </si>
  <si>
    <t>E6</t>
  </si>
  <si>
    <t>A_INH1</t>
  </si>
  <si>
    <t>A_ING1, A_ING2, A_ING3</t>
  </si>
  <si>
    <t>A_DER1, A_DER2, A_DER3</t>
  </si>
  <si>
    <t>Residence - Garage</t>
  </si>
  <si>
    <t>Electronic appliances</t>
  </si>
  <si>
    <t>Residence - Kitchen</t>
  </si>
  <si>
    <t>Fabrics: blanket, comfort object, fabric doll, stuffed animal</t>
  </si>
  <si>
    <t>Residence - Bedroom</t>
  </si>
  <si>
    <t>Fabrics: clothing</t>
  </si>
  <si>
    <t>Fabrics: curtains, rugs, wall coverings</t>
  </si>
  <si>
    <t>Fabrics: furniture covers, car seat covers, tablecloths</t>
  </si>
  <si>
    <t>Residence - Living room</t>
  </si>
  <si>
    <t>Generic article</t>
  </si>
  <si>
    <t>Leather clothing</t>
  </si>
  <si>
    <t>Residence - Utility room</t>
  </si>
  <si>
    <t>Leather furniture</t>
  </si>
  <si>
    <t>Metal articles: jewelry and other routine contact articles</t>
  </si>
  <si>
    <t>0..01</t>
  </si>
  <si>
    <t>Paper articles: with potential for routine contact (diapers, wipes, newspaper, magazine, paper towels)</t>
  </si>
  <si>
    <t>Residence - Bathroom</t>
  </si>
  <si>
    <t>Plastic articles: foam insulation</t>
  </si>
  <si>
    <t>Plastic articles: furniture (sofa, chairs, tables)</t>
  </si>
  <si>
    <t>Plastic articles: mattresses</t>
  </si>
  <si>
    <t>Plastic articles: objects intended by mouthed (pacifiers, teethers, toy food)</t>
  </si>
  <si>
    <t>Plastic articles: other objects with potential for routine contact (toys, foam blocks, tents)</t>
  </si>
  <si>
    <t>Plastic articles: vinyl flooring</t>
  </si>
  <si>
    <t>Rubber articles: flooring, rubber mats</t>
  </si>
  <si>
    <t>Rubber articles: with potential for routine contact (baby bottle nipples, pacifiers, toys)</t>
  </si>
  <si>
    <t>Wood articles: hardwood floors, furniture</t>
  </si>
  <si>
    <t>Wood articles: with potential for routine contact (toys, pencils)</t>
  </si>
  <si>
    <t>Abrasive powder cleaners</t>
  </si>
  <si>
    <t>None</t>
  </si>
  <si>
    <t/>
  </si>
  <si>
    <t>P_DER3</t>
  </si>
  <si>
    <t>Adhesive/caulk removers</t>
  </si>
  <si>
    <t>E2</t>
  </si>
  <si>
    <t>P_INH1, P_INH2</t>
  </si>
  <si>
    <t>P_DER2a, P_DER2b</t>
  </si>
  <si>
    <t>Aerosol spray paints</t>
  </si>
  <si>
    <t>E3</t>
  </si>
  <si>
    <t>All-purpose liquid cleaner (note, diluted or not-diluted)</t>
  </si>
  <si>
    <t>E1</t>
  </si>
  <si>
    <t>All-purpose spray cleaner</t>
  </si>
  <si>
    <t>All-purpose waxes and polishes (furniture, floor, etc.)</t>
  </si>
  <si>
    <t>Anti-freeze liquids</t>
  </si>
  <si>
    <t>Anti-static spray fabric protector</t>
  </si>
  <si>
    <t>Bubble solution</t>
  </si>
  <si>
    <t>Caulk (sealant)</t>
  </si>
  <si>
    <t>Continuous action air fresheners</t>
  </si>
  <si>
    <t>E5</t>
  </si>
  <si>
    <t>Crafting paint (direct and incidental contact)</t>
  </si>
  <si>
    <t>Degreasers</t>
  </si>
  <si>
    <t>De-icing liquids</t>
  </si>
  <si>
    <t>De-icing solids</t>
  </si>
  <si>
    <t>P_ING2</t>
  </si>
  <si>
    <t>Drain and toilet cleaners</t>
  </si>
  <si>
    <t>Drinking water treatment products</t>
  </si>
  <si>
    <t>Exterior car wash and soaps</t>
  </si>
  <si>
    <t>Exterior car wax and polish</t>
  </si>
  <si>
    <t>Fertilizers</t>
  </si>
  <si>
    <t>Fillers and putties</t>
  </si>
  <si>
    <t>Generic product E1 + vapor to skin</t>
  </si>
  <si>
    <t>Generic product E2</t>
  </si>
  <si>
    <t>Generic product E2 + vapor to skin</t>
  </si>
  <si>
    <t>Generic product E3 + vapor to skin</t>
  </si>
  <si>
    <t>Generic product E4 + vapor to skin</t>
  </si>
  <si>
    <t>Generic product E5</t>
  </si>
  <si>
    <t>Generic product E5 + vapor to skin</t>
  </si>
  <si>
    <t>Generic product in soil or powder</t>
  </si>
  <si>
    <t>Glues and adhesives (large scale)</t>
  </si>
  <si>
    <t>Glues and adhesives (small scale)</t>
  </si>
  <si>
    <t>Hand dishwashing soap/liquid detergent</t>
  </si>
  <si>
    <t>Inks applied to skin</t>
  </si>
  <si>
    <t>Office/School</t>
  </si>
  <si>
    <t>Instant action air fresheners</t>
  </si>
  <si>
    <t>Interior car care cleaning and maintenance products</t>
  </si>
  <si>
    <t>Lacquers and stains</t>
  </si>
  <si>
    <t>Laundry detergent (liquid)</t>
  </si>
  <si>
    <t>Residence - Laundry room</t>
  </si>
  <si>
    <t>Laundry detergent (solid/granule)</t>
  </si>
  <si>
    <t>Liquid body soap</t>
  </si>
  <si>
    <t>Liquid fuels/motor oil</t>
  </si>
  <si>
    <t>Liquid hand soap</t>
  </si>
  <si>
    <t>Liquid photographic processing solutions</t>
  </si>
  <si>
    <t>product</t>
  </si>
  <si>
    <t>Liquid-based concrete, cement, plaster (prior to hardening)</t>
  </si>
  <si>
    <t>P_DER2a, P_DER2b, P_DER3</t>
  </si>
  <si>
    <t>Lubricants (non-spray)</t>
  </si>
  <si>
    <t>Lubricants (spray)</t>
  </si>
  <si>
    <t>Machine dishwashing detergent (liquid/gel)</t>
  </si>
  <si>
    <t>Machine dishwashing detergent (solid/granule)</t>
  </si>
  <si>
    <t>Paint strippers/removers</t>
  </si>
  <si>
    <t>Paint thinners</t>
  </si>
  <si>
    <t>Powder based coatings, pastels, crafts</t>
  </si>
  <si>
    <t>Shoe polish, shoe wax</t>
  </si>
  <si>
    <t>Solid bar soap (body)</t>
  </si>
  <si>
    <t>Solid bar soap (hands)</t>
  </si>
  <si>
    <t>Solvent-based wall paint</t>
  </si>
  <si>
    <t>Spray fixative and finishing spray coatings</t>
  </si>
  <si>
    <t>Textile and fabric dyes</t>
  </si>
  <si>
    <t>Textile and leather finishing products (stain remover, waterproofing agent, leather tanning)</t>
  </si>
  <si>
    <t>Touch up auto paint</t>
  </si>
  <si>
    <t>Varnishes and floor finishes</t>
  </si>
  <si>
    <t>Vehicular or appliance fuels</t>
  </si>
  <si>
    <t>Water-based wall paint</t>
  </si>
  <si>
    <t>Environment</t>
  </si>
  <si>
    <t>Vol_Building</t>
  </si>
  <si>
    <t>Vol_Zone1</t>
  </si>
  <si>
    <t>Area_yard</t>
  </si>
  <si>
    <t>AER_Zone1</t>
  </si>
  <si>
    <t>AER_Zone2</t>
  </si>
  <si>
    <t>Q_z12</t>
  </si>
  <si>
    <t>A_int</t>
  </si>
  <si>
    <t>int_Thick</t>
  </si>
  <si>
    <t>Vnf</t>
  </si>
  <si>
    <t>AER_nf_ff</t>
  </si>
  <si>
    <t>Depth_soil</t>
  </si>
  <si>
    <t>rho_soil</t>
  </si>
  <si>
    <t>por_soil</t>
  </si>
  <si>
    <t>C_soilcr</t>
  </si>
  <si>
    <t>C_soilac</t>
  </si>
  <si>
    <t>Whole House</t>
  </si>
  <si>
    <t>Living Room</t>
  </si>
  <si>
    <t>School</t>
  </si>
  <si>
    <t>Automobile</t>
  </si>
  <si>
    <t>Consumer Conditions of Use</t>
  </si>
  <si>
    <t>Description</t>
  </si>
  <si>
    <t>Mouthing Calcs</t>
  </si>
  <si>
    <r>
      <t>Octanol/air partition coefficient (log K</t>
    </r>
    <r>
      <rPr>
        <vertAlign val="subscript"/>
        <sz val="11"/>
        <color rgb="FF111111"/>
        <rFont val="Times New Roman"/>
        <family val="1"/>
      </rPr>
      <t>OA</t>
    </r>
    <r>
      <rPr>
        <sz val="11"/>
        <color rgb="FF111111"/>
        <rFont val="Times New Roman"/>
        <family val="1"/>
      </rPr>
      <t>)</t>
    </r>
  </si>
  <si>
    <r>
      <t>m</t>
    </r>
    <r>
      <rPr>
        <vertAlign val="superscript"/>
        <sz val="11"/>
        <color theme="1"/>
        <rFont val="Times New Roman"/>
        <family val="1"/>
      </rPr>
      <t>3</t>
    </r>
  </si>
  <si>
    <r>
      <t>m</t>
    </r>
    <r>
      <rPr>
        <vertAlign val="superscript"/>
        <sz val="11"/>
        <color theme="1"/>
        <rFont val="Times New Roman"/>
        <family val="1"/>
      </rPr>
      <t>3</t>
    </r>
    <r>
      <rPr>
        <sz val="11"/>
        <color theme="1"/>
        <rFont val="Times New Roman"/>
        <family val="1"/>
      </rPr>
      <t>/hour</t>
    </r>
  </si>
  <si>
    <t>Plastic and Rubber items meant to be mouthed</t>
  </si>
  <si>
    <r>
      <t>DA (mg/cm</t>
    </r>
    <r>
      <rPr>
        <b/>
        <vertAlign val="superscript"/>
        <sz val="11"/>
        <color theme="1"/>
        <rFont val="Times New Roman"/>
        <family val="1"/>
      </rPr>
      <t>2</t>
    </r>
    <r>
      <rPr>
        <b/>
        <sz val="11"/>
        <color theme="1"/>
        <rFont val="Times New Roman"/>
        <family val="1"/>
      </rPr>
      <t>)</t>
    </r>
  </si>
  <si>
    <r>
      <t>Dp (m</t>
    </r>
    <r>
      <rPr>
        <b/>
        <vertAlign val="superscript"/>
        <sz val="11"/>
        <rFont val="Times New Roman"/>
        <family val="1"/>
      </rPr>
      <t>2</t>
    </r>
    <r>
      <rPr>
        <b/>
        <sz val="11"/>
        <rFont val="Times New Roman"/>
        <family val="1"/>
      </rPr>
      <t>/min)</t>
    </r>
  </si>
  <si>
    <r>
      <t>Density (g/cm</t>
    </r>
    <r>
      <rPr>
        <b/>
        <vertAlign val="superscript"/>
        <sz val="11"/>
        <rFont val="Times New Roman"/>
        <family val="1"/>
      </rPr>
      <t>3</t>
    </r>
    <r>
      <rPr>
        <b/>
        <sz val="11"/>
        <rFont val="Times New Roman"/>
        <family val="1"/>
      </rPr>
      <t>)</t>
    </r>
  </si>
  <si>
    <r>
      <rPr>
        <b/>
        <sz val="11"/>
        <rFont val="Times New Roman"/>
        <family val="1"/>
      </rPr>
      <t>High-End Absorption</t>
    </r>
    <r>
      <rPr>
        <sz val="11"/>
        <rFont val="Times New Roman"/>
        <family val="1"/>
      </rPr>
      <t xml:space="preserve"> </t>
    </r>
  </si>
  <si>
    <r>
      <rPr>
        <b/>
        <sz val="11"/>
        <rFont val="Times New Roman"/>
        <family val="1"/>
      </rPr>
      <t>Midpoint Absorption</t>
    </r>
    <r>
      <rPr>
        <sz val="11"/>
        <rFont val="Times New Roman"/>
        <family val="1"/>
      </rPr>
      <t xml:space="preserve"> </t>
    </r>
  </si>
  <si>
    <t xml:space="preserve"> Dose per Event (mg/kg bw)</t>
  </si>
  <si>
    <t>Chronic Dose (mg/kg bw year)</t>
  </si>
  <si>
    <t>SMALL CHILDREN (3-&lt;6)</t>
  </si>
  <si>
    <t xml:space="preserve"> Acute Dose (mg/kg bw day)</t>
  </si>
  <si>
    <t>Duration of Dermal Contact (Mins per Contact Event)</t>
  </si>
  <si>
    <t>Arts and Crafts (jewelry making, putties)</t>
  </si>
  <si>
    <t>Textile and apparel</t>
  </si>
  <si>
    <t>Soft toys</t>
  </si>
  <si>
    <t>Plastic and rubber toys</t>
  </si>
  <si>
    <r>
      <t>Mouthing Area (cm</t>
    </r>
    <r>
      <rPr>
        <b/>
        <vertAlign val="superscript"/>
        <sz val="11"/>
        <color theme="1"/>
        <rFont val="Times New Roman"/>
        <family val="1"/>
      </rPr>
      <t>2</t>
    </r>
    <r>
      <rPr>
        <b/>
        <sz val="11"/>
        <color theme="1"/>
        <rFont val="Times New Roman"/>
        <family val="1"/>
      </rPr>
      <t>)</t>
    </r>
  </si>
  <si>
    <t>1–3 Months</t>
  </si>
  <si>
    <t>3–6 Months</t>
  </si>
  <si>
    <t>6–9 Months</t>
  </si>
  <si>
    <t>9–12 Months</t>
  </si>
  <si>
    <t>12–15 Months</t>
  </si>
  <si>
    <t>15–18 Months</t>
  </si>
  <si>
    <t>18–21 Months</t>
  </si>
  <si>
    <t>21–24 Months</t>
  </si>
  <si>
    <t>2 Years</t>
  </si>
  <si>
    <t>3 Years</t>
  </si>
  <si>
    <t>4 Years</t>
  </si>
  <si>
    <t>5 Years</t>
  </si>
  <si>
    <t>CEM Age Group: Infants 1–2 Years</t>
  </si>
  <si>
    <t>CEM Age Group: Small Child 3–5 Years</t>
  </si>
  <si>
    <t>Other object</t>
  </si>
  <si>
    <t>Dummy/pacifier</t>
  </si>
  <si>
    <t>Estimated Mean Daily Mouthing Duration Values from Table 4-23 in Exposure Factors Handbook
(Source: Smith and Norris (2003))</t>
  </si>
  <si>
    <t xml:space="preserve"> Density of Common Materials</t>
  </si>
  <si>
    <r>
      <t>Density (g/cm</t>
    </r>
    <r>
      <rPr>
        <b/>
        <vertAlign val="superscript"/>
        <sz val="11"/>
        <color theme="1"/>
        <rFont val="Times New Roman"/>
        <family val="1"/>
      </rPr>
      <t>3</t>
    </r>
    <r>
      <rPr>
        <b/>
        <sz val="11"/>
        <color theme="1"/>
        <rFont val="Times New Roman"/>
        <family val="1"/>
      </rPr>
      <t>)</t>
    </r>
  </si>
  <si>
    <t>See table on right</t>
  </si>
  <si>
    <t>Hard plastic (ABS)</t>
  </si>
  <si>
    <t>Flexible plastics (PET)</t>
  </si>
  <si>
    <t>Solid wood (oak)</t>
  </si>
  <si>
    <t>Pressed wood</t>
  </si>
  <si>
    <t>Aurisano et al. (2020)</t>
  </si>
  <si>
    <t>Li et al. (2018)</t>
  </si>
  <si>
    <t xml:space="preserve">Overall       </t>
  </si>
  <si>
    <t>PVC insulation layer of non-sheathed copper
Polyvinyl chloride cable</t>
  </si>
  <si>
    <r>
      <t>mg/cm</t>
    </r>
    <r>
      <rPr>
        <vertAlign val="superscript"/>
        <sz val="11"/>
        <color theme="1"/>
        <rFont val="Times New Roman"/>
        <family val="1"/>
      </rPr>
      <t>3</t>
    </r>
  </si>
  <si>
    <r>
      <t>mg/m</t>
    </r>
    <r>
      <rPr>
        <vertAlign val="superscript"/>
        <sz val="11"/>
        <color theme="1"/>
        <rFont val="Times New Roman"/>
        <family val="1"/>
      </rPr>
      <t>3</t>
    </r>
  </si>
  <si>
    <t>µg/mg</t>
  </si>
  <si>
    <r>
      <t>g/cm</t>
    </r>
    <r>
      <rPr>
        <vertAlign val="superscript"/>
        <sz val="11"/>
        <color theme="1"/>
        <rFont val="Times New Roman"/>
        <family val="1"/>
      </rPr>
      <t>3</t>
    </r>
    <r>
      <rPr>
        <sz val="11"/>
        <color theme="1"/>
        <rFont val="Times New Roman"/>
        <family val="1"/>
      </rPr>
      <t xml:space="preserve"> = g/ml</t>
    </r>
  </si>
  <si>
    <r>
      <t>m</t>
    </r>
    <r>
      <rPr>
        <vertAlign val="superscript"/>
        <sz val="11"/>
        <color theme="1"/>
        <rFont val="Times New Roman"/>
        <family val="1"/>
      </rPr>
      <t>2</t>
    </r>
  </si>
  <si>
    <r>
      <t>cm</t>
    </r>
    <r>
      <rPr>
        <vertAlign val="superscript"/>
        <sz val="11"/>
        <color theme="1"/>
        <rFont val="Times New Roman"/>
        <family val="1"/>
      </rPr>
      <t>2</t>
    </r>
  </si>
  <si>
    <r>
      <t>mg/cm</t>
    </r>
    <r>
      <rPr>
        <vertAlign val="superscript"/>
        <sz val="11"/>
        <color theme="1"/>
        <rFont val="Times New Roman"/>
        <family val="1"/>
      </rPr>
      <t>2</t>
    </r>
  </si>
  <si>
    <r>
      <t>mg/cm</t>
    </r>
    <r>
      <rPr>
        <vertAlign val="superscript"/>
        <sz val="11"/>
        <color theme="1"/>
        <rFont val="Times New Roman"/>
        <family val="1"/>
      </rPr>
      <t>2</t>
    </r>
    <r>
      <rPr>
        <sz val="11"/>
        <color theme="1"/>
        <rFont val="Times New Roman"/>
        <family val="1"/>
      </rPr>
      <t>/hr</t>
    </r>
  </si>
  <si>
    <r>
      <t>g/cm</t>
    </r>
    <r>
      <rPr>
        <vertAlign val="superscript"/>
        <sz val="11"/>
        <color theme="1"/>
        <rFont val="Times New Roman"/>
        <family val="1"/>
      </rPr>
      <t>2</t>
    </r>
  </si>
  <si>
    <r>
      <t>mg/cm</t>
    </r>
    <r>
      <rPr>
        <vertAlign val="superscript"/>
        <sz val="11"/>
        <color theme="1"/>
        <rFont val="Times New Roman"/>
        <family val="1"/>
      </rPr>
      <t xml:space="preserve">2 </t>
    </r>
    <r>
      <rPr>
        <sz val="11"/>
        <color theme="1"/>
        <rFont val="Times New Roman"/>
        <family val="1"/>
      </rPr>
      <t>×</t>
    </r>
    <r>
      <rPr>
        <vertAlign val="superscript"/>
        <sz val="11"/>
        <color theme="1"/>
        <rFont val="Times New Roman"/>
        <family val="1"/>
      </rPr>
      <t xml:space="preserve"> </t>
    </r>
    <r>
      <rPr>
        <sz val="11"/>
        <color theme="1"/>
        <rFont val="Times New Roman"/>
        <family val="1"/>
      </rPr>
      <t>event</t>
    </r>
  </si>
  <si>
    <r>
      <t>hr</t>
    </r>
    <r>
      <rPr>
        <vertAlign val="superscript"/>
        <sz val="11"/>
        <color theme="1"/>
        <rFont val="Times New Roman"/>
        <family val="1"/>
      </rPr>
      <t>–1</t>
    </r>
  </si>
  <si>
    <r>
      <t>m</t>
    </r>
    <r>
      <rPr>
        <vertAlign val="superscript"/>
        <sz val="11"/>
        <color theme="1"/>
        <rFont val="Times New Roman"/>
        <family val="1"/>
      </rPr>
      <t>3</t>
    </r>
    <r>
      <rPr>
        <sz val="11"/>
        <color theme="1"/>
        <rFont val="Times New Roman"/>
        <family val="1"/>
      </rPr>
      <t>/hr</t>
    </r>
  </si>
  <si>
    <r>
      <t>kg/m</t>
    </r>
    <r>
      <rPr>
        <vertAlign val="superscript"/>
        <sz val="11"/>
        <color theme="1"/>
        <rFont val="Times New Roman"/>
        <family val="1"/>
      </rPr>
      <t>3</t>
    </r>
  </si>
  <si>
    <r>
      <t>µg/10 cm</t>
    </r>
    <r>
      <rPr>
        <vertAlign val="superscript"/>
        <sz val="11"/>
        <color theme="1"/>
        <rFont val="Times New Roman"/>
        <family val="1"/>
      </rPr>
      <t>2</t>
    </r>
    <r>
      <rPr>
        <sz val="11"/>
        <color theme="1"/>
        <rFont val="Times New Roman"/>
        <family val="1"/>
      </rPr>
      <t>/min</t>
    </r>
  </si>
  <si>
    <r>
      <t>m</t>
    </r>
    <r>
      <rPr>
        <vertAlign val="superscript"/>
        <sz val="11"/>
        <color theme="1"/>
        <rFont val="Times New Roman"/>
        <family val="1"/>
      </rPr>
      <t>2</t>
    </r>
    <r>
      <rPr>
        <sz val="11"/>
        <color theme="1"/>
        <rFont val="Times New Roman"/>
        <family val="1"/>
      </rPr>
      <t>/hr</t>
    </r>
  </si>
  <si>
    <t>µg/m3</t>
  </si>
  <si>
    <t>Mouthing Duration (Child 6–10 Years)</t>
  </si>
  <si>
    <t>Mouthing Duration (Youth 11–15 Years)</t>
  </si>
  <si>
    <t>Mouthing Duration (Adult 21+ Years)</t>
  </si>
  <si>
    <t>Mouthing Duration (Youth 16–20 Years)</t>
  </si>
  <si>
    <t>Mouthing Duration (Infant 1–2 Years)</t>
  </si>
  <si>
    <t>Mouthing Duration (Small Child 3–5 Years)</t>
  </si>
  <si>
    <t>Mouthing Duration (Infant &lt;1 Year)</t>
  </si>
  <si>
    <t>WF Calculations</t>
  </si>
  <si>
    <t>0.05–0.1</t>
  </si>
  <si>
    <t>0.1–1</t>
  </si>
  <si>
    <t>1–3</t>
  </si>
  <si>
    <t>0.03–0.22</t>
  </si>
  <si>
    <t>1–5</t>
  </si>
  <si>
    <t>5–10</t>
  </si>
  <si>
    <t>2.5–10</t>
  </si>
  <si>
    <t>15–20</t>
  </si>
  <si>
    <t>0.05–1</t>
  </si>
  <si>
    <t>10–25</t>
  </si>
  <si>
    <t>7–13</t>
  </si>
  <si>
    <t>SDS (TPS)/Tech Specs</t>
  </si>
  <si>
    <t>83 ml tube, 300 ml cartridge = 89–321 g</t>
  </si>
  <si>
    <t>3–10 fl oz tube = 95–316 g</t>
  </si>
  <si>
    <t>3, 10.3 fl oz tube = 95–326 g</t>
  </si>
  <si>
    <t>5 gallons = 33,781 g using density in cell V6</t>
  </si>
  <si>
    <t>Products were purchased in both U.S. and Japan, but there were not significant differences in concentration between countries. Range: 0.35–9,380 µg/g; Mean:1,560 µg/g</t>
  </si>
  <si>
    <t>1–5 gallons = up to 33,781 g using density in cell V6</t>
  </si>
  <si>
    <t>1 gallon = 6,757 g using density in cell V6</t>
  </si>
  <si>
    <t>2.25 lb = 1,023 g</t>
  </si>
  <si>
    <t>1 gallon = 3,369 g using density in cell V7</t>
  </si>
  <si>
    <t>Paints and lacquers (large outdoor projects)</t>
  </si>
  <si>
    <t>Paints and lacquers (small indoor projects)</t>
  </si>
  <si>
    <t>Calculations for Mass Used per Event, Paints and Lacquers</t>
  </si>
  <si>
    <t>10th percentile</t>
  </si>
  <si>
    <t>90th percentile</t>
  </si>
  <si>
    <t>Mass per Event</t>
  </si>
  <si>
    <t xml:space="preserve"> Uses per Year</t>
  </si>
  <si>
    <t>Mass Used per Year (g)</t>
  </si>
  <si>
    <t>Mass Used per Year (Oz)</t>
  </si>
  <si>
    <t xml:space="preserve">1 oz =    </t>
  </si>
  <si>
    <r>
      <t>cm</t>
    </r>
    <r>
      <rPr>
        <vertAlign val="superscript"/>
        <sz val="12"/>
        <color theme="1"/>
        <rFont val="Times New Roman"/>
        <family val="1"/>
      </rPr>
      <t>3</t>
    </r>
  </si>
  <si>
    <t>YOUTHS (16-20)</t>
  </si>
  <si>
    <t>YOUTHS (11 to &lt;15)</t>
  </si>
  <si>
    <t>CHILDREN (6-&lt;10)</t>
  </si>
  <si>
    <t>INFANTS (1-&lt;3)</t>
  </si>
  <si>
    <t>INFANTS (&lt; 1)</t>
  </si>
  <si>
    <r>
      <t>Frequency (year</t>
    </r>
    <r>
      <rPr>
        <b/>
        <vertAlign val="superscript"/>
        <sz val="11"/>
        <rFont val="Times New Roman"/>
        <family val="1"/>
      </rPr>
      <t>–1</t>
    </r>
    <r>
      <rPr>
        <b/>
        <sz val="11"/>
        <rFont val="Times New Roman"/>
        <family val="1"/>
      </rPr>
      <t>)</t>
    </r>
  </si>
  <si>
    <r>
      <t>Frequency (day</t>
    </r>
    <r>
      <rPr>
        <b/>
        <vertAlign val="superscript"/>
        <sz val="11"/>
        <rFont val="Times New Roman"/>
        <family val="1"/>
      </rPr>
      <t>–1</t>
    </r>
    <r>
      <rPr>
        <b/>
        <sz val="11"/>
        <rFont val="Times New Roman"/>
        <family val="1"/>
      </rPr>
      <t>)</t>
    </r>
  </si>
  <si>
    <t>Frequency (Acute)</t>
  </si>
  <si>
    <t>Frequency (Chronic)</t>
  </si>
  <si>
    <r>
      <t>Conc. (mg/cm</t>
    </r>
    <r>
      <rPr>
        <b/>
        <vertAlign val="superscript"/>
        <sz val="11"/>
        <color theme="1"/>
        <rFont val="Times New Roman"/>
        <family val="1"/>
      </rPr>
      <t>3</t>
    </r>
    <r>
      <rPr>
        <b/>
        <sz val="11"/>
        <color theme="1"/>
        <rFont val="Times New Roman"/>
        <family val="1"/>
      </rPr>
      <t>)</t>
    </r>
  </si>
  <si>
    <r>
      <t>Where </t>
    </r>
    <r>
      <rPr>
        <i/>
        <sz val="10"/>
        <color rgb="FF212121"/>
        <rFont val="Times New Roman"/>
        <family val="1"/>
      </rPr>
      <t>R</t>
    </r>
    <r>
      <rPr>
        <sz val="8"/>
        <color rgb="FF212121"/>
        <rFont val="Times New Roman"/>
        <family val="1"/>
      </rPr>
      <t>mgr</t>
    </r>
    <r>
      <rPr>
        <sz val="10"/>
        <color rgb="FF212121"/>
        <rFont val="Times New Roman"/>
        <family val="1"/>
      </rPr>
      <t> is the migration rate (µg/10cm</t>
    </r>
    <r>
      <rPr>
        <sz val="8"/>
        <color rgb="FF212121"/>
        <rFont val="Times New Roman"/>
        <family val="1"/>
      </rPr>
      <t>2</t>
    </r>
    <r>
      <rPr>
        <sz val="10"/>
        <color rgb="FF212121"/>
        <rFont val="Times New Roman"/>
        <family val="1"/>
      </rPr>
      <t>/min), Dp is the solid phase diffusion Coefficient  (cm2/s), C0 is the initial concentration of chemical (ug/g), and KOW is the octanol water partitioning coefficient</t>
    </r>
  </si>
  <si>
    <r>
      <t>D1 (m</t>
    </r>
    <r>
      <rPr>
        <vertAlign val="superscript"/>
        <sz val="11"/>
        <color theme="1"/>
        <rFont val="Times New Roman"/>
        <family val="1"/>
      </rPr>
      <t>2</t>
    </r>
    <r>
      <rPr>
        <sz val="11"/>
        <color theme="1"/>
        <rFont val="Times New Roman"/>
        <family val="1"/>
      </rPr>
      <t>/s)</t>
    </r>
  </si>
  <si>
    <r>
      <t>D2 (m</t>
    </r>
    <r>
      <rPr>
        <vertAlign val="superscript"/>
        <sz val="11"/>
        <color theme="1"/>
        <rFont val="Times New Roman"/>
        <family val="1"/>
      </rPr>
      <t>2</t>
    </r>
    <r>
      <rPr>
        <sz val="11"/>
        <color theme="1"/>
        <rFont val="Times New Roman"/>
        <family val="1"/>
      </rPr>
      <t>/s)</t>
    </r>
  </si>
  <si>
    <r>
      <t>Log Dp(cm</t>
    </r>
    <r>
      <rPr>
        <b/>
        <vertAlign val="superscript"/>
        <sz val="11"/>
        <color theme="1"/>
        <rFont val="Times New Roman"/>
        <family val="1"/>
      </rPr>
      <t>2</t>
    </r>
    <r>
      <rPr>
        <b/>
        <sz val="11"/>
        <color theme="1"/>
        <rFont val="Times New Roman"/>
        <family val="1"/>
      </rPr>
      <t>/s)</t>
    </r>
  </si>
  <si>
    <r>
      <t>Selected Value</t>
    </r>
    <r>
      <rPr>
        <b/>
        <i/>
        <vertAlign val="superscript"/>
        <sz val="11"/>
        <rFont val="Times New Roman"/>
        <family val="1"/>
      </rPr>
      <t>a</t>
    </r>
    <r>
      <rPr>
        <sz val="11"/>
        <rFont val="Times New Roman"/>
        <family val="1"/>
      </rPr>
      <t> </t>
    </r>
  </si>
  <si>
    <r>
      <t>Overall Quality Determination</t>
    </r>
    <r>
      <rPr>
        <b/>
        <i/>
        <vertAlign val="superscript"/>
        <sz val="11"/>
        <rFont val="Times New Roman"/>
        <family val="1"/>
      </rPr>
      <t>b</t>
    </r>
    <r>
      <rPr>
        <sz val="11"/>
        <rFont val="Times New Roman"/>
        <family val="1"/>
      </rPr>
      <t> </t>
    </r>
  </si>
  <si>
    <r>
      <t>C</t>
    </r>
    <r>
      <rPr>
        <vertAlign val="subscript"/>
        <sz val="11"/>
        <rFont val="Times New Roman"/>
        <family val="1"/>
      </rPr>
      <t>8</t>
    </r>
    <r>
      <rPr>
        <sz val="11"/>
        <rFont val="Times New Roman"/>
        <family val="1"/>
      </rPr>
      <t>H</t>
    </r>
    <r>
      <rPr>
        <vertAlign val="subscript"/>
        <sz val="11"/>
        <rFont val="Times New Roman"/>
        <family val="1"/>
      </rPr>
      <t>24</t>
    </r>
    <r>
      <rPr>
        <sz val="11"/>
        <rFont val="Times New Roman"/>
        <family val="1"/>
      </rPr>
      <t>O</t>
    </r>
    <r>
      <rPr>
        <vertAlign val="subscript"/>
        <sz val="11"/>
        <rFont val="Times New Roman"/>
        <family val="1"/>
      </rPr>
      <t>4</t>
    </r>
    <r>
      <rPr>
        <sz val="11"/>
        <rFont val="Times New Roman"/>
        <family val="1"/>
      </rPr>
      <t>Si</t>
    </r>
    <r>
      <rPr>
        <vertAlign val="subscript"/>
        <sz val="11"/>
        <rFont val="Times New Roman"/>
        <family val="1"/>
      </rPr>
      <t>4</t>
    </r>
    <r>
      <rPr>
        <sz val="11"/>
        <rFont val="Times New Roman"/>
        <family val="1"/>
      </rPr>
      <t> </t>
    </r>
  </si>
  <si>
    <r>
      <t>0.95603 g/cm</t>
    </r>
    <r>
      <rPr>
        <vertAlign val="superscript"/>
        <sz val="11"/>
        <color rgb="FF000000"/>
        <rFont val="Times New Roman"/>
        <family val="1"/>
      </rPr>
      <t>3</t>
    </r>
    <r>
      <rPr>
        <sz val="11"/>
        <color rgb="FF000000"/>
        <rFont val="Times New Roman"/>
        <family val="1"/>
      </rPr>
      <t xml:space="preserve"> at 20 °C </t>
    </r>
  </si>
  <si>
    <r>
      <t>Octanol:water partition coefficient (log K</t>
    </r>
    <r>
      <rPr>
        <vertAlign val="subscript"/>
        <sz val="11"/>
        <rFont val="Times New Roman"/>
        <family val="1"/>
      </rPr>
      <t>OW</t>
    </r>
    <r>
      <rPr>
        <sz val="11"/>
        <rFont val="Times New Roman"/>
        <family val="1"/>
      </rPr>
      <t>) </t>
    </r>
  </si>
  <si>
    <r>
      <t>Octanol:air partition coefficient (log K</t>
    </r>
    <r>
      <rPr>
        <vertAlign val="subscript"/>
        <sz val="11"/>
        <rFont val="Times New Roman"/>
        <family val="1"/>
      </rPr>
      <t>OA</t>
    </r>
    <r>
      <rPr>
        <sz val="11"/>
        <rFont val="Times New Roman"/>
        <family val="1"/>
      </rPr>
      <t>) </t>
    </r>
  </si>
  <si>
    <r>
      <t>1.4 atm·m</t>
    </r>
    <r>
      <rPr>
        <vertAlign val="superscript"/>
        <sz val="11"/>
        <rFont val="Times New Roman"/>
        <family val="1"/>
      </rPr>
      <t>3</t>
    </r>
    <r>
      <rPr>
        <sz val="11"/>
        <rFont val="Times New Roman"/>
        <family val="1"/>
      </rPr>
      <t>/mol at 5.7 °C </t>
    </r>
  </si>
  <si>
    <r>
      <t>3.5 atm·m</t>
    </r>
    <r>
      <rPr>
        <vertAlign val="superscript"/>
        <sz val="11"/>
        <rFont val="Times New Roman"/>
        <family val="1"/>
      </rPr>
      <t>3</t>
    </r>
    <r>
      <rPr>
        <sz val="11"/>
        <rFont val="Times New Roman"/>
        <family val="1"/>
      </rPr>
      <t>/mol at 12.2 °C </t>
    </r>
  </si>
  <si>
    <r>
      <t>31.1 atm·m</t>
    </r>
    <r>
      <rPr>
        <vertAlign val="superscript"/>
        <sz val="11"/>
        <rFont val="Times New Roman"/>
        <family val="1"/>
      </rPr>
      <t>3</t>
    </r>
    <r>
      <rPr>
        <sz val="11"/>
        <rFont val="Times New Roman"/>
        <family val="1"/>
      </rPr>
      <t>/mol at 34.8 °C </t>
    </r>
  </si>
  <si>
    <r>
      <t>11.8 atm·m</t>
    </r>
    <r>
      <rPr>
        <vertAlign val="superscript"/>
        <sz val="11"/>
        <rFont val="Times New Roman"/>
        <family val="1"/>
      </rPr>
      <t>3</t>
    </r>
    <r>
      <rPr>
        <sz val="11"/>
        <rFont val="Times New Roman"/>
        <family val="1"/>
      </rPr>
      <t>/mol at 21.7 °C</t>
    </r>
  </si>
  <si>
    <t>2.4–2.405 at 20 °C</t>
  </si>
  <si>
    <t>Dielectric constant</t>
  </si>
  <si>
    <r>
      <t>log</t>
    </r>
    <r>
      <rPr>
        <vertAlign val="subscript"/>
        <sz val="11"/>
        <color theme="1"/>
        <rFont val="Times New Roman"/>
        <family val="1"/>
      </rPr>
      <t>10</t>
    </r>
    <r>
      <rPr>
        <sz val="11"/>
        <color theme="1"/>
        <rFont val="Times New Roman"/>
        <family val="1"/>
      </rPr>
      <t>MW</t>
    </r>
  </si>
  <si>
    <r>
      <t>Dp (m</t>
    </r>
    <r>
      <rPr>
        <b/>
        <vertAlign val="superscript"/>
        <sz val="12"/>
        <color theme="1"/>
        <rFont val="Times New Roman"/>
        <family val="1"/>
      </rPr>
      <t>2</t>
    </r>
    <r>
      <rPr>
        <b/>
        <sz val="12"/>
        <color theme="1"/>
        <rFont val="Times New Roman"/>
        <family val="1"/>
      </rPr>
      <t>/hr)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</si>
</sst>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0E+00"/>
    <numFmt numFmtId="167" formatCode="0.0E+00"/>
    <numFmt numFmtId="168" formatCode="0.00000%"/>
    <numFmt numFmtId="169" formatCode="0.0000"/>
  </numFmts>
  <fonts count="63">
    <font>
      <sz val="11"/>
      <color theme="1"/>
      <name val="Aptos Narrow"/>
      <family val="2"/>
      <scheme val="minor"/>
    </font>
    <font>
      <sz val="11"/>
      <color rgb="FF0D0D0D"/>
      <name val="Times New Roman"/>
      <family val="1"/>
    </font>
    <font>
      <sz val="11"/>
      <color theme="1"/>
      <name val="Times New Roman"/>
      <family val="1"/>
    </font>
    <font>
      <sz val="8"/>
      <color theme="1"/>
      <name val="Times New Roman"/>
      <family val="1"/>
    </font>
    <font>
      <u/>
      <sz val="11"/>
      <color theme="10"/>
      <name val="Aptos Narrow"/>
      <family val="2"/>
      <scheme val="minor"/>
    </font>
    <font>
      <sz val="12"/>
      <color rgb="FF0D0D0D"/>
      <name val="Times New Roman"/>
      <family val="1"/>
    </font>
    <font>
      <vertAlign val="superscript"/>
      <sz val="11"/>
      <color theme="1"/>
      <name val="Times New Roman"/>
      <family val="1"/>
    </font>
    <font>
      <b/>
      <sz val="11"/>
      <color theme="1"/>
      <name val="Aptos Narrow"/>
      <family val="2"/>
      <scheme val="minor"/>
    </font>
    <font>
      <sz val="11"/>
      <color rgb="FFFF0000"/>
      <name val="Times New Roman"/>
      <family val="1"/>
    </font>
    <font>
      <b/>
      <sz val="11"/>
      <color theme="1"/>
      <name val="Times New Roman"/>
      <family val="1"/>
    </font>
    <font>
      <b/>
      <sz val="12"/>
      <color rgb="FF000000"/>
      <name val="Times New Roman"/>
      <family val="1"/>
    </font>
    <font>
      <b/>
      <sz val="11"/>
      <name val="Times New Roman"/>
      <family val="1"/>
    </font>
    <font>
      <sz val="11"/>
      <name val="Times New Roman"/>
      <family val="1"/>
    </font>
    <font>
      <sz val="11"/>
      <color rgb="FF000000"/>
      <name val="Times New Roman"/>
      <family val="1"/>
    </font>
    <font>
      <i/>
      <sz val="11"/>
      <name val="Times New Roman"/>
      <family val="1"/>
    </font>
    <font>
      <b/>
      <vertAlign val="superscript"/>
      <sz val="11"/>
      <name val="Times New Roman"/>
      <family val="1"/>
    </font>
    <font>
      <sz val="12"/>
      <color theme="0" tint="-0.14999847407452621"/>
      <name val="Times New Roman"/>
      <family val="1"/>
    </font>
    <font>
      <sz val="12"/>
      <color rgb="FFFF0000"/>
      <name val="Times New Roman"/>
      <family val="1"/>
    </font>
    <font>
      <sz val="11"/>
      <color rgb="FFFF0000"/>
      <name val="Aptos Narrow"/>
      <family val="2"/>
      <scheme val="minor"/>
    </font>
    <font>
      <b/>
      <sz val="16"/>
      <color rgb="FF000000"/>
      <name val="Times New Roman"/>
      <family val="1"/>
    </font>
    <font>
      <b/>
      <sz val="18"/>
      <color rgb="FF000000"/>
      <name val="Times New Roman"/>
      <family val="1"/>
    </font>
    <font>
      <sz val="11"/>
      <color rgb="FF000000"/>
      <name val="Aptos Narrow"/>
      <family val="2"/>
      <scheme val="minor"/>
    </font>
    <font>
      <b/>
      <i/>
      <sz val="14"/>
      <color rgb="FF000000"/>
      <name val="Times New Roman"/>
      <family val="1"/>
    </font>
    <font>
      <sz val="12"/>
      <color theme="1"/>
      <name val="Times New Roman"/>
    </font>
    <font>
      <sz val="12"/>
      <color theme="1"/>
      <name val="Times New Roman"/>
      <family val="1"/>
    </font>
    <font>
      <b/>
      <sz val="12"/>
      <color theme="1"/>
      <name val="Times New Roman"/>
      <family val="1"/>
    </font>
    <font>
      <b/>
      <sz val="14"/>
      <color theme="1"/>
      <name val="Times New Roman"/>
      <family val="1"/>
    </font>
    <font>
      <u/>
      <sz val="11"/>
      <color theme="10"/>
      <name val="Times New Roman"/>
      <family val="1"/>
    </font>
    <font>
      <u/>
      <sz val="12"/>
      <color rgb="FF0563C1"/>
      <name val="Times New Roman"/>
      <family val="1"/>
    </font>
    <font>
      <b/>
      <sz val="16"/>
      <color theme="1"/>
      <name val="Times New Roman"/>
      <family val="1"/>
    </font>
    <font>
      <sz val="16"/>
      <color theme="1"/>
      <name val="Times New Roman"/>
      <family val="1"/>
    </font>
    <font>
      <b/>
      <sz val="11"/>
      <color rgb="FF111111"/>
      <name val="Times New Roman"/>
      <family val="1"/>
    </font>
    <font>
      <sz val="11"/>
      <color rgb="FF111111"/>
      <name val="Times New Roman"/>
      <family val="1"/>
    </font>
    <font>
      <vertAlign val="subscript"/>
      <sz val="11"/>
      <color rgb="FF111111"/>
      <name val="Times New Roman"/>
      <family val="1"/>
    </font>
    <font>
      <b/>
      <sz val="12"/>
      <name val="Times New Roman"/>
      <family val="1"/>
    </font>
    <font>
      <sz val="11"/>
      <color rgb="FFC00000"/>
      <name val="Times New Roman"/>
      <family val="1"/>
    </font>
    <font>
      <b/>
      <sz val="16"/>
      <color theme="0"/>
      <name val="Times New Roman"/>
      <family val="1"/>
    </font>
    <font>
      <b/>
      <sz val="11"/>
      <color theme="0"/>
      <name val="Times New Roman"/>
      <family val="1"/>
    </font>
    <font>
      <b/>
      <vertAlign val="superscript"/>
      <sz val="11"/>
      <color theme="1"/>
      <name val="Times New Roman"/>
      <family val="1"/>
    </font>
    <font>
      <b/>
      <sz val="11"/>
      <color theme="0" tint="-0.14999847407452621"/>
      <name val="Times New Roman"/>
      <family val="1"/>
    </font>
    <font>
      <sz val="11"/>
      <color theme="0" tint="-0.14999847407452621"/>
      <name val="Times New Roman"/>
      <family val="1"/>
    </font>
    <font>
      <b/>
      <sz val="11"/>
      <color rgb="FF000000"/>
      <name val="Times New Roman"/>
      <family val="1"/>
    </font>
    <font>
      <b/>
      <sz val="10"/>
      <color theme="1"/>
      <name val="Times New Roman"/>
      <family val="1"/>
    </font>
    <font>
      <sz val="10"/>
      <color theme="1"/>
      <name val="Times New Roman"/>
      <family val="1"/>
    </font>
    <font>
      <u/>
      <sz val="11"/>
      <color rgb="FF0563C1"/>
      <name val="Times New Roman"/>
      <family val="1"/>
    </font>
    <font>
      <sz val="11"/>
      <color rgb="FF0563C1"/>
      <name val="Times New Roman"/>
      <family val="1"/>
    </font>
    <font>
      <sz val="8"/>
      <name val="Aptos Narrow"/>
      <family val="2"/>
      <scheme val="minor"/>
    </font>
    <font>
      <sz val="12"/>
      <name val="Times New Roman"/>
      <family val="1"/>
    </font>
    <font>
      <sz val="12"/>
      <color rgb="FFC00000"/>
      <name val="Times New Roman"/>
      <family val="1"/>
    </font>
    <font>
      <sz val="12"/>
      <color rgb="FF000000"/>
      <name val="Times New Roman"/>
      <family val="1"/>
    </font>
    <font>
      <sz val="12"/>
      <color rgb="FF0563C1"/>
      <name val="Times New Roman"/>
      <family val="1"/>
    </font>
    <font>
      <sz val="12"/>
      <color rgb="FF454545"/>
      <name val="Times New Roman"/>
      <family val="1"/>
    </font>
    <font>
      <vertAlign val="superscript"/>
      <sz val="12"/>
      <color theme="1"/>
      <name val="Times New Roman"/>
      <family val="1"/>
    </font>
    <font>
      <sz val="10"/>
      <color rgb="FF212121"/>
      <name val="Times New Roman"/>
      <family val="1"/>
    </font>
    <font>
      <i/>
      <sz val="10"/>
      <color rgb="FF212121"/>
      <name val="Times New Roman"/>
      <family val="1"/>
    </font>
    <font>
      <sz val="8"/>
      <color rgb="FF212121"/>
      <name val="Times New Roman"/>
      <family val="1"/>
    </font>
    <font>
      <b/>
      <i/>
      <vertAlign val="superscript"/>
      <sz val="11"/>
      <name val="Times New Roman"/>
      <family val="1"/>
    </font>
    <font>
      <vertAlign val="subscript"/>
      <sz val="11"/>
      <name val="Times New Roman"/>
      <family val="1"/>
    </font>
    <font>
      <vertAlign val="superscript"/>
      <sz val="11"/>
      <color rgb="FF000000"/>
      <name val="Times New Roman"/>
      <family val="1"/>
    </font>
    <font>
      <vertAlign val="superscript"/>
      <sz val="11"/>
      <name val="Times New Roman"/>
      <family val="1"/>
    </font>
    <font>
      <i/>
      <vertAlign val="superscript"/>
      <sz val="11"/>
      <name val="Times New Roman"/>
      <family val="1"/>
    </font>
    <font>
      <vertAlign val="subscript"/>
      <sz val="11"/>
      <color theme="1"/>
      <name val="Times New Roman"/>
      <family val="1"/>
    </font>
    <font>
      <b/>
      <vertAlign val="superscript"/>
      <sz val="12"/>
      <color theme="1"/>
      <name val="Times New Roman"/>
      <family val="1"/>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rgb="FFF2F2F2"/>
        <bgColor indexed="64"/>
      </patternFill>
    </fill>
    <fill>
      <patternFill patternType="solid">
        <fgColor theme="0" tint="-0.14999847407452621"/>
        <bgColor indexed="64"/>
      </patternFill>
    </fill>
    <fill>
      <patternFill patternType="solid">
        <fgColor rgb="FFF7F2ED"/>
        <bgColor indexed="64"/>
      </patternFill>
    </fill>
    <fill>
      <patternFill patternType="solid">
        <fgColor rgb="FFF5DBF3"/>
        <bgColor indexed="64"/>
      </patternFill>
    </fill>
    <fill>
      <patternFill patternType="solid">
        <fgColor theme="0"/>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diagonal/>
    </border>
    <border>
      <left/>
      <right style="thin">
        <color indexed="64"/>
      </right>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medium">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indexed="64"/>
      </right>
      <top style="thin">
        <color indexed="64"/>
      </top>
      <bottom style="medium">
        <color indexed="64"/>
      </bottom>
      <diagonal/>
    </border>
    <border>
      <left style="thick">
        <color auto="1"/>
      </left>
      <right/>
      <top/>
      <bottom/>
      <diagonal/>
    </border>
    <border>
      <left/>
      <right style="thick">
        <color auto="1"/>
      </right>
      <top/>
      <bottom/>
      <diagonal/>
    </border>
    <border>
      <left/>
      <right style="thick">
        <color auto="1"/>
      </right>
      <top/>
      <bottom style="thin">
        <color indexed="64"/>
      </bottom>
      <diagonal/>
    </border>
    <border>
      <left style="thick">
        <color auto="1"/>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double">
        <color indexed="64"/>
      </bottom>
      <diagonal/>
    </border>
    <border>
      <left style="thin">
        <color indexed="64"/>
      </left>
      <right style="medium">
        <color indexed="64"/>
      </right>
      <top/>
      <bottom style="thin">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auto="1"/>
      </left>
      <right/>
      <top style="thin">
        <color indexed="64"/>
      </top>
      <bottom/>
      <diagonal/>
    </border>
    <border>
      <left/>
      <right style="thick">
        <color auto="1"/>
      </right>
      <top style="thin">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ck">
        <color auto="1"/>
      </left>
      <right style="thin">
        <color indexed="64"/>
      </right>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ck">
        <color auto="1"/>
      </left>
      <right/>
      <top/>
      <bottom style="double">
        <color indexed="64"/>
      </bottom>
      <diagonal/>
    </border>
    <border>
      <left/>
      <right style="thick">
        <color auto="1"/>
      </right>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rgb="FF000000"/>
      </left>
      <right/>
      <top/>
      <bottom/>
      <diagonal/>
    </border>
    <border>
      <left/>
      <right style="thin">
        <color rgb="FF000000"/>
      </right>
      <top/>
      <bottom/>
      <diagonal/>
    </border>
    <border>
      <left style="medium">
        <color rgb="FF000000"/>
      </left>
      <right/>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s>
  <cellStyleXfs count="2">
    <xf numFmtId="0" fontId="0" fillId="0" borderId="0"/>
    <xf numFmtId="0" fontId="4" fillId="0" borderId="0" applyNumberFormat="0" applyFill="0" applyBorder="0" applyAlignment="0" applyProtection="0"/>
  </cellStyleXfs>
  <cellXfs count="816">
    <xf numFmtId="0" fontId="0" fillId="0" borderId="0" xfId="0"/>
    <xf numFmtId="0" fontId="0" fillId="0" borderId="0" xfId="0" applyAlignment="1">
      <alignment wrapText="1"/>
    </xf>
    <xf numFmtId="0" fontId="2" fillId="0" borderId="2"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center" wrapText="1"/>
    </xf>
    <xf numFmtId="0" fontId="2" fillId="0" borderId="18" xfId="0" applyFont="1" applyBorder="1" applyAlignment="1">
      <alignment horizontal="center" wrapText="1"/>
    </xf>
    <xf numFmtId="0" fontId="2" fillId="0" borderId="22" xfId="0" applyFont="1" applyBorder="1" applyAlignment="1">
      <alignment horizontal="center" vertical="center" wrapText="1"/>
    </xf>
    <xf numFmtId="0" fontId="2" fillId="0" borderId="22" xfId="0" applyFont="1" applyBorder="1" applyAlignment="1">
      <alignment horizontal="center" wrapText="1"/>
    </xf>
    <xf numFmtId="0" fontId="7" fillId="0" borderId="0" xfId="0" applyFont="1" applyAlignment="1">
      <alignment wrapText="1"/>
    </xf>
    <xf numFmtId="0" fontId="2" fillId="0" borderId="13" xfId="0" applyFont="1" applyBorder="1" applyAlignment="1">
      <alignment wrapText="1"/>
    </xf>
    <xf numFmtId="0" fontId="0" fillId="0" borderId="14" xfId="0" applyBorder="1" applyAlignment="1">
      <alignment wrapText="1"/>
    </xf>
    <xf numFmtId="0" fontId="0" fillId="0" borderId="15" xfId="0" applyBorder="1" applyAlignment="1">
      <alignment wrapText="1"/>
    </xf>
    <xf numFmtId="0" fontId="2" fillId="0" borderId="2" xfId="0" applyFont="1" applyBorder="1" applyAlignment="1">
      <alignment wrapText="1"/>
    </xf>
    <xf numFmtId="0" fontId="2" fillId="0" borderId="1" xfId="0" applyFont="1" applyBorder="1" applyAlignment="1">
      <alignment wrapText="1"/>
    </xf>
    <xf numFmtId="0" fontId="0" fillId="0" borderId="8" xfId="0" applyBorder="1" applyAlignment="1">
      <alignment wrapText="1"/>
    </xf>
    <xf numFmtId="0" fontId="2" fillId="0" borderId="19" xfId="0" applyFont="1" applyBorder="1" applyAlignment="1">
      <alignment wrapText="1"/>
    </xf>
    <xf numFmtId="0" fontId="2" fillId="0" borderId="18" xfId="0" applyFont="1"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3" xfId="0" applyBorder="1" applyAlignment="1">
      <alignment wrapText="1"/>
    </xf>
    <xf numFmtId="0" fontId="2" fillId="0" borderId="5" xfId="0" applyFont="1" applyBorder="1" applyAlignment="1">
      <alignment wrapText="1"/>
    </xf>
    <xf numFmtId="0" fontId="2" fillId="0" borderId="22" xfId="0" applyFont="1" applyBorder="1" applyAlignment="1">
      <alignment wrapText="1"/>
    </xf>
    <xf numFmtId="0" fontId="0" fillId="0" borderId="10" xfId="0" applyBorder="1" applyAlignment="1">
      <alignment wrapText="1"/>
    </xf>
    <xf numFmtId="0" fontId="1" fillId="0" borderId="1" xfId="0" applyFont="1" applyBorder="1" applyAlignment="1">
      <alignment vertical="center" wrapText="1"/>
    </xf>
    <xf numFmtId="0" fontId="3" fillId="0" borderId="18" xfId="0" applyFont="1" applyBorder="1" applyAlignment="1">
      <alignment vertical="center" wrapText="1"/>
    </xf>
    <xf numFmtId="0" fontId="2" fillId="0" borderId="3" xfId="0" applyFont="1" applyBorder="1" applyAlignment="1">
      <alignment wrapText="1"/>
    </xf>
    <xf numFmtId="0" fontId="2" fillId="2" borderId="2" xfId="0" applyFont="1" applyFill="1" applyBorder="1" applyAlignment="1">
      <alignment wrapText="1"/>
    </xf>
    <xf numFmtId="0" fontId="2" fillId="2" borderId="1" xfId="0" applyFont="1" applyFill="1" applyBorder="1" applyAlignment="1">
      <alignment wrapText="1"/>
    </xf>
    <xf numFmtId="0" fontId="2" fillId="2" borderId="3" xfId="0" applyFont="1" applyFill="1" applyBorder="1" applyAlignment="1">
      <alignment wrapText="1"/>
    </xf>
    <xf numFmtId="0" fontId="3" fillId="0" borderId="1" xfId="0" applyFont="1" applyBorder="1" applyAlignment="1">
      <alignment vertical="center" wrapText="1"/>
    </xf>
    <xf numFmtId="0" fontId="2" fillId="0" borderId="0" xfId="0" applyFont="1" applyAlignment="1">
      <alignment wrapText="1"/>
    </xf>
    <xf numFmtId="0" fontId="8" fillId="0" borderId="2" xfId="0" applyFont="1" applyBorder="1" applyAlignment="1">
      <alignment wrapText="1"/>
    </xf>
    <xf numFmtId="0" fontId="9" fillId="0" borderId="0" xfId="0" applyFont="1" applyAlignment="1">
      <alignment wrapText="1"/>
    </xf>
    <xf numFmtId="0" fontId="9" fillId="0" borderId="3" xfId="0" applyFont="1" applyBorder="1" applyAlignment="1">
      <alignment wrapText="1"/>
    </xf>
    <xf numFmtId="0" fontId="2" fillId="0" borderId="0" xfId="0" applyFont="1" applyAlignment="1">
      <alignment horizontal="center" wrapText="1"/>
    </xf>
    <xf numFmtId="0" fontId="2" fillId="0" borderId="25" xfId="0" applyFont="1" applyBorder="1" applyAlignment="1">
      <alignment wrapText="1"/>
    </xf>
    <xf numFmtId="0" fontId="2" fillId="0" borderId="26" xfId="0" applyFont="1" applyBorder="1" applyAlignment="1">
      <alignment wrapText="1"/>
    </xf>
    <xf numFmtId="0" fontId="2" fillId="0" borderId="27" xfId="0" applyFont="1" applyBorder="1" applyAlignment="1">
      <alignment wrapText="1"/>
    </xf>
    <xf numFmtId="0" fontId="0" fillId="0" borderId="28" xfId="0" applyBorder="1" applyAlignment="1">
      <alignment wrapText="1"/>
    </xf>
    <xf numFmtId="0" fontId="0" fillId="0" borderId="29" xfId="0" applyBorder="1" applyAlignment="1">
      <alignment wrapText="1"/>
    </xf>
    <xf numFmtId="0" fontId="0" fillId="0" borderId="30" xfId="0" applyBorder="1" applyAlignment="1">
      <alignment wrapText="1"/>
    </xf>
    <xf numFmtId="0" fontId="0" fillId="0" borderId="31" xfId="0" applyBorder="1" applyAlignment="1">
      <alignment wrapText="1"/>
    </xf>
    <xf numFmtId="0" fontId="0" fillId="0" borderId="32" xfId="0" applyBorder="1" applyAlignment="1">
      <alignment wrapText="1"/>
    </xf>
    <xf numFmtId="0" fontId="2" fillId="0" borderId="0" xfId="0" applyFont="1"/>
    <xf numFmtId="0" fontId="9" fillId="4" borderId="0" xfId="0" applyFont="1" applyFill="1"/>
    <xf numFmtId="0" fontId="8" fillId="0" borderId="18" xfId="0" applyFont="1" applyBorder="1" applyAlignment="1">
      <alignment horizontal="center" wrapText="1"/>
    </xf>
    <xf numFmtId="0" fontId="10" fillId="0" borderId="0" xfId="0" applyFont="1"/>
    <xf numFmtId="0" fontId="0" fillId="0" borderId="0" xfId="0" applyAlignment="1">
      <alignment vertical="center"/>
    </xf>
    <xf numFmtId="0" fontId="9" fillId="0" borderId="0" xfId="0" applyFont="1" applyAlignment="1">
      <alignment horizontal="center" vertical="center" wrapText="1"/>
    </xf>
    <xf numFmtId="11" fontId="2" fillId="0" borderId="0" xfId="0" applyNumberFormat="1" applyFont="1" applyAlignment="1">
      <alignment horizontal="center" vertical="center"/>
    </xf>
    <xf numFmtId="11" fontId="16" fillId="14" borderId="1" xfId="0" applyNumberFormat="1" applyFont="1" applyFill="1" applyBorder="1" applyAlignment="1">
      <alignment horizontal="center" vertical="center" wrapText="1"/>
    </xf>
    <xf numFmtId="0" fontId="0" fillId="0" borderId="0" xfId="0"/>
    <xf numFmtId="0" fontId="0" fillId="0" borderId="0" xfId="0" applyAlignment="1">
      <alignment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18" fillId="0" borderId="0" xfId="0" applyFont="1"/>
    <xf numFmtId="0" fontId="19" fillId="0" borderId="0" xfId="0" applyFont="1" applyAlignment="1">
      <alignment vertical="center" wrapText="1"/>
    </xf>
    <xf numFmtId="0" fontId="21" fillId="0" borderId="0" xfId="0" applyFont="1"/>
    <xf numFmtId="17" fontId="22" fillId="0" borderId="0" xfId="0" quotePrefix="1" applyNumberFormat="1" applyFont="1"/>
    <xf numFmtId="0" fontId="20" fillId="0" borderId="0" xfId="0" applyFont="1" applyAlignment="1">
      <alignment vertical="center" wrapText="1"/>
    </xf>
    <xf numFmtId="0" fontId="23" fillId="0" borderId="0" xfId="0" applyFont="1"/>
    <xf numFmtId="0" fontId="12" fillId="0" borderId="57" xfId="0" applyFont="1" applyBorder="1" applyAlignment="1">
      <alignment horizontal="left"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4" fillId="0" borderId="0" xfId="0" applyFont="1"/>
    <xf numFmtId="0" fontId="25" fillId="2" borderId="92" xfId="0" applyFont="1" applyFill="1" applyBorder="1" applyAlignment="1">
      <alignment horizontal="center"/>
    </xf>
    <xf numFmtId="0" fontId="28" fillId="0" borderId="1" xfId="1" applyFont="1" applyBorder="1" applyAlignment="1">
      <alignment horizontal="center" vertical="center"/>
    </xf>
    <xf numFmtId="0" fontId="9" fillId="0" borderId="0" xfId="0" applyFont="1"/>
    <xf numFmtId="0" fontId="9" fillId="0" borderId="0" xfId="0" applyFont="1" applyAlignment="1">
      <alignment horizontal="center"/>
    </xf>
    <xf numFmtId="0" fontId="9" fillId="2" borderId="1" xfId="0" applyFont="1" applyFill="1" applyBorder="1" applyAlignment="1">
      <alignment horizontal="center"/>
    </xf>
    <xf numFmtId="0" fontId="2" fillId="0" borderId="0" xfId="0" applyFont="1" applyAlignment="1">
      <alignment vertical="center"/>
    </xf>
    <xf numFmtId="0" fontId="2" fillId="0" borderId="0" xfId="0" applyFont="1" applyAlignment="1">
      <alignment horizontal="center"/>
    </xf>
    <xf numFmtId="0" fontId="25" fillId="2" borderId="1" xfId="0" applyFont="1" applyFill="1" applyBorder="1" applyAlignment="1">
      <alignment horizontal="center"/>
    </xf>
    <xf numFmtId="0" fontId="24" fillId="0" borderId="1" xfId="0" applyFont="1" applyBorder="1" applyAlignment="1">
      <alignment vertical="center" wrapText="1"/>
    </xf>
    <xf numFmtId="0" fontId="29" fillId="0" borderId="0" xfId="0" applyFont="1" applyAlignment="1">
      <alignment horizontal="left" vertical="top"/>
    </xf>
    <xf numFmtId="0" fontId="30" fillId="0" borderId="0" xfId="0" applyFont="1" applyAlignment="1">
      <alignment horizontal="left" vertical="top"/>
    </xf>
    <xf numFmtId="0" fontId="2" fillId="0" borderId="0" xfId="0" applyFont="1" applyAlignment="1">
      <alignment horizontal="left"/>
    </xf>
    <xf numFmtId="0" fontId="9" fillId="0" borderId="0" xfId="0" applyFont="1" applyAlignment="1">
      <alignment horizontal="left" vertical="top"/>
    </xf>
    <xf numFmtId="0" fontId="2" fillId="0" borderId="0" xfId="0" applyFont="1" applyAlignment="1">
      <alignment horizontal="left" vertical="top"/>
    </xf>
    <xf numFmtId="0" fontId="2" fillId="0" borderId="5" xfId="0" applyFont="1" applyBorder="1" applyAlignment="1">
      <alignment horizontal="left" vertical="top"/>
    </xf>
    <xf numFmtId="11" fontId="2" fillId="0" borderId="0" xfId="0" applyNumberFormat="1" applyFont="1" applyAlignment="1">
      <alignment horizontal="left" vertical="top"/>
    </xf>
    <xf numFmtId="0" fontId="31" fillId="0" borderId="0" xfId="0" applyFont="1" applyAlignment="1">
      <alignment vertical="top" wrapText="1"/>
    </xf>
    <xf numFmtId="0" fontId="2" fillId="3" borderId="5" xfId="0" applyFont="1" applyFill="1" applyBorder="1" applyAlignment="1">
      <alignment horizontal="left" vertical="top"/>
    </xf>
    <xf numFmtId="0" fontId="32" fillId="0" borderId="1" xfId="0" applyFont="1" applyBorder="1" applyAlignment="1">
      <alignment horizontal="left" vertical="top" wrapText="1"/>
    </xf>
    <xf numFmtId="0" fontId="32" fillId="5" borderId="1" xfId="0" applyFont="1" applyFill="1" applyBorder="1" applyAlignment="1">
      <alignment horizontal="center" vertical="top" wrapText="1"/>
    </xf>
    <xf numFmtId="0" fontId="32" fillId="0" borderId="1" xfId="0" applyFont="1" applyBorder="1" applyAlignment="1">
      <alignment vertical="top" wrapText="1"/>
    </xf>
    <xf numFmtId="0" fontId="32" fillId="0" borderId="0" xfId="0" applyFont="1" applyAlignment="1">
      <alignment vertical="top" wrapText="1"/>
    </xf>
    <xf numFmtId="0" fontId="2" fillId="0" borderId="0" xfId="0" applyFont="1" applyAlignment="1">
      <alignment horizontal="left" vertical="center" wrapText="1"/>
    </xf>
    <xf numFmtId="11" fontId="2" fillId="5" borderId="1" xfId="0" applyNumberFormat="1" applyFont="1" applyFill="1" applyBorder="1" applyAlignment="1">
      <alignment horizontal="center"/>
    </xf>
    <xf numFmtId="0" fontId="32" fillId="5" borderId="0" xfId="0" applyFont="1" applyFill="1" applyAlignment="1">
      <alignment horizontal="center"/>
    </xf>
    <xf numFmtId="11" fontId="13" fillId="5" borderId="1" xfId="0" applyNumberFormat="1" applyFont="1" applyFill="1" applyBorder="1" applyAlignment="1">
      <alignment horizontal="center"/>
    </xf>
    <xf numFmtId="0" fontId="2" fillId="0" borderId="0" xfId="0" applyFont="1" applyAlignment="1">
      <alignment horizontal="center" vertical="top" wrapText="1"/>
    </xf>
    <xf numFmtId="0" fontId="9" fillId="0" borderId="0" xfId="0" applyFont="1" applyAlignment="1">
      <alignment horizontal="right" vertical="top"/>
    </xf>
    <xf numFmtId="0" fontId="32" fillId="0" borderId="0" xfId="0" applyFont="1" applyAlignment="1">
      <alignment horizontal="left" vertical="top"/>
    </xf>
    <xf numFmtId="0" fontId="2" fillId="0" borderId="0" xfId="0" applyFont="1" applyAlignment="1">
      <alignment horizontal="right" vertical="top"/>
    </xf>
    <xf numFmtId="0" fontId="2" fillId="0" borderId="0" xfId="0" applyFont="1" applyAlignment="1">
      <alignment horizontal="center" vertical="top"/>
    </xf>
    <xf numFmtId="165" fontId="2" fillId="0" borderId="0" xfId="0" applyNumberFormat="1" applyFont="1" applyAlignment="1">
      <alignment horizontal="center" vertical="top"/>
    </xf>
    <xf numFmtId="0" fontId="2" fillId="0" borderId="1" xfId="0" applyFont="1" applyBorder="1" applyAlignment="1">
      <alignment horizontal="center"/>
    </xf>
    <xf numFmtId="0" fontId="2" fillId="0" borderId="0" xfId="0" applyFont="1" applyAlignment="1">
      <alignment horizontal="left" vertical="center"/>
    </xf>
    <xf numFmtId="0" fontId="25" fillId="0" borderId="0" xfId="0" applyFont="1" applyAlignment="1">
      <alignment horizontal="left" vertical="center"/>
    </xf>
    <xf numFmtId="0" fontId="24" fillId="0" borderId="0" xfId="0" applyFont="1" applyAlignment="1">
      <alignment horizontal="left" vertical="center"/>
    </xf>
    <xf numFmtId="0" fontId="34" fillId="0" borderId="0" xfId="0" applyFont="1" applyAlignment="1">
      <alignment horizontal="left" vertical="center"/>
    </xf>
    <xf numFmtId="0" fontId="34" fillId="0" borderId="0" xfId="0" applyFont="1" applyAlignment="1">
      <alignment horizontal="left" vertical="center" wrapText="1"/>
    </xf>
    <xf numFmtId="0" fontId="2" fillId="0" borderId="0" xfId="0" applyFont="1" applyAlignment="1">
      <alignment horizontal="center" vertical="center"/>
    </xf>
    <xf numFmtId="2" fontId="2" fillId="0" borderId="0" xfId="0" applyNumberFormat="1" applyFont="1" applyAlignment="1">
      <alignment horizontal="center" vertical="center"/>
    </xf>
    <xf numFmtId="0" fontId="2" fillId="0" borderId="1" xfId="0" applyFont="1" applyBorder="1" applyAlignment="1">
      <alignment horizontal="center" vertical="center"/>
    </xf>
    <xf numFmtId="0" fontId="9" fillId="0" borderId="0" xfId="0" applyFont="1" applyAlignment="1">
      <alignment horizontal="left" vertical="center"/>
    </xf>
    <xf numFmtId="0" fontId="36" fillId="0" borderId="1" xfId="0" applyFont="1" applyBorder="1" applyAlignment="1">
      <alignment horizontal="center" vertical="center" wrapText="1"/>
    </xf>
    <xf numFmtId="0" fontId="9" fillId="11" borderId="1" xfId="0" applyFont="1" applyFill="1" applyBorder="1" applyAlignment="1">
      <alignment horizontal="center" vertical="center"/>
    </xf>
    <xf numFmtId="0" fontId="11" fillId="0" borderId="1" xfId="0" applyFont="1" applyBorder="1" applyAlignment="1">
      <alignment horizontal="center" vertical="center" wrapText="1"/>
    </xf>
    <xf numFmtId="0" fontId="37" fillId="6" borderId="0" xfId="0" applyFont="1" applyFill="1" applyAlignment="1">
      <alignment horizontal="left" vertical="center"/>
    </xf>
    <xf numFmtId="0" fontId="37" fillId="6" borderId="2" xfId="0" applyFont="1" applyFill="1" applyBorder="1" applyAlignment="1">
      <alignment horizontal="center" vertical="center" wrapText="1"/>
    </xf>
    <xf numFmtId="0" fontId="12" fillId="0" borderId="35" xfId="0" applyFont="1" applyBorder="1" applyAlignment="1">
      <alignment horizontal="left" vertical="center" wrapText="1"/>
    </xf>
    <xf numFmtId="0" fontId="12" fillId="0" borderId="35" xfId="0" applyFont="1" applyBorder="1" applyAlignment="1">
      <alignment horizontal="right" vertical="center" wrapText="1"/>
    </xf>
    <xf numFmtId="0" fontId="12" fillId="2" borderId="35" xfId="0" applyFont="1" applyFill="1" applyBorder="1" applyAlignment="1">
      <alignment horizontal="center" vertical="center" wrapText="1"/>
    </xf>
    <xf numFmtId="0" fontId="12" fillId="0" borderId="26" xfId="0" applyFont="1" applyBorder="1" applyAlignment="1">
      <alignment horizontal="left" vertical="center" wrapText="1"/>
    </xf>
    <xf numFmtId="0" fontId="12" fillId="0" borderId="35" xfId="0" applyFont="1" applyBorder="1" applyAlignment="1">
      <alignment horizontal="center" vertical="center" wrapText="1"/>
    </xf>
    <xf numFmtId="0" fontId="12" fillId="0" borderId="1" xfId="0" applyFont="1" applyBorder="1" applyAlignment="1">
      <alignment horizontal="center" vertical="center" wrapText="1"/>
    </xf>
    <xf numFmtId="0" fontId="12" fillId="10" borderId="1" xfId="0" applyFont="1" applyFill="1" applyBorder="1" applyAlignment="1">
      <alignment horizontal="center" vertical="center" wrapText="1"/>
    </xf>
    <xf numFmtId="0" fontId="12" fillId="10" borderId="22" xfId="0" applyFont="1" applyFill="1" applyBorder="1" applyAlignment="1">
      <alignment horizontal="center" vertical="center" wrapText="1"/>
    </xf>
    <xf numFmtId="0" fontId="37" fillId="6" borderId="9" xfId="0" applyFont="1" applyFill="1" applyBorder="1" applyAlignment="1">
      <alignment horizontal="left" vertical="center" wrapText="1"/>
    </xf>
    <xf numFmtId="0" fontId="11" fillId="6" borderId="11"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1" fillId="0" borderId="9" xfId="0" applyFont="1" applyBorder="1" applyAlignment="1">
      <alignment horizontal="right" vertical="center" wrapText="1"/>
    </xf>
    <xf numFmtId="0" fontId="37" fillId="6" borderId="1" xfId="0" applyFont="1" applyFill="1" applyBorder="1" applyAlignment="1">
      <alignment horizontal="left" vertical="center" wrapText="1"/>
    </xf>
    <xf numFmtId="0" fontId="37" fillId="6" borderId="1" xfId="0" applyFont="1" applyFill="1" applyBorder="1" applyAlignment="1">
      <alignment horizontal="center" vertical="center" wrapText="1"/>
    </xf>
    <xf numFmtId="0" fontId="37" fillId="7" borderId="1" xfId="0" applyFont="1" applyFill="1" applyBorder="1" applyAlignment="1">
      <alignment vertical="top"/>
    </xf>
    <xf numFmtId="0" fontId="2" fillId="7" borderId="1" xfId="0" applyFont="1" applyFill="1" applyBorder="1" applyAlignment="1">
      <alignment horizontal="center"/>
    </xf>
    <xf numFmtId="0" fontId="2" fillId="7" borderId="1" xfId="0" applyFont="1" applyFill="1" applyBorder="1"/>
    <xf numFmtId="0" fontId="2" fillId="7" borderId="1" xfId="0" applyFont="1" applyFill="1" applyBorder="1" applyAlignment="1">
      <alignment horizontal="center" vertical="center"/>
    </xf>
    <xf numFmtId="0" fontId="2" fillId="8" borderId="1" xfId="0" applyFont="1" applyFill="1" applyBorder="1" applyAlignment="1">
      <alignment horizontal="center"/>
    </xf>
    <xf numFmtId="0" fontId="2" fillId="8" borderId="1" xfId="0" applyFont="1" applyFill="1" applyBorder="1" applyAlignment="1">
      <alignment horizontal="center" vertical="center"/>
    </xf>
    <xf numFmtId="0" fontId="2" fillId="8" borderId="2" xfId="0" applyFont="1" applyFill="1" applyBorder="1" applyAlignment="1">
      <alignment horizontal="center" vertical="center"/>
    </xf>
    <xf numFmtId="0" fontId="12" fillId="0" borderId="1" xfId="0" applyFont="1" applyBorder="1" applyAlignment="1">
      <alignment vertical="top"/>
    </xf>
    <xf numFmtId="0" fontId="11" fillId="9" borderId="1" xfId="0" applyFont="1" applyFill="1" applyBorder="1" applyAlignment="1">
      <alignment vertical="top"/>
    </xf>
    <xf numFmtId="0" fontId="2" fillId="9" borderId="1" xfId="0" applyFont="1" applyFill="1" applyBorder="1" applyAlignment="1">
      <alignment horizontal="center"/>
    </xf>
    <xf numFmtId="0" fontId="2" fillId="9" borderId="1" xfId="0" applyFont="1" applyFill="1" applyBorder="1"/>
    <xf numFmtId="0" fontId="2" fillId="9" borderId="1" xfId="0" applyFont="1" applyFill="1" applyBorder="1" applyAlignment="1">
      <alignment horizontal="center" vertical="center"/>
    </xf>
    <xf numFmtId="0" fontId="2" fillId="8" borderId="1" xfId="0" applyFont="1" applyFill="1" applyBorder="1"/>
    <xf numFmtId="0" fontId="2" fillId="0" borderId="1" xfId="0" applyFont="1" applyBorder="1"/>
    <xf numFmtId="2" fontId="2" fillId="0" borderId="1" xfId="0" applyNumberFormat="1" applyFont="1" applyBorder="1" applyAlignment="1">
      <alignment horizontal="center" vertical="center"/>
    </xf>
    <xf numFmtId="0" fontId="2" fillId="0" borderId="5" xfId="0" applyFont="1" applyBorder="1" applyAlignment="1">
      <alignment horizontal="center" vertical="center"/>
    </xf>
    <xf numFmtId="0" fontId="2" fillId="10" borderId="1" xfId="0" applyFont="1" applyFill="1" applyBorder="1" applyAlignment="1">
      <alignment horizontal="center" vertical="center" wrapText="1"/>
    </xf>
    <xf numFmtId="1" fontId="2" fillId="10" borderId="1"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Border="1" applyAlignment="1">
      <alignment horizontal="center"/>
    </xf>
    <xf numFmtId="0" fontId="11" fillId="0" borderId="2" xfId="0" applyFont="1" applyBorder="1" applyAlignment="1">
      <alignment horizontal="center" vertical="center" wrapText="1"/>
    </xf>
    <xf numFmtId="0" fontId="9" fillId="0" borderId="2" xfId="0" applyFont="1" applyBorder="1" applyAlignment="1">
      <alignment horizontal="center"/>
    </xf>
    <xf numFmtId="0" fontId="2" fillId="0" borderId="1" xfId="0" applyFont="1" applyBorder="1" applyAlignment="1">
      <alignment horizontal="center" vertical="center"/>
    </xf>
    <xf numFmtId="0" fontId="2" fillId="10" borderId="1" xfId="0" applyFont="1" applyFill="1" applyBorder="1" applyAlignment="1">
      <alignment horizontal="center"/>
    </xf>
    <xf numFmtId="11" fontId="2" fillId="10" borderId="1" xfId="0" applyNumberFormat="1" applyFont="1" applyFill="1" applyBorder="1" applyAlignment="1">
      <alignment horizontal="center"/>
    </xf>
    <xf numFmtId="2" fontId="2" fillId="0" borderId="0" xfId="0" applyNumberFormat="1" applyFont="1"/>
    <xf numFmtId="168" fontId="2" fillId="0" borderId="0" xfId="0" applyNumberFormat="1" applyFont="1"/>
    <xf numFmtId="0" fontId="12" fillId="0" borderId="27" xfId="0" applyFont="1" applyBorder="1" applyAlignment="1">
      <alignment horizontal="left" vertical="center" wrapText="1"/>
    </xf>
    <xf numFmtId="0" fontId="12" fillId="0" borderId="34" xfId="0" applyFont="1" applyBorder="1" applyAlignment="1">
      <alignment horizontal="center" vertical="center" wrapText="1"/>
    </xf>
    <xf numFmtId="0" fontId="12" fillId="0" borderId="43" xfId="0" applyFont="1" applyBorder="1" applyAlignment="1">
      <alignment horizontal="left" vertical="center" wrapText="1"/>
    </xf>
    <xf numFmtId="0" fontId="12" fillId="0" borderId="44" xfId="0" applyFont="1" applyBorder="1" applyAlignment="1">
      <alignment horizontal="center" vertical="center" wrapText="1"/>
    </xf>
    <xf numFmtId="0" fontId="2" fillId="0" borderId="3" xfId="0" applyFont="1" applyBorder="1" applyAlignment="1">
      <alignment horizontal="center"/>
    </xf>
    <xf numFmtId="0" fontId="12" fillId="10" borderId="2" xfId="0" applyFont="1" applyFill="1" applyBorder="1" applyAlignment="1">
      <alignment horizontal="center" vertical="center" wrapText="1"/>
    </xf>
    <xf numFmtId="0" fontId="2" fillId="0" borderId="2" xfId="0" applyFont="1" applyBorder="1" applyAlignment="1">
      <alignment horizontal="center"/>
    </xf>
    <xf numFmtId="1" fontId="2" fillId="0" borderId="2" xfId="0" applyNumberFormat="1" applyFont="1" applyBorder="1" applyAlignment="1">
      <alignment horizontal="center"/>
    </xf>
    <xf numFmtId="0" fontId="2" fillId="8" borderId="2" xfId="0" applyFont="1" applyFill="1" applyBorder="1" applyAlignment="1">
      <alignment horizontal="center"/>
    </xf>
    <xf numFmtId="1" fontId="2" fillId="0" borderId="1" xfId="0" applyNumberFormat="1" applyFont="1" applyBorder="1" applyAlignment="1">
      <alignment horizontal="center"/>
    </xf>
    <xf numFmtId="0" fontId="12" fillId="10" borderId="3" xfId="0" applyFont="1" applyFill="1" applyBorder="1" applyAlignment="1">
      <alignment horizontal="center" vertical="center" wrapText="1"/>
    </xf>
    <xf numFmtId="1" fontId="2" fillId="0" borderId="3" xfId="0" applyNumberFormat="1" applyFont="1" applyBorder="1" applyAlignment="1">
      <alignment horizontal="center"/>
    </xf>
    <xf numFmtId="0" fontId="2" fillId="8" borderId="3" xfId="0" applyFont="1" applyFill="1" applyBorder="1" applyAlignment="1">
      <alignment horizontal="center"/>
    </xf>
    <xf numFmtId="0" fontId="12" fillId="8" borderId="2" xfId="0" applyFont="1" applyFill="1" applyBorder="1" applyAlignment="1">
      <alignment vertical="center"/>
    </xf>
    <xf numFmtId="0" fontId="2" fillId="8" borderId="2" xfId="0" applyFont="1" applyFill="1" applyBorder="1"/>
    <xf numFmtId="0" fontId="12" fillId="8" borderId="1" xfId="0" applyFont="1" applyFill="1" applyBorder="1" applyAlignment="1">
      <alignment vertical="center"/>
    </xf>
    <xf numFmtId="0" fontId="12" fillId="8" borderId="22" xfId="0" applyFont="1" applyFill="1" applyBorder="1" applyAlignment="1">
      <alignment vertical="center"/>
    </xf>
    <xf numFmtId="0" fontId="12" fillId="0" borderId="1" xfId="0" applyFont="1" applyBorder="1" applyAlignment="1">
      <alignment vertical="center"/>
    </xf>
    <xf numFmtId="0" fontId="12" fillId="10" borderId="27" xfId="0" applyFont="1" applyFill="1" applyBorder="1" applyAlignment="1">
      <alignment horizontal="center" vertical="center" wrapText="1"/>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12" fillId="10" borderId="26" xfId="0" applyFont="1" applyFill="1" applyBorder="1" applyAlignment="1">
      <alignment horizontal="center" vertical="center" wrapText="1"/>
    </xf>
    <xf numFmtId="0" fontId="2" fillId="8" borderId="26" xfId="0" applyFont="1" applyFill="1" applyBorder="1" applyAlignment="1">
      <alignment horizontal="center"/>
    </xf>
    <xf numFmtId="11" fontId="2" fillId="10" borderId="2" xfId="0" applyNumberFormat="1" applyFont="1" applyFill="1" applyBorder="1" applyAlignment="1">
      <alignment horizontal="center" vertical="top"/>
    </xf>
    <xf numFmtId="0" fontId="2" fillId="8" borderId="35" xfId="0" applyFont="1" applyFill="1" applyBorder="1" applyAlignment="1">
      <alignment horizontal="center"/>
    </xf>
    <xf numFmtId="0" fontId="2" fillId="8" borderId="27" xfId="0" applyFont="1" applyFill="1" applyBorder="1" applyAlignment="1">
      <alignment horizontal="center"/>
    </xf>
    <xf numFmtId="11" fontId="2" fillId="10" borderId="1" xfId="0" applyNumberFormat="1" applyFont="1" applyFill="1" applyBorder="1" applyAlignment="1">
      <alignment horizontal="center" vertical="top"/>
    </xf>
    <xf numFmtId="0" fontId="2" fillId="8" borderId="34" xfId="0" applyFont="1" applyFill="1" applyBorder="1" applyAlignment="1">
      <alignment horizontal="center"/>
    </xf>
    <xf numFmtId="0" fontId="12" fillId="10" borderId="25" xfId="0" applyFont="1" applyFill="1" applyBorder="1" applyAlignment="1">
      <alignment horizontal="center" vertical="center" wrapText="1"/>
    </xf>
    <xf numFmtId="0" fontId="2" fillId="8" borderId="25" xfId="0" applyFont="1" applyFill="1" applyBorder="1" applyAlignment="1">
      <alignment horizontal="center"/>
    </xf>
    <xf numFmtId="0" fontId="2" fillId="8" borderId="60" xfId="0" applyFont="1" applyFill="1" applyBorder="1" applyAlignment="1">
      <alignment horizontal="center"/>
    </xf>
    <xf numFmtId="0" fontId="2" fillId="8" borderId="22" xfId="0" applyFont="1" applyFill="1" applyBorder="1" applyAlignment="1">
      <alignment horizontal="center"/>
    </xf>
    <xf numFmtId="11" fontId="2" fillId="0" borderId="1" xfId="0" applyNumberFormat="1" applyFont="1" applyBorder="1" applyAlignment="1">
      <alignment horizontal="center"/>
    </xf>
    <xf numFmtId="2" fontId="2" fillId="0" borderId="1" xfId="0" applyNumberFormat="1" applyFont="1" applyBorder="1" applyAlignment="1">
      <alignment horizontal="center"/>
    </xf>
    <xf numFmtId="11" fontId="2" fillId="0" borderId="0" xfId="0" applyNumberFormat="1" applyFont="1"/>
    <xf numFmtId="0" fontId="26" fillId="0" borderId="0" xfId="0" applyFont="1" applyAlignment="1">
      <alignment horizontal="left" vertical="center"/>
    </xf>
    <xf numFmtId="0" fontId="8" fillId="0" borderId="0" xfId="0" applyFont="1" applyAlignment="1">
      <alignment horizontal="left" vertical="center"/>
    </xf>
    <xf numFmtId="0" fontId="2" fillId="0" borderId="24" xfId="0" applyFont="1" applyBorder="1" applyAlignment="1">
      <alignment vertical="center"/>
    </xf>
    <xf numFmtId="0" fontId="8" fillId="0" borderId="24" xfId="0" applyFont="1" applyBorder="1" applyAlignment="1">
      <alignment vertical="center"/>
    </xf>
    <xf numFmtId="0" fontId="9" fillId="0" borderId="47" xfId="0" applyFont="1" applyBorder="1" applyAlignment="1">
      <alignment horizontal="center" vertical="center" wrapText="1"/>
    </xf>
    <xf numFmtId="0" fontId="9" fillId="0" borderId="46" xfId="0" applyFont="1" applyBorder="1" applyAlignment="1">
      <alignment horizontal="center" vertical="center" wrapText="1"/>
    </xf>
    <xf numFmtId="0" fontId="2" fillId="0" borderId="46" xfId="0" applyFont="1" applyBorder="1" applyAlignment="1">
      <alignment horizontal="center" vertical="center"/>
    </xf>
    <xf numFmtId="0" fontId="9" fillId="0" borderId="49"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67" xfId="0" applyFont="1" applyBorder="1" applyAlignment="1">
      <alignment horizontal="center" vertical="center" wrapText="1"/>
    </xf>
    <xf numFmtId="0" fontId="9" fillId="3" borderId="24" xfId="0" applyFont="1" applyFill="1" applyBorder="1" applyAlignment="1">
      <alignment horizontal="center" vertical="center" wrapText="1"/>
    </xf>
    <xf numFmtId="0" fontId="12" fillId="0" borderId="49" xfId="0" applyFont="1" applyBorder="1" applyAlignment="1">
      <alignment horizontal="center" vertical="center"/>
    </xf>
    <xf numFmtId="0" fontId="2" fillId="8" borderId="39" xfId="0" applyFont="1" applyFill="1" applyBorder="1" applyAlignment="1">
      <alignment horizontal="center" vertical="center" wrapText="1"/>
    </xf>
    <xf numFmtId="0" fontId="12" fillId="8" borderId="27" xfId="0" applyFont="1" applyFill="1" applyBorder="1" applyAlignment="1">
      <alignment horizontal="center" vertical="center" wrapText="1"/>
    </xf>
    <xf numFmtId="169" fontId="12" fillId="0" borderId="39" xfId="0" applyNumberFormat="1" applyFont="1" applyBorder="1" applyAlignment="1">
      <alignment horizontal="center" vertical="center" wrapText="1"/>
    </xf>
    <xf numFmtId="11" fontId="12" fillId="0" borderId="1" xfId="0" applyNumberFormat="1" applyFont="1" applyBorder="1" applyAlignment="1">
      <alignment horizontal="center" vertical="center" wrapText="1"/>
    </xf>
    <xf numFmtId="11" fontId="2" fillId="0" borderId="40" xfId="0" applyNumberFormat="1" applyFont="1" applyBorder="1" applyAlignment="1">
      <alignment horizontal="center" vertical="center"/>
    </xf>
    <xf numFmtId="167" fontId="2" fillId="0" borderId="45" xfId="0" applyNumberFormat="1" applyFont="1" applyBorder="1" applyAlignment="1">
      <alignment horizontal="center" vertical="center"/>
    </xf>
    <xf numFmtId="167" fontId="2" fillId="0" borderId="65" xfId="0" applyNumberFormat="1" applyFont="1" applyBorder="1" applyAlignment="1">
      <alignment horizontal="center" vertical="center"/>
    </xf>
    <xf numFmtId="167" fontId="2" fillId="0" borderId="49" xfId="0" applyNumberFormat="1" applyFont="1" applyBorder="1" applyAlignment="1">
      <alignment horizontal="center" vertical="center"/>
    </xf>
    <xf numFmtId="167" fontId="2" fillId="0" borderId="0" xfId="0" applyNumberFormat="1" applyFont="1" applyAlignment="1">
      <alignment horizontal="center" vertical="center"/>
    </xf>
    <xf numFmtId="167" fontId="2" fillId="0" borderId="50" xfId="0" applyNumberFormat="1" applyFont="1" applyBorder="1" applyAlignment="1">
      <alignment horizontal="center" vertical="center"/>
    </xf>
    <xf numFmtId="11" fontId="2" fillId="0" borderId="65" xfId="0" applyNumberFormat="1" applyFont="1" applyBorder="1" applyAlignment="1">
      <alignment horizontal="center" vertical="center"/>
    </xf>
    <xf numFmtId="11" fontId="2" fillId="0" borderId="45" xfId="0" applyNumberFormat="1" applyFont="1" applyBorder="1" applyAlignment="1">
      <alignment horizontal="center" vertical="center"/>
    </xf>
    <xf numFmtId="166" fontId="2" fillId="0" borderId="45" xfId="0" applyNumberFormat="1" applyFont="1" applyBorder="1" applyAlignment="1">
      <alignment horizontal="center" vertical="center"/>
    </xf>
    <xf numFmtId="11" fontId="2" fillId="0" borderId="49" xfId="0" applyNumberFormat="1" applyFont="1" applyBorder="1" applyAlignment="1">
      <alignment horizontal="center" vertical="center"/>
    </xf>
    <xf numFmtId="166" fontId="2" fillId="0" borderId="0" xfId="0" applyNumberFormat="1" applyFont="1" applyAlignment="1">
      <alignment horizontal="center" vertical="center"/>
    </xf>
    <xf numFmtId="0" fontId="12" fillId="0" borderId="72" xfId="0" applyFont="1" applyBorder="1" applyAlignment="1">
      <alignment horizontal="center" vertical="center"/>
    </xf>
    <xf numFmtId="0" fontId="2" fillId="8" borderId="74" xfId="0" applyFont="1" applyFill="1" applyBorder="1" applyAlignment="1">
      <alignment horizontal="center" vertical="center" wrapText="1"/>
    </xf>
    <xf numFmtId="0" fontId="12" fillId="8" borderId="86" xfId="0" applyFont="1" applyFill="1" applyBorder="1" applyAlignment="1">
      <alignment horizontal="center" vertical="center" wrapText="1"/>
    </xf>
    <xf numFmtId="169" fontId="12" fillId="0" borderId="73" xfId="0" applyNumberFormat="1" applyFont="1" applyBorder="1" applyAlignment="1">
      <alignment horizontal="center" vertical="center" wrapText="1"/>
    </xf>
    <xf numFmtId="0" fontId="12" fillId="0" borderId="74" xfId="0" applyFont="1" applyBorder="1" applyAlignment="1">
      <alignment horizontal="center" vertical="center" wrapText="1"/>
    </xf>
    <xf numFmtId="11" fontId="12" fillId="0" borderId="74" xfId="0" applyNumberFormat="1" applyFont="1" applyBorder="1" applyAlignment="1">
      <alignment horizontal="center" vertical="center" wrapText="1"/>
    </xf>
    <xf numFmtId="0" fontId="2" fillId="0" borderId="74" xfId="0" applyFont="1" applyBorder="1" applyAlignment="1">
      <alignment horizontal="center" vertical="center" wrapText="1"/>
    </xf>
    <xf numFmtId="11" fontId="2" fillId="0" borderId="74" xfId="0" applyNumberFormat="1" applyFont="1" applyBorder="1" applyAlignment="1">
      <alignment horizontal="center"/>
    </xf>
    <xf numFmtId="11" fontId="2" fillId="0" borderId="75" xfId="0" applyNumberFormat="1" applyFont="1" applyBorder="1" applyAlignment="1">
      <alignment horizontal="center" vertical="center"/>
    </xf>
    <xf numFmtId="11" fontId="2" fillId="0" borderId="67" xfId="0" applyNumberFormat="1" applyFont="1" applyBorder="1" applyAlignment="1">
      <alignment horizontal="center" vertical="center"/>
    </xf>
    <xf numFmtId="11" fontId="2" fillId="0" borderId="24" xfId="0" applyNumberFormat="1" applyFont="1" applyBorder="1" applyAlignment="1">
      <alignment horizontal="center" vertical="center"/>
    </xf>
    <xf numFmtId="166" fontId="2" fillId="0" borderId="24" xfId="0" applyNumberFormat="1" applyFont="1" applyBorder="1" applyAlignment="1">
      <alignment horizontal="center" vertical="center"/>
    </xf>
    <xf numFmtId="0" fontId="2" fillId="0" borderId="24" xfId="0" applyFont="1" applyBorder="1" applyAlignment="1">
      <alignment horizontal="center" vertical="center"/>
    </xf>
    <xf numFmtId="0" fontId="12" fillId="0" borderId="77" xfId="0" applyFont="1" applyBorder="1" applyAlignment="1">
      <alignment horizontal="center" vertical="center"/>
    </xf>
    <xf numFmtId="0" fontId="2" fillId="8" borderId="80" xfId="0" applyFont="1" applyFill="1" applyBorder="1" applyAlignment="1">
      <alignment horizontal="center" vertical="center" wrapText="1"/>
    </xf>
    <xf numFmtId="0" fontId="12" fillId="8" borderId="87" xfId="0" applyFont="1" applyFill="1" applyBorder="1" applyAlignment="1">
      <alignment horizontal="center" vertical="center" wrapText="1"/>
    </xf>
    <xf numFmtId="169" fontId="12" fillId="0" borderId="52" xfId="0" applyNumberFormat="1" applyFont="1" applyBorder="1" applyAlignment="1">
      <alignment horizontal="center" vertical="center" wrapText="1"/>
    </xf>
    <xf numFmtId="0" fontId="12" fillId="0" borderId="2" xfId="0" applyFont="1" applyBorder="1" applyAlignment="1">
      <alignment horizontal="center" vertical="center" wrapText="1"/>
    </xf>
    <xf numFmtId="11" fontId="12" fillId="0" borderId="2" xfId="0" applyNumberFormat="1" applyFont="1" applyBorder="1" applyAlignment="1">
      <alignment horizontal="center" vertical="center" wrapText="1"/>
    </xf>
    <xf numFmtId="11" fontId="2" fillId="0" borderId="2" xfId="0" applyNumberFormat="1" applyFont="1" applyBorder="1" applyAlignment="1">
      <alignment horizontal="center"/>
    </xf>
    <xf numFmtId="11" fontId="2" fillId="0" borderId="70" xfId="0" applyNumberFormat="1" applyFont="1" applyBorder="1" applyAlignment="1">
      <alignment horizontal="center" vertical="center"/>
    </xf>
    <xf numFmtId="0" fontId="9" fillId="0" borderId="0" xfId="0" applyFont="1" applyAlignment="1">
      <alignment horizontal="center" vertical="center"/>
    </xf>
    <xf numFmtId="0" fontId="9" fillId="0" borderId="48"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2" xfId="0" applyFont="1" applyBorder="1" applyAlignment="1">
      <alignment horizontal="center" vertical="center" wrapText="1"/>
    </xf>
    <xf numFmtId="2" fontId="12" fillId="0" borderId="26" xfId="0" applyNumberFormat="1" applyFont="1" applyBorder="1" applyAlignment="1">
      <alignment horizontal="center" vertical="center"/>
    </xf>
    <xf numFmtId="11" fontId="12" fillId="0" borderId="39" xfId="0" applyNumberFormat="1" applyFont="1" applyBorder="1" applyAlignment="1">
      <alignment horizontal="center" vertical="center"/>
    </xf>
    <xf numFmtId="11" fontId="13" fillId="0" borderId="2" xfId="0" applyNumberFormat="1" applyFont="1" applyBorder="1" applyAlignment="1">
      <alignment horizontal="center"/>
    </xf>
    <xf numFmtId="166" fontId="2" fillId="0" borderId="49" xfId="0" applyNumberFormat="1" applyFont="1" applyBorder="1" applyAlignment="1">
      <alignment horizontal="center" vertical="center"/>
    </xf>
    <xf numFmtId="167" fontId="2" fillId="0" borderId="0" xfId="0" applyNumberFormat="1" applyFont="1"/>
    <xf numFmtId="11" fontId="2" fillId="0" borderId="0" xfId="0" applyNumberFormat="1" applyFont="1" applyAlignment="1">
      <alignment horizontal="center"/>
    </xf>
    <xf numFmtId="11" fontId="13" fillId="0" borderId="1" xfId="0" applyNumberFormat="1" applyFont="1" applyBorder="1" applyAlignment="1">
      <alignment horizontal="center"/>
    </xf>
    <xf numFmtId="11" fontId="12" fillId="0" borderId="41" xfId="0" applyNumberFormat="1" applyFont="1" applyBorder="1" applyAlignment="1">
      <alignment horizontal="center" vertical="center"/>
    </xf>
    <xf numFmtId="0" fontId="12" fillId="0" borderId="3" xfId="0" applyFont="1" applyBorder="1" applyAlignment="1">
      <alignment horizontal="center" vertical="center" wrapText="1"/>
    </xf>
    <xf numFmtId="11" fontId="2" fillId="0" borderId="3" xfId="0" applyNumberFormat="1" applyFont="1" applyBorder="1" applyAlignment="1">
      <alignment horizontal="center"/>
    </xf>
    <xf numFmtId="11" fontId="13" fillId="0" borderId="3" xfId="0" applyNumberFormat="1" applyFont="1" applyBorder="1" applyAlignment="1">
      <alignment horizontal="center"/>
    </xf>
    <xf numFmtId="11" fontId="2" fillId="0" borderId="42" xfId="0" applyNumberFormat="1" applyFont="1" applyBorder="1" applyAlignment="1">
      <alignment horizontal="center" vertical="center"/>
    </xf>
    <xf numFmtId="0" fontId="2" fillId="0" borderId="79" xfId="0" applyFont="1" applyBorder="1" applyAlignment="1">
      <alignment horizontal="center" vertical="center" wrapText="1"/>
    </xf>
    <xf numFmtId="0" fontId="2" fillId="0" borderId="80"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73" xfId="0" applyFont="1" applyBorder="1" applyAlignment="1">
      <alignment horizontal="center" vertical="center" wrapText="1"/>
    </xf>
    <xf numFmtId="11" fontId="12" fillId="0" borderId="73" xfId="0" applyNumberFormat="1" applyFont="1" applyBorder="1" applyAlignment="1">
      <alignment horizontal="center" vertical="center"/>
    </xf>
    <xf numFmtId="0" fontId="2" fillId="0" borderId="74" xfId="0" applyFont="1" applyBorder="1" applyAlignment="1">
      <alignment horizontal="center"/>
    </xf>
    <xf numFmtId="11" fontId="13" fillId="0" borderId="74" xfId="0" applyNumberFormat="1" applyFont="1" applyBorder="1" applyAlignment="1">
      <alignment horizontal="center"/>
    </xf>
    <xf numFmtId="1" fontId="2" fillId="0" borderId="79" xfId="0" applyNumberFormat="1" applyFont="1" applyBorder="1" applyAlignment="1">
      <alignment horizontal="center" vertical="center" wrapText="1"/>
    </xf>
    <xf numFmtId="1" fontId="2" fillId="0" borderId="80" xfId="0" applyNumberFormat="1" applyFont="1" applyBorder="1" applyAlignment="1">
      <alignment horizontal="center" vertical="center" wrapText="1"/>
    </xf>
    <xf numFmtId="2" fontId="12" fillId="0" borderId="91" xfId="0" applyNumberFormat="1" applyFont="1" applyBorder="1" applyAlignment="1">
      <alignment horizontal="center" vertical="center"/>
    </xf>
    <xf numFmtId="11" fontId="12" fillId="0" borderId="52" xfId="0" applyNumberFormat="1" applyFont="1" applyBorder="1" applyAlignment="1">
      <alignment horizontal="center" vertical="center"/>
    </xf>
    <xf numFmtId="1" fontId="2" fillId="0" borderId="52"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11" fontId="2" fillId="0" borderId="0" xfId="0" applyNumberFormat="1" applyFont="1" applyBorder="1" applyAlignment="1">
      <alignment horizontal="center" vertical="center"/>
    </xf>
    <xf numFmtId="1" fontId="2" fillId="0" borderId="39"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2" fontId="12" fillId="0" borderId="27" xfId="0" applyNumberFormat="1" applyFont="1" applyBorder="1" applyAlignment="1">
      <alignment horizontal="center" vertical="center"/>
    </xf>
    <xf numFmtId="1" fontId="2" fillId="0" borderId="73" xfId="0" applyNumberFormat="1" applyFont="1" applyBorder="1" applyAlignment="1">
      <alignment horizontal="center" vertical="center" wrapText="1"/>
    </xf>
    <xf numFmtId="1" fontId="2" fillId="0" borderId="74" xfId="0" applyNumberFormat="1" applyFont="1" applyBorder="1" applyAlignment="1">
      <alignment horizontal="center" vertical="center" wrapText="1"/>
    </xf>
    <xf numFmtId="2" fontId="12" fillId="0" borderId="86" xfId="0" applyNumberFormat="1" applyFont="1" applyBorder="1" applyAlignment="1">
      <alignment horizontal="center" vertical="center"/>
    </xf>
    <xf numFmtId="11" fontId="2" fillId="0" borderId="51" xfId="0" applyNumberFormat="1" applyFont="1" applyBorder="1" applyAlignment="1">
      <alignment horizontal="center" vertical="center"/>
    </xf>
    <xf numFmtId="0" fontId="9" fillId="0" borderId="1" xfId="0" applyFont="1" applyBorder="1" applyAlignment="1">
      <alignment horizontal="center" vertical="center" wrapText="1"/>
    </xf>
    <xf numFmtId="0" fontId="2" fillId="0" borderId="1" xfId="0" applyFont="1" applyBorder="1" applyAlignment="1">
      <alignment horizontal="left" vertical="center" wrapText="1"/>
    </xf>
    <xf numFmtId="0" fontId="9" fillId="14" borderId="0" xfId="0" applyFont="1" applyFill="1" applyAlignment="1">
      <alignment horizontal="center" vertical="center"/>
    </xf>
    <xf numFmtId="0" fontId="2" fillId="14" borderId="0" xfId="0" applyFont="1" applyFill="1" applyAlignment="1">
      <alignment horizontal="center"/>
    </xf>
    <xf numFmtId="0" fontId="9" fillId="0" borderId="1" xfId="0" applyFont="1" applyBorder="1" applyAlignment="1">
      <alignment horizontal="left" vertical="center"/>
    </xf>
    <xf numFmtId="0" fontId="2" fillId="14" borderId="0" xfId="0" applyFont="1" applyFill="1"/>
    <xf numFmtId="0" fontId="12" fillId="0" borderId="1" xfId="0" applyFont="1" applyBorder="1" applyAlignment="1">
      <alignment horizontal="left" vertical="center" wrapText="1"/>
    </xf>
    <xf numFmtId="0" fontId="39" fillId="14"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11" fontId="40" fillId="14" borderId="1" xfId="0" applyNumberFormat="1" applyFont="1" applyFill="1" applyBorder="1" applyAlignment="1">
      <alignment horizontal="center" vertical="center"/>
    </xf>
    <xf numFmtId="11" fontId="2" fillId="14" borderId="1" xfId="0" applyNumberFormat="1" applyFont="1" applyFill="1" applyBorder="1" applyAlignment="1">
      <alignment horizontal="center" vertical="center"/>
    </xf>
    <xf numFmtId="0" fontId="12" fillId="0" borderId="94" xfId="0" applyFont="1" applyBorder="1" applyAlignment="1">
      <alignment horizontal="center" vertical="center"/>
    </xf>
    <xf numFmtId="0" fontId="12" fillId="0" borderId="95" xfId="0" applyFont="1" applyBorder="1" applyAlignment="1">
      <alignment horizontal="center" vertical="center"/>
    </xf>
    <xf numFmtId="0" fontId="12" fillId="0" borderId="96" xfId="0" applyFont="1" applyBorder="1" applyAlignment="1">
      <alignment horizontal="center" vertical="center"/>
    </xf>
    <xf numFmtId="0" fontId="12" fillId="0" borderId="97" xfId="0" applyFont="1" applyBorder="1" applyAlignment="1">
      <alignment horizontal="center" vertical="center"/>
    </xf>
    <xf numFmtId="0" fontId="12" fillId="0" borderId="98" xfId="0" applyFont="1" applyBorder="1" applyAlignment="1">
      <alignment horizontal="center" vertical="center"/>
    </xf>
    <xf numFmtId="0" fontId="12" fillId="0" borderId="101" xfId="0" applyFont="1" applyBorder="1" applyAlignment="1">
      <alignment horizontal="center" vertical="center"/>
    </xf>
    <xf numFmtId="0" fontId="12" fillId="0" borderId="103" xfId="0" applyFont="1" applyBorder="1" applyAlignment="1">
      <alignment horizontal="center" vertical="center"/>
    </xf>
    <xf numFmtId="0" fontId="12" fillId="0" borderId="102" xfId="0" applyFont="1" applyBorder="1" applyAlignment="1">
      <alignment horizontal="center" vertical="center"/>
    </xf>
    <xf numFmtId="0" fontId="12" fillId="0" borderId="99" xfId="0" applyFont="1" applyBorder="1" applyAlignment="1">
      <alignment horizontal="center" vertical="center"/>
    </xf>
    <xf numFmtId="0" fontId="2" fillId="8" borderId="52"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73" xfId="0" applyFont="1" applyFill="1" applyBorder="1" applyAlignment="1">
      <alignment horizontal="center" vertical="center" wrapText="1"/>
    </xf>
    <xf numFmtId="2" fontId="2" fillId="0" borderId="61" xfId="0" applyNumberFormat="1" applyFont="1" applyBorder="1" applyAlignment="1">
      <alignment horizontal="center"/>
    </xf>
    <xf numFmtId="2" fontId="2" fillId="0" borderId="0" xfId="0" applyNumberFormat="1" applyFont="1" applyAlignment="1">
      <alignment horizontal="center"/>
    </xf>
    <xf numFmtId="0" fontId="2" fillId="0" borderId="62" xfId="0" applyFont="1" applyBorder="1" applyAlignment="1">
      <alignment horizontal="center"/>
    </xf>
    <xf numFmtId="0" fontId="2" fillId="0" borderId="45" xfId="0" applyFont="1" applyBorder="1" applyAlignment="1">
      <alignment horizontal="center"/>
    </xf>
    <xf numFmtId="11" fontId="2" fillId="0" borderId="45" xfId="0" applyNumberFormat="1" applyFont="1" applyBorder="1" applyAlignment="1">
      <alignment horizontal="center"/>
    </xf>
    <xf numFmtId="2" fontId="2" fillId="0" borderId="84" xfId="0" applyNumberFormat="1" applyFont="1" applyBorder="1" applyAlignment="1">
      <alignment horizontal="center"/>
    </xf>
    <xf numFmtId="2" fontId="2" fillId="0" borderId="45" xfId="0" applyNumberFormat="1" applyFont="1" applyBorder="1" applyAlignment="1">
      <alignment horizontal="center"/>
    </xf>
    <xf numFmtId="0" fontId="2" fillId="0" borderId="85" xfId="0" applyFont="1" applyBorder="1" applyAlignment="1">
      <alignment horizontal="center"/>
    </xf>
    <xf numFmtId="0" fontId="2" fillId="0" borderId="24" xfId="0" applyFont="1" applyBorder="1" applyAlignment="1">
      <alignment horizontal="center"/>
    </xf>
    <xf numFmtId="11" fontId="2" fillId="0" borderId="24" xfId="0" applyNumberFormat="1" applyFont="1" applyBorder="1" applyAlignment="1">
      <alignment horizontal="center"/>
    </xf>
    <xf numFmtId="2" fontId="2" fillId="0" borderId="64" xfId="0" applyNumberFormat="1" applyFont="1" applyBorder="1" applyAlignment="1">
      <alignment horizontal="center"/>
    </xf>
    <xf numFmtId="2" fontId="2" fillId="0" borderId="24" xfId="0" applyNumberFormat="1" applyFont="1" applyBorder="1" applyAlignment="1">
      <alignment horizontal="center"/>
    </xf>
    <xf numFmtId="0" fontId="2" fillId="0" borderId="63" xfId="0" applyFont="1" applyBorder="1" applyAlignment="1">
      <alignment horizontal="center"/>
    </xf>
    <xf numFmtId="0" fontId="2" fillId="0" borderId="11" xfId="0" applyFont="1" applyBorder="1"/>
    <xf numFmtId="0" fontId="2" fillId="0" borderId="37" xfId="0" applyFont="1" applyBorder="1"/>
    <xf numFmtId="0" fontId="2" fillId="0" borderId="35" xfId="0" applyFont="1" applyBorder="1"/>
    <xf numFmtId="0" fontId="2" fillId="0" borderId="5" xfId="0" applyFont="1" applyBorder="1" applyAlignment="1">
      <alignment horizontal="center"/>
    </xf>
    <xf numFmtId="0" fontId="2" fillId="0" borderId="22" xfId="0" applyFont="1" applyBorder="1" applyAlignment="1">
      <alignment horizontal="center"/>
    </xf>
    <xf numFmtId="2" fontId="2" fillId="0" borderId="5" xfId="0" applyNumberFormat="1" applyFont="1" applyBorder="1" applyAlignment="1">
      <alignment horizontal="center"/>
    </xf>
    <xf numFmtId="2" fontId="2" fillId="0" borderId="22" xfId="0" applyNumberFormat="1" applyFont="1" applyBorder="1" applyAlignment="1">
      <alignment horizontal="center"/>
    </xf>
    <xf numFmtId="2" fontId="2" fillId="0" borderId="2" xfId="0" applyNumberFormat="1" applyFont="1" applyBorder="1" applyAlignment="1">
      <alignment horizontal="center"/>
    </xf>
    <xf numFmtId="11" fontId="2" fillId="0" borderId="5" xfId="0" applyNumberFormat="1" applyFont="1" applyBorder="1" applyAlignment="1">
      <alignment horizontal="center"/>
    </xf>
    <xf numFmtId="11" fontId="2" fillId="0" borderId="107" xfId="0" applyNumberFormat="1" applyFont="1" applyBorder="1" applyAlignment="1">
      <alignment horizontal="center"/>
    </xf>
    <xf numFmtId="11" fontId="2" fillId="0" borderId="64" xfId="0" applyNumberFormat="1" applyFont="1" applyBorder="1" applyAlignment="1">
      <alignment horizontal="center"/>
    </xf>
    <xf numFmtId="0" fontId="9" fillId="2" borderId="1" xfId="0" applyFont="1" applyFill="1" applyBorder="1" applyAlignment="1">
      <alignment horizontal="center" vertical="center" wrapText="1"/>
    </xf>
    <xf numFmtId="0" fontId="13" fillId="0" borderId="0" xfId="0" applyFont="1" applyAlignment="1">
      <alignment horizontal="center" vertical="center" wrapText="1"/>
    </xf>
    <xf numFmtId="0" fontId="9" fillId="2" borderId="1" xfId="0" applyFont="1" applyFill="1" applyBorder="1" applyAlignment="1">
      <alignment horizontal="center" vertical="center"/>
    </xf>
    <xf numFmtId="0" fontId="41" fillId="2" borderId="1" xfId="0" applyFont="1" applyFill="1" applyBorder="1" applyAlignment="1">
      <alignment horizontal="center" vertical="center"/>
    </xf>
    <xf numFmtId="0" fontId="9" fillId="2" borderId="108" xfId="0" applyFont="1" applyFill="1" applyBorder="1" applyAlignment="1">
      <alignment horizontal="center" vertical="center"/>
    </xf>
    <xf numFmtId="0" fontId="9" fillId="2" borderId="71" xfId="0" applyFont="1" applyFill="1" applyBorder="1" applyAlignment="1">
      <alignment horizontal="center" vertical="center"/>
    </xf>
    <xf numFmtId="0" fontId="9" fillId="2" borderId="109" xfId="0" applyFont="1" applyFill="1" applyBorder="1" applyAlignment="1">
      <alignment horizontal="center" vertical="center" wrapText="1"/>
    </xf>
    <xf numFmtId="0" fontId="9" fillId="2" borderId="71" xfId="0" applyFont="1" applyFill="1" applyBorder="1" applyAlignment="1">
      <alignment horizontal="center" wrapText="1"/>
    </xf>
    <xf numFmtId="0" fontId="9" fillId="2" borderId="110" xfId="0" applyFont="1" applyFill="1" applyBorder="1" applyAlignment="1">
      <alignment horizontal="center" wrapText="1"/>
    </xf>
    <xf numFmtId="0" fontId="9" fillId="2" borderId="109" xfId="0" applyFont="1" applyFill="1" applyBorder="1" applyAlignment="1">
      <alignment horizontal="center" wrapText="1"/>
    </xf>
    <xf numFmtId="0" fontId="9" fillId="2" borderId="111" xfId="0" applyFont="1" applyFill="1" applyBorder="1" applyAlignment="1">
      <alignment horizontal="center" wrapText="1"/>
    </xf>
    <xf numFmtId="0" fontId="9" fillId="2" borderId="71" xfId="0" applyFont="1" applyFill="1" applyBorder="1" applyAlignment="1">
      <alignment horizontal="center" vertical="center" wrapText="1"/>
    </xf>
    <xf numFmtId="0" fontId="26" fillId="4" borderId="0" xfId="0" applyFont="1" applyFill="1"/>
    <xf numFmtId="0" fontId="2" fillId="4" borderId="0" xfId="0" applyFont="1" applyFill="1"/>
    <xf numFmtId="0" fontId="2" fillId="4" borderId="0" xfId="0" applyFont="1" applyFill="1" applyAlignment="1">
      <alignment vertical="top"/>
    </xf>
    <xf numFmtId="0" fontId="2" fillId="0" borderId="0" xfId="0" applyFont="1" applyAlignment="1">
      <alignment vertical="top"/>
    </xf>
    <xf numFmtId="49" fontId="9" fillId="2"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wrapText="1"/>
    </xf>
    <xf numFmtId="2" fontId="2" fillId="0" borderId="1" xfId="0" applyNumberFormat="1" applyFont="1" applyBorder="1" applyAlignment="1">
      <alignment vertical="center"/>
    </xf>
    <xf numFmtId="164" fontId="2" fillId="0" borderId="1" xfId="0" applyNumberFormat="1" applyFont="1" applyBorder="1" applyAlignment="1">
      <alignment horizontal="center" vertical="center"/>
    </xf>
    <xf numFmtId="2" fontId="2" fillId="0" borderId="22" xfId="0" applyNumberFormat="1" applyFont="1" applyBorder="1" applyAlignment="1">
      <alignment vertical="center"/>
    </xf>
    <xf numFmtId="0" fontId="2" fillId="17" borderId="0" xfId="0" applyFont="1" applyFill="1"/>
    <xf numFmtId="0" fontId="0" fillId="17" borderId="0" xfId="0" applyFill="1"/>
    <xf numFmtId="0" fontId="2" fillId="17" borderId="0" xfId="0" applyFont="1" applyFill="1" applyAlignment="1">
      <alignment horizontal="left"/>
    </xf>
    <xf numFmtId="164" fontId="2" fillId="17" borderId="0" xfId="0" applyNumberFormat="1" applyFont="1" applyFill="1"/>
    <xf numFmtId="2" fontId="2" fillId="17" borderId="0" xfId="0" applyNumberFormat="1" applyFont="1" applyFill="1"/>
    <xf numFmtId="0" fontId="2" fillId="17" borderId="45" xfId="0" applyFont="1" applyFill="1" applyBorder="1" applyAlignment="1">
      <alignment horizontal="left"/>
    </xf>
    <xf numFmtId="2" fontId="2" fillId="0" borderId="2" xfId="0" applyNumberFormat="1" applyFont="1" applyBorder="1" applyAlignment="1">
      <alignment vertical="center"/>
    </xf>
    <xf numFmtId="2" fontId="2" fillId="0" borderId="2" xfId="0" applyNumberFormat="1" applyFont="1" applyBorder="1" applyAlignment="1">
      <alignment horizontal="center" vertical="center"/>
    </xf>
    <xf numFmtId="164" fontId="2" fillId="0" borderId="2" xfId="0" applyNumberFormat="1" applyFont="1" applyBorder="1" applyAlignment="1">
      <alignment horizontal="center" vertical="center"/>
    </xf>
    <xf numFmtId="49" fontId="9" fillId="2" borderId="74" xfId="0" applyNumberFormat="1" applyFont="1" applyFill="1" applyBorder="1" applyAlignment="1">
      <alignment horizontal="center" vertical="center"/>
    </xf>
    <xf numFmtId="49" fontId="9" fillId="2" borderId="74" xfId="0" applyNumberFormat="1" applyFont="1" applyFill="1" applyBorder="1" applyAlignment="1">
      <alignment horizontal="center" vertical="center" wrapText="1"/>
    </xf>
    <xf numFmtId="0" fontId="2" fillId="0" borderId="0" xfId="0" applyFont="1" applyBorder="1"/>
    <xf numFmtId="0" fontId="2" fillId="0" borderId="0" xfId="0" applyFont="1" applyBorder="1" applyAlignment="1">
      <alignment horizontal="center"/>
    </xf>
    <xf numFmtId="0" fontId="2" fillId="0" borderId="0" xfId="0" applyFont="1" applyBorder="1" applyAlignment="1">
      <alignment horizontal="center" vertical="center"/>
    </xf>
    <xf numFmtId="0" fontId="2" fillId="0" borderId="2" xfId="0" applyFont="1" applyBorder="1" applyAlignment="1">
      <alignment horizontal="left" vertical="center"/>
    </xf>
    <xf numFmtId="0" fontId="25" fillId="0" borderId="0" xfId="0" applyFont="1" applyAlignment="1">
      <alignment vertical="center"/>
    </xf>
    <xf numFmtId="0" fontId="2" fillId="0" borderId="1" xfId="0" applyFont="1" applyBorder="1" applyAlignment="1">
      <alignment horizontal="left" vertical="center"/>
    </xf>
    <xf numFmtId="0" fontId="2" fillId="0" borderId="27" xfId="0" applyFont="1" applyBorder="1" applyAlignment="1">
      <alignment horizontal="center" vertical="center"/>
    </xf>
    <xf numFmtId="0" fontId="2" fillId="0" borderId="1" xfId="0" applyFont="1" applyBorder="1" applyAlignment="1">
      <alignment vertical="center"/>
    </xf>
    <xf numFmtId="0" fontId="2" fillId="0" borderId="9" xfId="0" applyFont="1" applyBorder="1" applyAlignment="1">
      <alignment vertical="center"/>
    </xf>
    <xf numFmtId="0" fontId="24" fillId="0" borderId="1" xfId="0" applyFont="1" applyBorder="1" applyAlignment="1">
      <alignment horizontal="center" vertical="center"/>
    </xf>
    <xf numFmtId="0" fontId="9" fillId="2" borderId="74" xfId="0" applyFont="1" applyFill="1" applyBorder="1" applyAlignment="1">
      <alignment horizontal="center" vertical="center"/>
    </xf>
    <xf numFmtId="0" fontId="2" fillId="0" borderId="1" xfId="0" quotePrefix="1" applyFont="1" applyBorder="1" applyAlignment="1">
      <alignment horizontal="center" vertical="center" wrapText="1"/>
    </xf>
    <xf numFmtId="2" fontId="2" fillId="0" borderId="1" xfId="0" applyNumberFormat="1" applyFont="1" applyBorder="1" applyAlignment="1">
      <alignment horizontal="center" vertical="center" wrapText="1"/>
    </xf>
    <xf numFmtId="0" fontId="9" fillId="2" borderId="74" xfId="0" applyFont="1" applyFill="1" applyBorder="1" applyAlignment="1">
      <alignment horizontal="center" vertical="center" wrapText="1"/>
    </xf>
    <xf numFmtId="0" fontId="45" fillId="0" borderId="0" xfId="0" applyFont="1" applyAlignment="1">
      <alignment vertical="center"/>
    </xf>
    <xf numFmtId="0" fontId="44" fillId="0" borderId="2" xfId="1" applyFont="1" applyBorder="1" applyAlignment="1">
      <alignment horizontal="center" vertical="center" wrapText="1"/>
    </xf>
    <xf numFmtId="0" fontId="44" fillId="0" borderId="1" xfId="1" applyFont="1" applyBorder="1" applyAlignment="1">
      <alignment horizontal="center" vertical="center" wrapText="1"/>
    </xf>
    <xf numFmtId="0" fontId="44" fillId="0" borderId="1" xfId="1" applyFont="1" applyBorder="1" applyAlignment="1">
      <alignment horizontal="center" vertical="center"/>
    </xf>
    <xf numFmtId="0" fontId="9" fillId="2" borderId="86" xfId="0" applyFont="1" applyFill="1" applyBorder="1" applyAlignment="1">
      <alignment horizontal="center" vertical="center" wrapText="1"/>
    </xf>
    <xf numFmtId="0" fontId="9" fillId="2" borderId="112" xfId="0" applyFont="1" applyFill="1" applyBorder="1" applyAlignment="1">
      <alignment horizontal="center" vertical="center" wrapText="1"/>
    </xf>
    <xf numFmtId="0" fontId="2" fillId="0" borderId="113" xfId="0" applyFont="1" applyBorder="1" applyAlignment="1">
      <alignment horizontal="center" vertical="center" wrapText="1"/>
    </xf>
    <xf numFmtId="0" fontId="12" fillId="8" borderId="1" xfId="0" applyFont="1" applyFill="1" applyBorder="1" applyAlignment="1">
      <alignment vertical="center" wrapText="1"/>
    </xf>
    <xf numFmtId="0" fontId="2" fillId="8" borderId="1" xfId="0" applyFont="1" applyFill="1" applyBorder="1" applyAlignment="1">
      <alignment vertical="center"/>
    </xf>
    <xf numFmtId="0" fontId="2" fillId="0" borderId="0" xfId="0" applyFont="1" applyAlignment="1">
      <alignment vertical="center" wrapText="1"/>
    </xf>
    <xf numFmtId="0" fontId="5" fillId="0" borderId="0" xfId="0" applyFont="1" applyAlignment="1">
      <alignment vertical="center" wrapText="1"/>
    </xf>
    <xf numFmtId="0" fontId="37" fillId="7" borderId="1" xfId="0" applyFont="1" applyFill="1" applyBorder="1" applyAlignment="1">
      <alignment vertical="center"/>
    </xf>
    <xf numFmtId="0" fontId="2" fillId="7" borderId="1" xfId="0" applyFont="1" applyFill="1" applyBorder="1" applyAlignment="1">
      <alignment vertical="center"/>
    </xf>
    <xf numFmtId="0" fontId="2" fillId="10" borderId="2" xfId="0" applyFont="1" applyFill="1" applyBorder="1" applyAlignment="1">
      <alignment horizontal="center" vertical="center" wrapText="1"/>
    </xf>
    <xf numFmtId="165" fontId="12" fillId="10" borderId="2" xfId="0" applyNumberFormat="1" applyFont="1" applyFill="1" applyBorder="1" applyAlignment="1">
      <alignment horizontal="center" vertical="center" wrapText="1"/>
    </xf>
    <xf numFmtId="2" fontId="12" fillId="10" borderId="1" xfId="0" applyNumberFormat="1" applyFont="1" applyFill="1" applyBorder="1" applyAlignment="1">
      <alignment horizontal="center" vertical="center" wrapText="1"/>
    </xf>
    <xf numFmtId="0" fontId="11" fillId="9" borderId="1" xfId="0" applyFont="1" applyFill="1" applyBorder="1" applyAlignment="1">
      <alignment vertical="center"/>
    </xf>
    <xf numFmtId="0" fontId="2" fillId="9" borderId="1" xfId="0" applyFont="1" applyFill="1" applyBorder="1" applyAlignment="1">
      <alignment vertical="center"/>
    </xf>
    <xf numFmtId="0" fontId="11" fillId="8" borderId="1" xfId="0" applyFont="1" applyFill="1" applyBorder="1" applyAlignment="1">
      <alignment vertical="center"/>
    </xf>
    <xf numFmtId="18" fontId="12" fillId="8" borderId="1" xfId="0" applyNumberFormat="1" applyFont="1" applyFill="1" applyBorder="1" applyAlignment="1">
      <alignment vertical="center"/>
    </xf>
    <xf numFmtId="0" fontId="37" fillId="7" borderId="1" xfId="0" applyFont="1" applyFill="1" applyBorder="1" applyAlignment="1">
      <alignment horizontal="center" vertical="center"/>
    </xf>
    <xf numFmtId="0" fontId="35" fillId="0" borderId="0" xfId="0" applyFont="1" applyAlignment="1">
      <alignment vertical="center"/>
    </xf>
    <xf numFmtId="3" fontId="2" fillId="0" borderId="1" xfId="0" applyNumberFormat="1" applyFont="1" applyBorder="1" applyAlignment="1">
      <alignment horizontal="center"/>
    </xf>
    <xf numFmtId="0" fontId="34" fillId="0" borderId="0" xfId="0" applyFont="1" applyAlignment="1">
      <alignment horizontal="center" vertical="center"/>
    </xf>
    <xf numFmtId="0" fontId="34" fillId="0" borderId="0" xfId="0" applyFont="1" applyAlignment="1">
      <alignment horizontal="center" vertical="center" wrapText="1"/>
    </xf>
    <xf numFmtId="0" fontId="25" fillId="0" borderId="0" xfId="0" applyFont="1" applyAlignment="1">
      <alignment horizontal="center" vertical="center"/>
    </xf>
    <xf numFmtId="0" fontId="24" fillId="0" borderId="0" xfId="0" applyFont="1" applyAlignment="1">
      <alignment horizontal="center" vertical="center"/>
    </xf>
    <xf numFmtId="0" fontId="9" fillId="0" borderId="1" xfId="0" applyFont="1" applyBorder="1" applyAlignment="1">
      <alignment horizontal="center" vertical="center"/>
    </xf>
    <xf numFmtId="0" fontId="12" fillId="0" borderId="55" xfId="0" applyFont="1" applyBorder="1" applyAlignment="1">
      <alignment horizontal="center" vertical="center"/>
    </xf>
    <xf numFmtId="0" fontId="24" fillId="0" borderId="0" xfId="0" applyFont="1" applyAlignment="1">
      <alignment horizontal="left" vertical="center" wrapText="1"/>
    </xf>
    <xf numFmtId="0" fontId="25" fillId="0" borderId="38" xfId="0" applyFont="1" applyBorder="1" applyAlignment="1">
      <alignment horizontal="center" vertical="center" wrapText="1"/>
    </xf>
    <xf numFmtId="0" fontId="24" fillId="0" borderId="38" xfId="0" applyFont="1" applyBorder="1" applyAlignment="1">
      <alignment horizontal="center" vertical="center" wrapText="1"/>
    </xf>
    <xf numFmtId="0" fontId="47" fillId="0" borderId="38" xfId="0" applyFont="1" applyBorder="1" applyAlignment="1">
      <alignment horizontal="center" vertical="center" wrapText="1"/>
    </xf>
    <xf numFmtId="0" fontId="24" fillId="0" borderId="89" xfId="0" applyFont="1" applyBorder="1" applyAlignment="1">
      <alignment horizontal="center" vertical="center" wrapText="1"/>
    </xf>
    <xf numFmtId="0" fontId="24" fillId="0" borderId="88" xfId="0" applyFont="1" applyBorder="1" applyAlignment="1">
      <alignment horizontal="center" vertical="center" wrapText="1"/>
    </xf>
    <xf numFmtId="0" fontId="47" fillId="0" borderId="0" xfId="0" applyFont="1" applyAlignment="1">
      <alignment horizontal="left" vertical="center"/>
    </xf>
    <xf numFmtId="0" fontId="34" fillId="0" borderId="47" xfId="0" applyFont="1" applyBorder="1" applyAlignment="1">
      <alignment horizontal="left" vertical="center" wrapText="1"/>
    </xf>
    <xf numFmtId="0" fontId="47" fillId="0" borderId="46" xfId="0" applyFont="1" applyBorder="1" applyAlignment="1">
      <alignment horizontal="center" vertical="center" wrapText="1"/>
    </xf>
    <xf numFmtId="0" fontId="47" fillId="0" borderId="46" xfId="0" applyFont="1" applyBorder="1" applyAlignment="1">
      <alignment horizontal="center" vertical="center"/>
    </xf>
    <xf numFmtId="49" fontId="47" fillId="0" borderId="48" xfId="0" applyNumberFormat="1" applyFont="1" applyBorder="1" applyAlignment="1">
      <alignment horizontal="center" vertical="center"/>
    </xf>
    <xf numFmtId="0" fontId="47" fillId="0" borderId="0" xfId="0" applyFont="1" applyAlignment="1">
      <alignment horizontal="center" vertical="center"/>
    </xf>
    <xf numFmtId="0" fontId="47" fillId="0" borderId="0" xfId="0" applyFont="1" applyAlignment="1">
      <alignment horizontal="center" vertical="center" wrapText="1"/>
    </xf>
    <xf numFmtId="0" fontId="47" fillId="0" borderId="0" xfId="1" applyFont="1" applyAlignment="1">
      <alignment horizontal="center" vertical="center"/>
    </xf>
    <xf numFmtId="0" fontId="47" fillId="0" borderId="0" xfId="0" applyFont="1" applyAlignment="1">
      <alignment horizontal="left" vertical="center" wrapText="1"/>
    </xf>
    <xf numFmtId="0" fontId="25" fillId="0" borderId="82" xfId="0" applyFont="1" applyBorder="1" applyAlignment="1">
      <alignment horizontal="center" vertical="center"/>
    </xf>
    <xf numFmtId="0" fontId="24" fillId="0" borderId="40" xfId="0" applyFont="1" applyBorder="1" applyAlignment="1">
      <alignment horizontal="center" vertical="center"/>
    </xf>
    <xf numFmtId="0" fontId="48" fillId="0" borderId="40" xfId="0" applyFont="1" applyBorder="1" applyAlignment="1">
      <alignment horizontal="center" vertical="center"/>
    </xf>
    <xf numFmtId="0" fontId="24" fillId="0" borderId="42" xfId="0" applyFont="1" applyBorder="1" applyAlignment="1">
      <alignment horizontal="center" vertical="center"/>
    </xf>
    <xf numFmtId="0" fontId="34" fillId="0" borderId="49" xfId="0" applyFont="1" applyBorder="1" applyAlignment="1">
      <alignment horizontal="left" vertical="center" wrapText="1"/>
    </xf>
    <xf numFmtId="1" fontId="47" fillId="0" borderId="50" xfId="0" applyNumberFormat="1" applyFont="1" applyBorder="1" applyAlignment="1">
      <alignment horizontal="center" vertical="center"/>
    </xf>
    <xf numFmtId="0" fontId="25" fillId="0" borderId="38" xfId="0" applyFont="1" applyBorder="1" applyAlignment="1">
      <alignment horizontal="center" vertical="center"/>
    </xf>
    <xf numFmtId="0" fontId="48" fillId="0" borderId="1" xfId="0" applyFont="1" applyBorder="1" applyAlignment="1">
      <alignment horizontal="center" vertical="center"/>
    </xf>
    <xf numFmtId="2" fontId="24" fillId="0" borderId="3" xfId="0" applyNumberFormat="1" applyFont="1" applyBorder="1" applyAlignment="1">
      <alignment horizontal="center" vertical="center"/>
    </xf>
    <xf numFmtId="2" fontId="24" fillId="0" borderId="42" xfId="0" applyNumberFormat="1" applyFont="1" applyBorder="1" applyAlignment="1">
      <alignment horizontal="center" vertical="center"/>
    </xf>
    <xf numFmtId="0" fontId="47" fillId="0" borderId="50" xfId="0" applyFont="1" applyBorder="1" applyAlignment="1">
      <alignment horizontal="center" vertical="center"/>
    </xf>
    <xf numFmtId="0" fontId="24" fillId="0" borderId="3" xfId="0" applyFont="1" applyBorder="1" applyAlignment="1">
      <alignment horizontal="center" vertical="center"/>
    </xf>
    <xf numFmtId="0" fontId="25" fillId="0" borderId="88" xfId="0" applyFont="1" applyBorder="1" applyAlignment="1">
      <alignment horizontal="center" vertical="center"/>
    </xf>
    <xf numFmtId="0" fontId="24" fillId="0" borderId="83" xfId="0" applyFont="1" applyBorder="1" applyAlignment="1">
      <alignment horizontal="center" vertical="center"/>
    </xf>
    <xf numFmtId="49" fontId="47" fillId="0" borderId="50" xfId="0" applyNumberFormat="1" applyFont="1" applyBorder="1" applyAlignment="1">
      <alignment horizontal="center" vertical="center"/>
    </xf>
    <xf numFmtId="0" fontId="34" fillId="0" borderId="49" xfId="1" applyFont="1" applyFill="1" applyBorder="1" applyAlignment="1">
      <alignment horizontal="left" vertical="center" wrapText="1"/>
    </xf>
    <xf numFmtId="0" fontId="34" fillId="0" borderId="68" xfId="0" applyFont="1" applyBorder="1" applyAlignment="1">
      <alignment horizontal="left" vertical="center" wrapText="1"/>
    </xf>
    <xf numFmtId="0" fontId="47" fillId="0" borderId="55" xfId="0" applyFont="1" applyBorder="1" applyAlignment="1">
      <alignment horizontal="center" vertical="center" wrapText="1"/>
    </xf>
    <xf numFmtId="0" fontId="47" fillId="0" borderId="55" xfId="0" applyFont="1" applyBorder="1" applyAlignment="1">
      <alignment horizontal="center" vertical="center"/>
    </xf>
    <xf numFmtId="16" fontId="47" fillId="0" borderId="56" xfId="0" applyNumberFormat="1" applyFont="1" applyBorder="1" applyAlignment="1">
      <alignment horizontal="center" vertical="center"/>
    </xf>
    <xf numFmtId="49" fontId="47" fillId="0" borderId="0" xfId="0" applyNumberFormat="1" applyFont="1" applyAlignment="1">
      <alignment horizontal="center" vertical="center"/>
    </xf>
    <xf numFmtId="0" fontId="47" fillId="0" borderId="0" xfId="1" applyFont="1" applyAlignment="1">
      <alignment horizontal="center" vertical="center" wrapText="1"/>
    </xf>
    <xf numFmtId="0" fontId="25" fillId="0" borderId="0" xfId="0" applyFont="1" applyAlignment="1">
      <alignment horizontal="left" vertical="center" wrapText="1"/>
    </xf>
    <xf numFmtId="0" fontId="49" fillId="0" borderId="0" xfId="0" applyFont="1" applyAlignment="1">
      <alignment horizontal="center" vertical="center"/>
    </xf>
    <xf numFmtId="0" fontId="34" fillId="0" borderId="0" xfId="1" applyFont="1" applyFill="1" applyAlignment="1">
      <alignment horizontal="left" vertical="center" wrapText="1"/>
    </xf>
    <xf numFmtId="0" fontId="28" fillId="0" borderId="0" xfId="1" applyFont="1" applyAlignment="1">
      <alignment horizontal="center" vertical="center"/>
    </xf>
    <xf numFmtId="0" fontId="50" fillId="0" borderId="0" xfId="0" applyFont="1" applyAlignment="1">
      <alignment horizontal="center" vertical="center"/>
    </xf>
    <xf numFmtId="0" fontId="51" fillId="0" borderId="0" xfId="0" applyFont="1" applyAlignment="1">
      <alignment horizontal="left" vertical="center" wrapText="1"/>
    </xf>
    <xf numFmtId="4" fontId="24" fillId="0" borderId="50" xfId="0" applyNumberFormat="1" applyFont="1" applyBorder="1" applyAlignment="1">
      <alignment horizontal="center" vertical="center"/>
    </xf>
    <xf numFmtId="4" fontId="24" fillId="0" borderId="56" xfId="0" applyNumberFormat="1" applyFont="1" applyBorder="1" applyAlignment="1">
      <alignment horizontal="center" vertical="center"/>
    </xf>
    <xf numFmtId="4" fontId="24" fillId="0" borderId="0" xfId="0" applyNumberFormat="1" applyFont="1" applyAlignment="1">
      <alignment horizontal="left" vertical="center"/>
    </xf>
    <xf numFmtId="4" fontId="24" fillId="0" borderId="51" xfId="0" applyNumberFormat="1" applyFont="1" applyBorder="1" applyAlignment="1">
      <alignment horizontal="center" vertical="center"/>
    </xf>
    <xf numFmtId="0" fontId="25" fillId="2" borderId="48" xfId="0" applyFont="1" applyFill="1" applyBorder="1" applyAlignment="1">
      <alignment horizontal="center" vertical="center" wrapText="1"/>
    </xf>
    <xf numFmtId="0" fontId="25" fillId="2" borderId="114" xfId="0" applyFont="1" applyFill="1" applyBorder="1" applyAlignment="1">
      <alignment horizontal="center" vertical="center" wrapText="1"/>
    </xf>
    <xf numFmtId="0" fontId="25" fillId="2" borderId="81"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4" fillId="0" borderId="11" xfId="0" applyFont="1" applyBorder="1" applyAlignment="1">
      <alignment horizontal="center" vertical="center"/>
    </xf>
    <xf numFmtId="0" fontId="24" fillId="0" borderId="35" xfId="0" applyFont="1" applyBorder="1" applyAlignment="1">
      <alignment horizontal="center" vertical="center"/>
    </xf>
    <xf numFmtId="0" fontId="24" fillId="0" borderId="44" xfId="0" applyFont="1" applyBorder="1" applyAlignment="1">
      <alignment horizontal="center" vertical="center"/>
    </xf>
    <xf numFmtId="4" fontId="24" fillId="0" borderId="5" xfId="0" applyNumberFormat="1" applyFont="1" applyBorder="1" applyAlignment="1">
      <alignment horizontal="center" vertical="center"/>
    </xf>
    <xf numFmtId="4" fontId="24" fillId="0" borderId="2" xfId="0" applyNumberFormat="1" applyFont="1" applyBorder="1" applyAlignment="1">
      <alignment horizontal="center" vertical="center"/>
    </xf>
    <xf numFmtId="4" fontId="24" fillId="0" borderId="6" xfId="0" applyNumberFormat="1" applyFont="1" applyBorder="1" applyAlignment="1">
      <alignment horizontal="center" vertical="center"/>
    </xf>
    <xf numFmtId="0" fontId="24" fillId="0" borderId="5" xfId="0" applyFont="1" applyBorder="1" applyAlignment="1">
      <alignment horizontal="left" vertical="center" wrapText="1"/>
    </xf>
    <xf numFmtId="0" fontId="24" fillId="0" borderId="2"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24" fillId="0" borderId="0" xfId="0" applyFont="1" applyAlignment="1">
      <alignment horizontal="right" vertical="center"/>
    </xf>
    <xf numFmtId="3" fontId="24" fillId="0" borderId="0" xfId="0" applyNumberFormat="1" applyFont="1" applyAlignment="1">
      <alignment horizontal="left" vertical="center"/>
    </xf>
    <xf numFmtId="0" fontId="9" fillId="0" borderId="1" xfId="0" applyFont="1" applyBorder="1" applyAlignment="1">
      <alignment horizontal="center" wrapText="1"/>
    </xf>
    <xf numFmtId="0" fontId="9" fillId="0" borderId="0" xfId="0" applyFont="1" applyBorder="1" applyAlignment="1">
      <alignment horizontal="center" vertical="center" wrapText="1"/>
    </xf>
    <xf numFmtId="166" fontId="2" fillId="0" borderId="0" xfId="0" applyNumberFormat="1" applyFont="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167" fontId="2" fillId="0" borderId="0" xfId="0" applyNumberFormat="1" applyFont="1" applyBorder="1"/>
    <xf numFmtId="11" fontId="2" fillId="0" borderId="0" xfId="0" applyNumberFormat="1" applyFont="1" applyBorder="1" applyAlignment="1">
      <alignment horizontal="center"/>
    </xf>
    <xf numFmtId="1" fontId="2" fillId="0" borderId="0" xfId="0" applyNumberFormat="1" applyFont="1" applyBorder="1" applyAlignment="1">
      <alignment horizontal="center"/>
    </xf>
    <xf numFmtId="0" fontId="9" fillId="0" borderId="0"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74" xfId="0" applyFont="1" applyBorder="1" applyAlignment="1">
      <alignment horizontal="center" vertical="center"/>
    </xf>
    <xf numFmtId="0" fontId="2" fillId="8" borderId="115" xfId="0" applyFont="1" applyFill="1" applyBorder="1" applyAlignment="1">
      <alignment horizontal="center" vertical="center" wrapText="1"/>
    </xf>
    <xf numFmtId="0" fontId="2" fillId="8" borderId="22" xfId="0" applyFont="1" applyFill="1" applyBorder="1" applyAlignment="1">
      <alignment horizontal="center" vertical="center" wrapText="1"/>
    </xf>
    <xf numFmtId="0" fontId="12" fillId="8" borderId="36" xfId="0" applyFont="1" applyFill="1" applyBorder="1" applyAlignment="1">
      <alignment horizontal="center" vertical="center" wrapText="1"/>
    </xf>
    <xf numFmtId="169" fontId="12" fillId="0" borderId="115" xfId="0" applyNumberFormat="1" applyFont="1" applyBorder="1" applyAlignment="1">
      <alignment horizontal="center" vertical="center" wrapText="1"/>
    </xf>
    <xf numFmtId="0" fontId="12" fillId="0" borderId="22" xfId="0" applyFont="1" applyBorder="1" applyAlignment="1">
      <alignment horizontal="center" vertical="center" wrapText="1"/>
    </xf>
    <xf numFmtId="11" fontId="12" fillId="0" borderId="22" xfId="0" applyNumberFormat="1" applyFont="1" applyBorder="1" applyAlignment="1">
      <alignment horizontal="center" vertical="center" wrapText="1"/>
    </xf>
    <xf numFmtId="11" fontId="2" fillId="0" borderId="22" xfId="0" applyNumberFormat="1" applyFont="1" applyBorder="1" applyAlignment="1">
      <alignment horizontal="center"/>
    </xf>
    <xf numFmtId="11" fontId="2" fillId="0" borderId="90" xfId="0" applyNumberFormat="1" applyFont="1" applyBorder="1" applyAlignment="1">
      <alignment horizontal="center" vertical="center"/>
    </xf>
    <xf numFmtId="0" fontId="9" fillId="0" borderId="0" xfId="0" applyFont="1" applyBorder="1" applyAlignment="1">
      <alignment horizontal="center" wrapText="1"/>
    </xf>
    <xf numFmtId="0" fontId="9" fillId="0" borderId="34" xfId="0" applyFont="1" applyBorder="1" applyAlignment="1">
      <alignment horizontal="center" vertical="center" wrapText="1"/>
    </xf>
    <xf numFmtId="0" fontId="9" fillId="0" borderId="27" xfId="0" applyFont="1" applyBorder="1" applyAlignment="1">
      <alignment horizontal="center" wrapText="1"/>
    </xf>
    <xf numFmtId="0" fontId="9" fillId="0" borderId="39"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39" xfId="0" applyFont="1" applyBorder="1" applyAlignment="1">
      <alignment horizontal="center" wrapText="1"/>
    </xf>
    <xf numFmtId="167" fontId="2" fillId="0" borderId="100" xfId="0" applyNumberFormat="1" applyFont="1" applyBorder="1" applyAlignment="1">
      <alignment horizontal="center" vertical="center"/>
    </xf>
    <xf numFmtId="167" fontId="2" fillId="0" borderId="95" xfId="0" applyNumberFormat="1" applyFont="1" applyBorder="1" applyAlignment="1">
      <alignment horizontal="center" vertical="center"/>
    </xf>
    <xf numFmtId="0" fontId="2" fillId="0" borderId="49" xfId="0" applyFont="1" applyBorder="1" applyAlignment="1">
      <alignment horizontal="center" vertical="center"/>
    </xf>
    <xf numFmtId="167" fontId="2" fillId="0" borderId="49" xfId="0" applyNumberFormat="1" applyFont="1" applyBorder="1"/>
    <xf numFmtId="167" fontId="2" fillId="0" borderId="117" xfId="0" applyNumberFormat="1" applyFont="1" applyBorder="1" applyAlignment="1">
      <alignment horizontal="center" vertical="center"/>
    </xf>
    <xf numFmtId="167" fontId="2" fillId="0" borderId="83" xfId="0" applyNumberFormat="1" applyFont="1" applyBorder="1" applyAlignment="1">
      <alignment horizontal="center" vertical="center"/>
    </xf>
    <xf numFmtId="2" fontId="12" fillId="0" borderId="25" xfId="0" applyNumberFormat="1" applyFont="1" applyBorder="1" applyAlignment="1">
      <alignment horizontal="center" vertical="center"/>
    </xf>
    <xf numFmtId="0" fontId="2" fillId="0" borderId="53" xfId="0" applyFont="1" applyBorder="1" applyAlignment="1">
      <alignment horizontal="center" vertical="center" wrapText="1"/>
    </xf>
    <xf numFmtId="0" fontId="2" fillId="0" borderId="46" xfId="0" applyFont="1" applyBorder="1"/>
    <xf numFmtId="0" fontId="2" fillId="0" borderId="35" xfId="0" applyFont="1" applyBorder="1" applyAlignment="1">
      <alignment horizontal="center" vertical="center" wrapText="1"/>
    </xf>
    <xf numFmtId="0" fontId="11" fillId="0" borderId="46" xfId="0" applyFont="1" applyBorder="1" applyAlignment="1">
      <alignment horizontal="center" vertical="center" wrapText="1"/>
    </xf>
    <xf numFmtId="11" fontId="2" fillId="0" borderId="40" xfId="0" applyNumberFormat="1" applyFont="1" applyBorder="1" applyAlignment="1">
      <alignment horizontal="left" vertical="center"/>
    </xf>
    <xf numFmtId="11" fontId="2" fillId="0" borderId="75" xfId="0" applyNumberFormat="1" applyFont="1" applyBorder="1" applyAlignment="1">
      <alignment horizontal="left" vertical="center"/>
    </xf>
    <xf numFmtId="11" fontId="2" fillId="0" borderId="70" xfId="0" applyNumberFormat="1" applyFont="1" applyBorder="1" applyAlignment="1">
      <alignment horizontal="left" vertical="center"/>
    </xf>
    <xf numFmtId="0" fontId="12" fillId="0" borderId="3" xfId="0" applyFont="1" applyBorder="1" applyAlignment="1">
      <alignment horizontal="center" vertical="center"/>
    </xf>
    <xf numFmtId="11" fontId="12" fillId="0" borderId="3" xfId="0" applyNumberFormat="1" applyFont="1" applyBorder="1" applyAlignment="1">
      <alignment horizontal="center" vertical="center" wrapText="1"/>
    </xf>
    <xf numFmtId="11" fontId="2" fillId="0" borderId="42" xfId="0" applyNumberFormat="1" applyFont="1" applyBorder="1" applyAlignment="1">
      <alignment horizontal="left" vertical="center"/>
    </xf>
    <xf numFmtId="11" fontId="2" fillId="0" borderId="50" xfId="0" applyNumberFormat="1" applyFont="1" applyBorder="1" applyAlignment="1">
      <alignment horizontal="center" vertical="center"/>
    </xf>
    <xf numFmtId="11" fontId="2" fillId="0" borderId="55" xfId="0" applyNumberFormat="1" applyFont="1" applyBorder="1" applyAlignment="1">
      <alignment horizontal="center"/>
    </xf>
    <xf numFmtId="1" fontId="2" fillId="0" borderId="55" xfId="0" applyNumberFormat="1" applyFont="1" applyBorder="1" applyAlignment="1">
      <alignment horizontal="center"/>
    </xf>
    <xf numFmtId="0" fontId="2" fillId="0" borderId="55" xfId="0" applyFont="1" applyBorder="1"/>
    <xf numFmtId="11" fontId="2" fillId="0" borderId="56" xfId="0" applyNumberFormat="1" applyFont="1" applyBorder="1" applyAlignment="1">
      <alignment horizontal="center" vertical="center"/>
    </xf>
    <xf numFmtId="0" fontId="12" fillId="0" borderId="71" xfId="0" applyFont="1" applyBorder="1" applyAlignment="1">
      <alignment horizontal="center" vertical="center"/>
    </xf>
    <xf numFmtId="11" fontId="2" fillId="0" borderId="71" xfId="0" applyNumberFormat="1" applyFont="1" applyBorder="1" applyAlignment="1">
      <alignment horizontal="center"/>
    </xf>
    <xf numFmtId="1" fontId="2" fillId="0" borderId="71" xfId="0" applyNumberFormat="1" applyFont="1" applyBorder="1" applyAlignment="1">
      <alignment horizontal="center"/>
    </xf>
    <xf numFmtId="0" fontId="2" fillId="0" borderId="71" xfId="0" applyFont="1" applyBorder="1" applyAlignment="1">
      <alignment horizontal="center"/>
    </xf>
    <xf numFmtId="11" fontId="2" fillId="0" borderId="50" xfId="0" applyNumberFormat="1" applyFont="1" applyBorder="1" applyAlignment="1">
      <alignment horizontal="left" vertical="center"/>
    </xf>
    <xf numFmtId="11" fontId="2" fillId="0" borderId="69" xfId="0" applyNumberFormat="1" applyFont="1" applyBorder="1" applyAlignment="1">
      <alignment horizontal="left" vertical="center"/>
    </xf>
    <xf numFmtId="11" fontId="2" fillId="0" borderId="56" xfId="0" applyNumberFormat="1" applyFont="1" applyBorder="1" applyAlignment="1">
      <alignment horizontal="left" vertical="center"/>
    </xf>
    <xf numFmtId="0" fontId="2" fillId="0" borderId="55" xfId="0" applyFont="1" applyBorder="1" applyAlignment="1">
      <alignment horizontal="center"/>
    </xf>
    <xf numFmtId="0" fontId="2" fillId="0" borderId="47" xfId="0" applyFont="1" applyBorder="1"/>
    <xf numFmtId="0" fontId="2" fillId="0" borderId="48" xfId="0" applyFont="1" applyBorder="1"/>
    <xf numFmtId="0" fontId="27" fillId="0" borderId="49" xfId="1" applyFont="1" applyBorder="1"/>
    <xf numFmtId="0" fontId="2" fillId="0" borderId="50" xfId="0" applyFont="1" applyBorder="1"/>
    <xf numFmtId="0" fontId="2" fillId="0" borderId="49" xfId="0" applyFont="1" applyBorder="1"/>
    <xf numFmtId="0" fontId="2" fillId="0" borderId="0" xfId="0" applyFont="1" applyAlignment="1">
      <alignment horizontal="right"/>
    </xf>
    <xf numFmtId="0" fontId="2" fillId="0" borderId="49" xfId="0" applyFont="1" applyBorder="1" applyAlignment="1">
      <alignment horizontal="left" vertical="top"/>
    </xf>
    <xf numFmtId="0" fontId="2" fillId="0" borderId="50" xfId="0" applyFont="1" applyBorder="1" applyAlignment="1">
      <alignment vertical="top"/>
    </xf>
    <xf numFmtId="0" fontId="2" fillId="0" borderId="50" xfId="0" applyFont="1" applyBorder="1" applyAlignment="1">
      <alignment horizontal="left" vertical="top"/>
    </xf>
    <xf numFmtId="0" fontId="2" fillId="0" borderId="50" xfId="0" applyFont="1" applyBorder="1" applyAlignment="1">
      <alignment horizontal="center" wrapText="1"/>
    </xf>
    <xf numFmtId="0" fontId="9" fillId="0" borderId="49" xfId="0" applyFont="1" applyBorder="1"/>
    <xf numFmtId="0" fontId="42" fillId="0" borderId="1" xfId="0" applyFont="1" applyBorder="1" applyAlignment="1">
      <alignment horizontal="center"/>
    </xf>
    <xf numFmtId="165" fontId="42" fillId="0" borderId="1" xfId="0" applyNumberFormat="1" applyFont="1" applyBorder="1" applyAlignment="1">
      <alignment horizontal="center"/>
    </xf>
    <xf numFmtId="49" fontId="24" fillId="0" borderId="0" xfId="0" applyNumberFormat="1" applyFont="1" applyAlignment="1">
      <alignment horizontal="right" vertical="top"/>
    </xf>
    <xf numFmtId="0" fontId="42" fillId="0" borderId="39" xfId="0" applyFont="1" applyBorder="1" applyAlignment="1">
      <alignment horizontal="center"/>
    </xf>
    <xf numFmtId="0" fontId="9" fillId="0" borderId="0" xfId="0" applyFont="1" applyAlignment="1">
      <alignment horizontal="center" vertical="top"/>
    </xf>
    <xf numFmtId="0" fontId="9" fillId="0" borderId="50" xfId="0" applyFont="1" applyBorder="1" applyAlignment="1">
      <alignment horizontal="center"/>
    </xf>
    <xf numFmtId="0" fontId="43" fillId="4" borderId="53" xfId="0" applyFont="1" applyFill="1" applyBorder="1"/>
    <xf numFmtId="11" fontId="2" fillId="4" borderId="0" xfId="0" applyNumberFormat="1" applyFont="1" applyFill="1" applyAlignment="1">
      <alignment horizontal="center" vertical="top"/>
    </xf>
    <xf numFmtId="2" fontId="2" fillId="0" borderId="0" xfId="0" applyNumberFormat="1" applyFont="1" applyAlignment="1">
      <alignment horizontal="center" vertical="top"/>
    </xf>
    <xf numFmtId="2" fontId="2" fillId="0" borderId="50" xfId="0" applyNumberFormat="1" applyFont="1" applyBorder="1" applyAlignment="1">
      <alignment horizontal="center"/>
    </xf>
    <xf numFmtId="0" fontId="2" fillId="0" borderId="49" xfId="0" applyFont="1" applyBorder="1" applyAlignment="1">
      <alignment vertical="top"/>
    </xf>
    <xf numFmtId="0" fontId="13" fillId="5" borderId="0" xfId="0" applyFont="1" applyFill="1"/>
    <xf numFmtId="0" fontId="2" fillId="0" borderId="50" xfId="0" applyFont="1" applyBorder="1" applyAlignment="1">
      <alignment horizontal="center"/>
    </xf>
    <xf numFmtId="0" fontId="2" fillId="0" borderId="1" xfId="0" applyFont="1" applyBorder="1" applyAlignment="1">
      <alignment horizontal="center" vertical="top"/>
    </xf>
    <xf numFmtId="0" fontId="9" fillId="0" borderId="1" xfId="0" applyFont="1" applyBorder="1" applyAlignment="1">
      <alignment horizontal="center" vertical="top"/>
    </xf>
    <xf numFmtId="0" fontId="43" fillId="4" borderId="54" xfId="0" applyFont="1" applyFill="1" applyBorder="1"/>
    <xf numFmtId="0" fontId="2" fillId="0" borderId="56" xfId="0" applyFont="1" applyBorder="1"/>
    <xf numFmtId="11" fontId="2" fillId="4" borderId="55" xfId="0" applyNumberFormat="1" applyFont="1" applyFill="1" applyBorder="1" applyAlignment="1">
      <alignment horizontal="center" vertical="top"/>
    </xf>
    <xf numFmtId="2" fontId="2" fillId="0" borderId="55" xfId="0" applyNumberFormat="1" applyFont="1" applyBorder="1" applyAlignment="1">
      <alignment horizontal="center" vertical="top"/>
    </xf>
    <xf numFmtId="2" fontId="2" fillId="0" borderId="55" xfId="0" applyNumberFormat="1" applyFont="1" applyBorder="1" applyAlignment="1">
      <alignment horizontal="center"/>
    </xf>
    <xf numFmtId="2" fontId="2" fillId="0" borderId="56" xfId="0" applyNumberFormat="1" applyFont="1" applyBorder="1" applyAlignment="1">
      <alignment horizontal="center"/>
    </xf>
    <xf numFmtId="165" fontId="43" fillId="4" borderId="5" xfId="0" applyNumberFormat="1" applyFont="1" applyFill="1" applyBorder="1" applyAlignment="1">
      <alignment horizontal="center"/>
    </xf>
    <xf numFmtId="1" fontId="43" fillId="0" borderId="5" xfId="0" applyNumberFormat="1" applyFont="1" applyBorder="1" applyAlignment="1">
      <alignment horizontal="center"/>
    </xf>
    <xf numFmtId="165" fontId="43" fillId="4" borderId="6" xfId="0" applyNumberFormat="1" applyFont="1" applyFill="1" applyBorder="1" applyAlignment="1">
      <alignment horizontal="center"/>
    </xf>
    <xf numFmtId="1" fontId="43" fillId="0" borderId="6" xfId="0" applyNumberFormat="1" applyFont="1" applyBorder="1" applyAlignment="1">
      <alignment horizontal="center"/>
    </xf>
    <xf numFmtId="0" fontId="13" fillId="0" borderId="1" xfId="0" applyFont="1" applyBorder="1" applyAlignment="1">
      <alignment horizontal="left" vertical="center" wrapText="1"/>
    </xf>
    <xf numFmtId="0" fontId="13" fillId="0" borderId="27" xfId="0" applyFont="1" applyBorder="1" applyAlignment="1">
      <alignment horizontal="left" vertical="center" wrapText="1"/>
    </xf>
    <xf numFmtId="0" fontId="12" fillId="0" borderId="0" xfId="0" applyFont="1" applyBorder="1" applyAlignment="1">
      <alignment horizontal="left" vertical="center" wrapText="1"/>
    </xf>
    <xf numFmtId="0" fontId="12" fillId="0" borderId="2" xfId="0" applyFont="1" applyBorder="1" applyAlignment="1">
      <alignment horizontal="left" vertical="center" wrapText="1"/>
    </xf>
    <xf numFmtId="0" fontId="11" fillId="13" borderId="74" xfId="0" applyFont="1" applyFill="1" applyBorder="1" applyAlignment="1">
      <alignment horizontal="center" vertical="center" wrapText="1"/>
    </xf>
    <xf numFmtId="11" fontId="2" fillId="0" borderId="55" xfId="0" applyNumberFormat="1" applyFont="1" applyBorder="1" applyAlignment="1">
      <alignment horizontal="center" vertical="center"/>
    </xf>
    <xf numFmtId="0" fontId="2" fillId="0" borderId="49" xfId="0" applyFont="1" applyBorder="1" applyAlignment="1">
      <alignment wrapText="1"/>
    </xf>
    <xf numFmtId="0" fontId="2" fillId="0" borderId="0" xfId="0" applyFont="1" applyBorder="1" applyAlignment="1">
      <alignment horizontal="left" vertical="top"/>
    </xf>
    <xf numFmtId="0" fontId="2" fillId="12" borderId="2" xfId="0" applyFont="1" applyFill="1" applyBorder="1" applyAlignment="1">
      <alignment horizontal="left" vertical="top"/>
    </xf>
    <xf numFmtId="0" fontId="30" fillId="0" borderId="0" xfId="0" applyFont="1" applyBorder="1" applyAlignment="1">
      <alignment horizontal="left" vertical="top"/>
    </xf>
    <xf numFmtId="2" fontId="2" fillId="12" borderId="0" xfId="0" applyNumberFormat="1" applyFont="1" applyFill="1" applyBorder="1" applyAlignment="1">
      <alignment horizontal="left" vertical="top"/>
    </xf>
    <xf numFmtId="11" fontId="2" fillId="0" borderId="5" xfId="0" applyNumberFormat="1" applyFont="1" applyBorder="1" applyAlignment="1">
      <alignment horizontal="center" vertical="center"/>
    </xf>
    <xf numFmtId="11" fontId="2" fillId="3" borderId="5" xfId="0" applyNumberFormat="1" applyFont="1" applyFill="1" applyBorder="1" applyAlignment="1">
      <alignment horizontal="center" vertical="center"/>
    </xf>
    <xf numFmtId="11" fontId="2" fillId="12" borderId="2" xfId="0" applyNumberFormat="1" applyFont="1" applyFill="1" applyBorder="1" applyAlignment="1">
      <alignment horizontal="center" vertical="center"/>
    </xf>
    <xf numFmtId="0" fontId="32" fillId="0" borderId="1" xfId="0" applyFont="1" applyBorder="1" applyAlignment="1">
      <alignment horizontal="left" vertical="center" wrapText="1"/>
    </xf>
    <xf numFmtId="0" fontId="32" fillId="5" borderId="1" xfId="0" applyFont="1" applyFill="1" applyBorder="1" applyAlignment="1">
      <alignment horizontal="center" vertical="center" wrapText="1"/>
    </xf>
    <xf numFmtId="0" fontId="32" fillId="0" borderId="1" xfId="0" applyFont="1" applyBorder="1" applyAlignment="1">
      <alignment vertical="center" wrapText="1"/>
    </xf>
    <xf numFmtId="0" fontId="32" fillId="0" borderId="0" xfId="0" applyFont="1" applyAlignment="1">
      <alignment vertical="center" wrapText="1"/>
    </xf>
    <xf numFmtId="0" fontId="2" fillId="3" borderId="5" xfId="0" applyFont="1" applyFill="1" applyBorder="1" applyAlignment="1">
      <alignment horizontal="left" vertical="center"/>
    </xf>
    <xf numFmtId="0" fontId="2" fillId="0" borderId="0" xfId="0" applyFont="1" applyBorder="1" applyAlignment="1">
      <alignment horizontal="left" vertical="center"/>
    </xf>
    <xf numFmtId="0" fontId="25" fillId="2" borderId="1" xfId="0" applyFont="1" applyFill="1" applyBorder="1" applyAlignment="1">
      <alignment horizontal="center" vertical="center"/>
    </xf>
    <xf numFmtId="0" fontId="25" fillId="2" borderId="33" xfId="0" applyFont="1" applyFill="1" applyBorder="1" applyAlignment="1">
      <alignment horizontal="center" vertical="center"/>
    </xf>
    <xf numFmtId="0" fontId="31" fillId="2" borderId="1" xfId="0" applyFont="1" applyFill="1" applyBorder="1" applyAlignment="1">
      <alignment horizontal="center" vertical="top" wrapText="1"/>
    </xf>
    <xf numFmtId="0" fontId="31" fillId="2" borderId="1" xfId="0" applyFont="1" applyFill="1" applyBorder="1" applyAlignment="1">
      <alignment horizontal="center" vertical="top"/>
    </xf>
    <xf numFmtId="11" fontId="2" fillId="3" borderId="0" xfId="0" applyNumberFormat="1" applyFont="1" applyFill="1" applyBorder="1" applyAlignment="1">
      <alignment horizontal="center" vertical="center"/>
    </xf>
    <xf numFmtId="11" fontId="2" fillId="12" borderId="24" xfId="0" applyNumberFormat="1" applyFont="1" applyFill="1" applyBorder="1" applyAlignment="1">
      <alignment horizontal="center" vertical="center"/>
    </xf>
    <xf numFmtId="11" fontId="2" fillId="0" borderId="0" xfId="0" applyNumberFormat="1" applyFont="1" applyAlignment="1">
      <alignment horizontal="center" vertical="top"/>
    </xf>
    <xf numFmtId="1" fontId="43" fillId="4" borderId="5" xfId="0" applyNumberFormat="1" applyFont="1" applyFill="1" applyBorder="1" applyAlignment="1">
      <alignment horizontal="center"/>
    </xf>
    <xf numFmtId="11" fontId="2" fillId="0" borderId="55" xfId="0" applyNumberFormat="1" applyFont="1" applyBorder="1" applyAlignment="1">
      <alignment horizontal="center" vertical="top"/>
    </xf>
    <xf numFmtId="17" fontId="22" fillId="0" borderId="0" xfId="0" quotePrefix="1" applyNumberFormat="1" applyFont="1" applyAlignment="1">
      <alignment horizontal="center"/>
    </xf>
    <xf numFmtId="0" fontId="20" fillId="0" borderId="0" xfId="0" applyFont="1" applyAlignment="1">
      <alignment horizontal="center" vertical="center" wrapText="1"/>
    </xf>
    <xf numFmtId="0" fontId="17" fillId="0" borderId="0" xfId="0" applyFont="1" applyAlignment="1">
      <alignment horizontal="center" vertical="top"/>
    </xf>
    <xf numFmtId="17" fontId="17" fillId="0" borderId="0" xfId="0" quotePrefix="1" applyNumberFormat="1" applyFont="1" applyAlignment="1">
      <alignment horizontal="center"/>
    </xf>
    <xf numFmtId="0" fontId="20" fillId="0" borderId="0" xfId="0" applyFont="1" applyAlignment="1">
      <alignment horizontal="center" vertical="center"/>
    </xf>
    <xf numFmtId="0" fontId="24" fillId="0" borderId="1" xfId="0" applyFont="1" applyBorder="1" applyAlignment="1">
      <alignment horizontal="left" vertical="center"/>
    </xf>
    <xf numFmtId="0" fontId="24" fillId="0" borderId="1" xfId="0" applyFont="1" applyBorder="1" applyAlignment="1">
      <alignment horizontal="left"/>
    </xf>
    <xf numFmtId="0" fontId="24" fillId="0" borderId="1" xfId="0" applyFont="1" applyBorder="1" applyAlignment="1">
      <alignment vertical="center" wrapText="1"/>
    </xf>
    <xf numFmtId="0" fontId="26" fillId="0" borderId="0" xfId="0" applyFont="1" applyAlignment="1">
      <alignment horizontal="left"/>
    </xf>
    <xf numFmtId="0" fontId="26" fillId="0" borderId="0" xfId="0" applyFont="1" applyBorder="1" applyAlignment="1">
      <alignment horizontal="left"/>
    </xf>
    <xf numFmtId="0" fontId="24" fillId="0" borderId="1" xfId="0" applyFont="1" applyBorder="1" applyAlignment="1">
      <alignment horizontal="left" vertical="top" wrapText="1"/>
    </xf>
    <xf numFmtId="0" fontId="25" fillId="2" borderId="93" xfId="0" applyFont="1" applyFill="1" applyBorder="1" applyAlignment="1">
      <alignment horizontal="center"/>
    </xf>
    <xf numFmtId="0" fontId="25" fillId="2" borderId="45" xfId="0" applyFont="1" applyFill="1" applyBorder="1" applyAlignment="1">
      <alignment horizontal="center"/>
    </xf>
    <xf numFmtId="0" fontId="25" fillId="2" borderId="37" xfId="0" applyFont="1" applyFill="1" applyBorder="1" applyAlignment="1">
      <alignment horizontal="center"/>
    </xf>
    <xf numFmtId="0" fontId="24" fillId="0" borderId="1" xfId="0" applyFont="1" applyBorder="1" applyAlignment="1">
      <alignment horizontal="left" wrapText="1"/>
    </xf>
    <xf numFmtId="0" fontId="24" fillId="0" borderId="27" xfId="0" applyFont="1" applyBorder="1" applyAlignment="1">
      <alignment horizontal="left" wrapText="1"/>
    </xf>
    <xf numFmtId="0" fontId="24" fillId="0" borderId="33" xfId="0" applyFont="1" applyBorder="1" applyAlignment="1">
      <alignment horizontal="left" wrapText="1"/>
    </xf>
    <xf numFmtId="0" fontId="24" fillId="0" borderId="34" xfId="0" applyFont="1" applyBorder="1" applyAlignment="1">
      <alignment horizontal="left" wrapText="1"/>
    </xf>
    <xf numFmtId="0" fontId="25" fillId="2" borderId="1" xfId="0" applyFont="1" applyFill="1" applyBorder="1" applyAlignment="1">
      <alignment horizontal="center"/>
    </xf>
    <xf numFmtId="0" fontId="53" fillId="0" borderId="49" xfId="0" applyFont="1" applyBorder="1" applyAlignment="1">
      <alignment wrapText="1"/>
    </xf>
    <xf numFmtId="0" fontId="2" fillId="0" borderId="0" xfId="0" applyFont="1" applyAlignment="1">
      <alignment wrapText="1"/>
    </xf>
    <xf numFmtId="0" fontId="2" fillId="0" borderId="50" xfId="0" applyFont="1" applyBorder="1" applyAlignment="1">
      <alignment wrapText="1"/>
    </xf>
    <xf numFmtId="0" fontId="2" fillId="0" borderId="49" xfId="0" applyFont="1" applyBorder="1" applyAlignment="1">
      <alignment wrapText="1"/>
    </xf>
    <xf numFmtId="0" fontId="2" fillId="0" borderId="49" xfId="0" applyFont="1" applyBorder="1" applyAlignment="1">
      <alignment vertical="top" wrapText="1"/>
    </xf>
    <xf numFmtId="0" fontId="12" fillId="0" borderId="92" xfId="0" applyFont="1" applyBorder="1" applyAlignment="1">
      <alignment horizontal="center" vertical="center" wrapText="1"/>
    </xf>
    <xf numFmtId="0" fontId="12" fillId="0" borderId="121" xfId="0" applyFont="1" applyBorder="1" applyAlignment="1">
      <alignment horizontal="center" vertical="center" wrapText="1"/>
    </xf>
    <xf numFmtId="0" fontId="12" fillId="0" borderId="122"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2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19" xfId="0" applyFont="1" applyBorder="1" applyAlignment="1">
      <alignment horizontal="center" vertical="center" wrapText="1"/>
    </xf>
    <xf numFmtId="0" fontId="2" fillId="0" borderId="49" xfId="0" applyFont="1" applyBorder="1" applyAlignment="1">
      <alignment horizontal="left" vertical="top" wrapText="1"/>
    </xf>
    <xf numFmtId="0" fontId="2" fillId="0" borderId="0" xfId="0" applyFont="1" applyBorder="1" applyAlignment="1">
      <alignment horizontal="left" vertical="top" wrapText="1"/>
    </xf>
    <xf numFmtId="0" fontId="13" fillId="0" borderId="36" xfId="0" applyFont="1" applyBorder="1" applyAlignment="1">
      <alignment horizontal="left" vertical="center" wrapText="1"/>
    </xf>
    <xf numFmtId="0" fontId="13" fillId="0" borderId="9" xfId="0" applyFont="1" applyBorder="1" applyAlignment="1">
      <alignment horizontal="left" vertical="center" wrapText="1"/>
    </xf>
    <xf numFmtId="0" fontId="13" fillId="0" borderId="26" xfId="0" applyFont="1" applyBorder="1" applyAlignment="1">
      <alignment horizontal="left" vertical="center" wrapText="1"/>
    </xf>
    <xf numFmtId="0" fontId="60" fillId="17" borderId="31" xfId="0" applyFont="1" applyFill="1" applyBorder="1" applyAlignment="1">
      <alignment horizontal="left" vertical="center" wrapText="1"/>
    </xf>
    <xf numFmtId="0" fontId="60" fillId="17" borderId="58" xfId="0" applyFont="1" applyFill="1" applyBorder="1" applyAlignment="1">
      <alignment horizontal="left" vertical="center" wrapText="1"/>
    </xf>
    <xf numFmtId="0" fontId="60" fillId="17" borderId="59" xfId="0" applyFont="1" applyFill="1" applyBorder="1" applyAlignment="1">
      <alignment horizontal="left" vertical="center" wrapText="1"/>
    </xf>
    <xf numFmtId="0" fontId="12" fillId="0" borderId="1" xfId="0" applyFont="1" applyBorder="1" applyAlignment="1">
      <alignment horizontal="center" vertical="center" wrapText="1"/>
    </xf>
    <xf numFmtId="0" fontId="60" fillId="17" borderId="118" xfId="0" applyFont="1" applyFill="1" applyBorder="1" applyAlignment="1">
      <alignment horizontal="left" vertical="center" wrapText="1"/>
    </xf>
    <xf numFmtId="0" fontId="60" fillId="17" borderId="0" xfId="0" applyFont="1" applyFill="1" applyBorder="1" applyAlignment="1">
      <alignment horizontal="left" vertical="center" wrapText="1"/>
    </xf>
    <xf numFmtId="0" fontId="60" fillId="17" borderId="119" xfId="0" applyFont="1" applyFill="1" applyBorder="1" applyAlignment="1">
      <alignment horizontal="left" vertical="center" wrapText="1"/>
    </xf>
    <xf numFmtId="0" fontId="12" fillId="0" borderId="27" xfId="0" applyFont="1" applyBorder="1" applyAlignment="1">
      <alignment horizontal="left" vertical="center" wrapText="1"/>
    </xf>
    <xf numFmtId="11" fontId="2" fillId="0" borderId="9" xfId="0" applyNumberFormat="1" applyFont="1" applyBorder="1" applyAlignment="1">
      <alignment horizontal="center" vertical="center"/>
    </xf>
    <xf numFmtId="11" fontId="2" fillId="0" borderId="0" xfId="0" applyNumberFormat="1" applyFont="1" applyBorder="1" applyAlignment="1">
      <alignment horizontal="center" vertical="center"/>
    </xf>
    <xf numFmtId="11" fontId="2" fillId="3" borderId="9" xfId="0" applyNumberFormat="1" applyFont="1" applyFill="1" applyBorder="1" applyAlignment="1">
      <alignment horizontal="center" vertical="center"/>
    </xf>
    <xf numFmtId="11" fontId="2" fillId="3" borderId="0" xfId="0" applyNumberFormat="1" applyFont="1" applyFill="1" applyBorder="1" applyAlignment="1">
      <alignment horizontal="center" vertical="center"/>
    </xf>
    <xf numFmtId="0" fontId="9" fillId="2" borderId="26" xfId="0" applyFont="1" applyFill="1" applyBorder="1" applyAlignment="1">
      <alignment horizontal="center" vertical="center" wrapText="1"/>
    </xf>
    <xf numFmtId="0" fontId="9" fillId="2" borderId="24" xfId="0" applyFont="1" applyFill="1" applyBorder="1" applyAlignment="1">
      <alignment horizontal="center" vertical="center" wrapText="1"/>
    </xf>
    <xf numFmtId="11" fontId="2" fillId="17" borderId="9" xfId="0" applyNumberFormat="1" applyFont="1" applyFill="1" applyBorder="1" applyAlignment="1">
      <alignment horizontal="center" vertical="center"/>
    </xf>
    <xf numFmtId="11" fontId="2" fillId="17" borderId="0" xfId="0" applyNumberFormat="1" applyFont="1" applyFill="1" applyBorder="1" applyAlignment="1">
      <alignment horizontal="center" vertical="center"/>
    </xf>
    <xf numFmtId="0" fontId="2" fillId="12" borderId="26" xfId="0" applyFont="1" applyFill="1" applyBorder="1" applyAlignment="1">
      <alignment horizontal="center" vertical="center"/>
    </xf>
    <xf numFmtId="0" fontId="2" fillId="12" borderId="24" xfId="0" applyFont="1" applyFill="1" applyBorder="1" applyAlignment="1">
      <alignment horizontal="center" vertical="center"/>
    </xf>
    <xf numFmtId="0" fontId="41" fillId="2" borderId="27" xfId="0" applyFont="1" applyFill="1" applyBorder="1" applyAlignment="1">
      <alignment horizontal="center" vertical="center"/>
    </xf>
    <xf numFmtId="0" fontId="41" fillId="2" borderId="33" xfId="0" applyFont="1" applyFill="1" applyBorder="1" applyAlignment="1">
      <alignment horizontal="center" vertical="center"/>
    </xf>
    <xf numFmtId="0" fontId="41" fillId="2" borderId="34" xfId="0" applyFont="1" applyFill="1" applyBorder="1" applyAlignment="1">
      <alignment horizontal="center" vertical="center"/>
    </xf>
    <xf numFmtId="0" fontId="9" fillId="2" borderId="1" xfId="0" applyFont="1" applyFill="1" applyBorder="1" applyAlignment="1">
      <alignment horizontal="center" vertical="center" wrapText="1"/>
    </xf>
    <xf numFmtId="0" fontId="41" fillId="2" borderId="22" xfId="0" applyFont="1" applyFill="1" applyBorder="1" applyAlignment="1">
      <alignment horizontal="center" vertical="center"/>
    </xf>
    <xf numFmtId="0" fontId="41" fillId="2" borderId="109" xfId="0" applyFont="1" applyFill="1" applyBorder="1" applyAlignment="1">
      <alignment horizontal="center" vertical="center"/>
    </xf>
    <xf numFmtId="0" fontId="41" fillId="2" borderId="22" xfId="0" applyFont="1" applyFill="1" applyBorder="1" applyAlignment="1">
      <alignment horizontal="center" vertical="center" wrapText="1"/>
    </xf>
    <xf numFmtId="0" fontId="41" fillId="2" borderId="109"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41" fillId="2" borderId="2" xfId="0" applyFont="1" applyFill="1" applyBorder="1" applyAlignment="1">
      <alignment horizontal="center" vertical="center"/>
    </xf>
    <xf numFmtId="0" fontId="41" fillId="2" borderId="2" xfId="0" applyFont="1" applyFill="1" applyBorder="1" applyAlignment="1">
      <alignment horizontal="center" vertical="center" wrapText="1"/>
    </xf>
    <xf numFmtId="0" fontId="44" fillId="0" borderId="1" xfId="1" applyFont="1" applyBorder="1" applyAlignment="1">
      <alignment horizontal="left" vertical="center" wrapText="1"/>
    </xf>
    <xf numFmtId="0" fontId="9" fillId="2" borderId="74" xfId="0" applyFont="1" applyFill="1" applyBorder="1" applyAlignment="1">
      <alignment horizontal="center" vertical="center"/>
    </xf>
    <xf numFmtId="0" fontId="2" fillId="0" borderId="2" xfId="0" applyFont="1" applyBorder="1" applyAlignment="1">
      <alignment horizontal="left" vertical="center"/>
    </xf>
    <xf numFmtId="0" fontId="44" fillId="0" borderId="1" xfId="1" applyFont="1" applyBorder="1" applyAlignment="1">
      <alignment horizontal="left" vertical="center"/>
    </xf>
    <xf numFmtId="0" fontId="2" fillId="0" borderId="27" xfId="0" applyFont="1" applyBorder="1" applyAlignment="1">
      <alignment horizontal="left" vertical="center" wrapText="1"/>
    </xf>
    <xf numFmtId="0" fontId="2" fillId="0" borderId="34" xfId="0" applyFont="1" applyBorder="1" applyAlignment="1">
      <alignment horizontal="left" vertical="center" wrapText="1"/>
    </xf>
    <xf numFmtId="0" fontId="2" fillId="0" borderId="87" xfId="0" applyFont="1" applyBorder="1" applyAlignment="1">
      <alignment horizontal="left" vertical="center" wrapText="1"/>
    </xf>
    <xf numFmtId="0" fontId="2" fillId="0" borderId="113" xfId="0" applyFont="1" applyBorder="1" applyAlignment="1">
      <alignment horizontal="left" vertical="center" wrapText="1"/>
    </xf>
    <xf numFmtId="0" fontId="2" fillId="0" borderId="27" xfId="0" applyFont="1" applyBorder="1" applyAlignment="1">
      <alignment horizontal="left" vertical="center"/>
    </xf>
    <xf numFmtId="0" fontId="2" fillId="0" borderId="34" xfId="0" applyFont="1" applyBorder="1" applyAlignment="1">
      <alignment horizontal="left" vertical="center"/>
    </xf>
    <xf numFmtId="0" fontId="9" fillId="0" borderId="27" xfId="0" applyFont="1" applyBorder="1" applyAlignment="1">
      <alignment horizontal="right" vertical="center"/>
    </xf>
    <xf numFmtId="0" fontId="9" fillId="0" borderId="33" xfId="0" applyFont="1" applyBorder="1" applyAlignment="1">
      <alignment horizontal="right" vertical="center"/>
    </xf>
    <xf numFmtId="0" fontId="2" fillId="10" borderId="22" xfId="0" applyFont="1" applyFill="1" applyBorder="1" applyAlignment="1">
      <alignment horizontal="left" vertical="center"/>
    </xf>
    <xf numFmtId="0" fontId="2" fillId="10" borderId="5" xfId="0" applyFont="1" applyFill="1" applyBorder="1" applyAlignment="1">
      <alignment horizontal="left" vertical="center"/>
    </xf>
    <xf numFmtId="0" fontId="2" fillId="10" borderId="2" xfId="0" applyFont="1" applyFill="1" applyBorder="1" applyAlignment="1">
      <alignment horizontal="left" vertical="center"/>
    </xf>
    <xf numFmtId="0" fontId="2" fillId="10" borderId="22" xfId="0" applyFont="1" applyFill="1" applyBorder="1" applyAlignment="1">
      <alignment horizontal="center" vertical="center"/>
    </xf>
    <xf numFmtId="0" fontId="2" fillId="10" borderId="5" xfId="0" applyFont="1" applyFill="1" applyBorder="1" applyAlignment="1">
      <alignment horizontal="center" vertical="center"/>
    </xf>
    <xf numFmtId="0" fontId="2" fillId="10" borderId="2" xfId="0" applyFont="1" applyFill="1" applyBorder="1" applyAlignment="1">
      <alignment horizontal="center" vertical="center"/>
    </xf>
    <xf numFmtId="0" fontId="12" fillId="0" borderId="26" xfId="0" applyFont="1" applyBorder="1" applyAlignment="1">
      <alignment horizontal="left" vertical="center" wrapText="1"/>
    </xf>
    <xf numFmtId="0" fontId="12" fillId="0" borderId="35" xfId="0" applyFont="1" applyBorder="1" applyAlignment="1">
      <alignment horizontal="left" vertical="center" wrapText="1"/>
    </xf>
    <xf numFmtId="0" fontId="12" fillId="10" borderId="36" xfId="0" applyFont="1" applyFill="1" applyBorder="1" applyAlignment="1">
      <alignment horizontal="left" vertical="center" wrapText="1"/>
    </xf>
    <xf numFmtId="0" fontId="12" fillId="10" borderId="9"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2" fillId="10" borderId="22" xfId="0" applyFont="1" applyFill="1" applyBorder="1" applyAlignment="1">
      <alignment vertical="center"/>
    </xf>
    <xf numFmtId="0" fontId="2" fillId="10" borderId="5" xfId="0" applyFont="1" applyFill="1" applyBorder="1" applyAlignment="1">
      <alignment vertical="center"/>
    </xf>
    <xf numFmtId="0" fontId="2" fillId="10" borderId="2" xfId="0" applyFont="1" applyFill="1" applyBorder="1" applyAlignment="1">
      <alignment vertical="center"/>
    </xf>
    <xf numFmtId="0" fontId="34" fillId="0" borderId="27" xfId="0" applyFont="1" applyBorder="1" applyAlignment="1">
      <alignment horizontal="center" vertical="center"/>
    </xf>
    <xf numFmtId="0" fontId="34" fillId="0" borderId="34" xfId="0" applyFont="1" applyBorder="1" applyAlignment="1">
      <alignment horizontal="center" vertical="center"/>
    </xf>
    <xf numFmtId="0" fontId="34" fillId="0" borderId="27" xfId="0" applyFont="1" applyBorder="1" applyAlignment="1">
      <alignment horizontal="center" vertical="center" wrapText="1"/>
    </xf>
    <xf numFmtId="0" fontId="34" fillId="0" borderId="34" xfId="0" applyFont="1" applyBorder="1" applyAlignment="1">
      <alignment horizontal="center" vertical="center" wrapText="1"/>
    </xf>
    <xf numFmtId="0" fontId="11" fillId="0" borderId="9" xfId="0" applyFont="1" applyBorder="1" applyAlignment="1">
      <alignment horizontal="right" vertical="center" wrapText="1"/>
    </xf>
    <xf numFmtId="0" fontId="11" fillId="0" borderId="0" xfId="0" applyFont="1" applyAlignment="1">
      <alignment horizontal="right" vertical="center" wrapText="1"/>
    </xf>
    <xf numFmtId="0" fontId="11" fillId="0" borderId="11" xfId="0" applyFont="1" applyBorder="1" applyAlignment="1">
      <alignment horizontal="right" vertical="center" wrapText="1"/>
    </xf>
    <xf numFmtId="0" fontId="11" fillId="0" borderId="26" xfId="0" applyFont="1" applyBorder="1" applyAlignment="1">
      <alignment horizontal="right" vertical="center" wrapText="1"/>
    </xf>
    <xf numFmtId="0" fontId="11" fillId="0" borderId="24" xfId="0" applyFont="1" applyBorder="1" applyAlignment="1">
      <alignment horizontal="right" vertical="center" wrapText="1"/>
    </xf>
    <xf numFmtId="0" fontId="11" fillId="0" borderId="35" xfId="0" applyFont="1" applyBorder="1" applyAlignment="1">
      <alignment horizontal="right" vertical="center" wrapText="1"/>
    </xf>
    <xf numFmtId="0" fontId="12" fillId="10" borderId="2" xfId="0" applyFont="1" applyFill="1" applyBorder="1" applyAlignment="1">
      <alignment horizontal="left" vertical="center" wrapText="1"/>
    </xf>
    <xf numFmtId="0" fontId="12" fillId="10" borderId="1" xfId="0" applyFont="1" applyFill="1" applyBorder="1" applyAlignment="1">
      <alignment horizontal="left" vertical="center" wrapText="1"/>
    </xf>
    <xf numFmtId="0" fontId="12" fillId="10" borderId="2"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34" fillId="0" borderId="45" xfId="0" applyFont="1" applyBorder="1" applyAlignment="1">
      <alignment horizontal="center" vertical="center" wrapText="1"/>
    </xf>
    <xf numFmtId="0" fontId="2" fillId="0" borderId="37" xfId="0" applyFont="1" applyBorder="1" applyAlignment="1">
      <alignment horizontal="center" vertical="center" wrapText="1"/>
    </xf>
    <xf numFmtId="0" fontId="12" fillId="0" borderId="1" xfId="0" applyFont="1" applyBorder="1" applyAlignment="1">
      <alignment vertical="center"/>
    </xf>
    <xf numFmtId="0" fontId="12" fillId="0" borderId="3" xfId="0" applyFont="1" applyBorder="1" applyAlignment="1">
      <alignment vertical="center"/>
    </xf>
    <xf numFmtId="0" fontId="2" fillId="0" borderId="3" xfId="0" applyFont="1" applyBorder="1" applyAlignment="1">
      <alignment horizontal="center" vertical="center"/>
    </xf>
    <xf numFmtId="0" fontId="2" fillId="0" borderId="0" xfId="0" applyFont="1" applyAlignment="1">
      <alignment horizontal="left" vertical="center"/>
    </xf>
    <xf numFmtId="0" fontId="2" fillId="0" borderId="2" xfId="0" applyFont="1" applyBorder="1" applyAlignment="1">
      <alignment horizontal="center" vertical="center"/>
    </xf>
    <xf numFmtId="0" fontId="12" fillId="10" borderId="3" xfId="0" applyFont="1" applyFill="1" applyBorder="1" applyAlignment="1">
      <alignment horizontal="left" vertical="center" wrapText="1"/>
    </xf>
    <xf numFmtId="0" fontId="12" fillId="10" borderId="3" xfId="0" applyFont="1" applyFill="1" applyBorder="1" applyAlignment="1">
      <alignment horizontal="center" vertical="center" wrapText="1"/>
    </xf>
    <xf numFmtId="0" fontId="9" fillId="0" borderId="65"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116" xfId="0" applyFont="1" applyBorder="1" applyAlignment="1">
      <alignment horizontal="center" vertical="center" wrapText="1"/>
    </xf>
    <xf numFmtId="0" fontId="9" fillId="0" borderId="40" xfId="0" applyFont="1" applyBorder="1" applyAlignment="1">
      <alignment horizontal="center" vertical="center" wrapText="1"/>
    </xf>
    <xf numFmtId="0" fontId="11" fillId="0" borderId="82" xfId="0" applyFont="1" applyBorder="1" applyAlignment="1">
      <alignment horizontal="center" vertical="center" wrapText="1"/>
    </xf>
    <xf numFmtId="0" fontId="11" fillId="0" borderId="95" xfId="0" applyFont="1" applyBorder="1" applyAlignment="1">
      <alignment horizontal="center" vertical="center" wrapText="1"/>
    </xf>
    <xf numFmtId="0" fontId="9" fillId="0" borderId="82" xfId="0" applyFont="1" applyBorder="1" applyAlignment="1">
      <alignment horizontal="center" vertical="center" wrapText="1"/>
    </xf>
    <xf numFmtId="0" fontId="9" fillId="0" borderId="95" xfId="0" applyFont="1" applyBorder="1" applyAlignment="1">
      <alignment horizontal="center" vertical="center" wrapText="1"/>
    </xf>
    <xf numFmtId="0" fontId="9" fillId="0" borderId="106" xfId="0" applyFont="1" applyBorder="1" applyAlignment="1">
      <alignment horizontal="center" vertical="center" wrapText="1"/>
    </xf>
    <xf numFmtId="0" fontId="9" fillId="0" borderId="104" xfId="0" applyFont="1" applyBorder="1" applyAlignment="1">
      <alignment horizontal="center" vertical="center" wrapText="1"/>
    </xf>
    <xf numFmtId="0" fontId="9" fillId="0" borderId="105" xfId="0" applyFont="1" applyBorder="1" applyAlignment="1">
      <alignment horizontal="center" vertical="center" wrapText="1"/>
    </xf>
    <xf numFmtId="0" fontId="9" fillId="5" borderId="106" xfId="0" applyFont="1" applyFill="1" applyBorder="1" applyAlignment="1">
      <alignment horizontal="center" vertical="center" wrapText="1"/>
    </xf>
    <xf numFmtId="0" fontId="9" fillId="5" borderId="104" xfId="0" applyFont="1" applyFill="1" applyBorder="1" applyAlignment="1">
      <alignment horizontal="center" vertical="center" wrapText="1"/>
    </xf>
    <xf numFmtId="0" fontId="9" fillId="5" borderId="105" xfId="0" applyFont="1" applyFill="1" applyBorder="1" applyAlignment="1">
      <alignment horizontal="center" vertical="center" wrapText="1"/>
    </xf>
    <xf numFmtId="0" fontId="9" fillId="5" borderId="65"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9" fillId="5" borderId="66" xfId="0" applyFont="1" applyFill="1" applyBorder="1" applyAlignment="1">
      <alignment horizontal="center" vertical="center" wrapText="1"/>
    </xf>
    <xf numFmtId="0" fontId="2" fillId="0" borderId="106" xfId="0" applyFont="1" applyBorder="1" applyAlignment="1">
      <alignment horizontal="center" vertical="center"/>
    </xf>
    <xf numFmtId="0" fontId="2" fillId="0" borderId="104" xfId="0" applyFont="1" applyBorder="1" applyAlignment="1">
      <alignment horizontal="center" vertical="center"/>
    </xf>
    <xf numFmtId="0" fontId="2" fillId="0" borderId="105" xfId="0" applyFont="1" applyBorder="1" applyAlignment="1">
      <alignment horizontal="center" vertical="center"/>
    </xf>
    <xf numFmtId="0" fontId="13" fillId="16" borderId="78" xfId="0" applyFont="1" applyFill="1" applyBorder="1" applyAlignment="1">
      <alignment horizontal="center" vertical="center" wrapText="1"/>
    </xf>
    <xf numFmtId="0" fontId="13" fillId="16" borderId="50" xfId="0" applyFont="1" applyFill="1" applyBorder="1" applyAlignment="1">
      <alignment horizontal="center" vertical="center" wrapText="1"/>
    </xf>
    <xf numFmtId="0" fontId="13" fillId="16" borderId="69" xfId="0" applyFont="1" applyFill="1" applyBorder="1" applyAlignment="1">
      <alignment horizontal="center" vertical="center" wrapText="1"/>
    </xf>
    <xf numFmtId="0" fontId="13" fillId="16" borderId="76" xfId="0" applyFont="1" applyFill="1" applyBorder="1" applyAlignment="1">
      <alignment horizontal="center" vertical="center" wrapText="1"/>
    </xf>
    <xf numFmtId="0" fontId="13" fillId="16" borderId="0" xfId="0" applyFont="1" applyFill="1" applyAlignment="1">
      <alignment horizontal="center" vertical="center" wrapText="1"/>
    </xf>
    <xf numFmtId="0" fontId="13" fillId="16" borderId="71" xfId="0" applyFont="1" applyFill="1" applyBorder="1" applyAlignment="1">
      <alignment horizontal="center" vertical="center" wrapText="1"/>
    </xf>
    <xf numFmtId="0" fontId="13" fillId="16" borderId="97" xfId="0" applyFont="1" applyFill="1" applyBorder="1" applyAlignment="1">
      <alignment horizontal="center" vertical="center" wrapText="1"/>
    </xf>
    <xf numFmtId="0" fontId="13" fillId="16" borderId="101" xfId="0" applyFont="1" applyFill="1" applyBorder="1" applyAlignment="1">
      <alignment horizontal="center" vertical="center" wrapText="1"/>
    </xf>
    <xf numFmtId="0" fontId="13" fillId="16" borderId="96" xfId="0" applyFont="1" applyFill="1" applyBorder="1" applyAlignment="1">
      <alignment horizontal="center" vertical="center" wrapText="1"/>
    </xf>
    <xf numFmtId="0" fontId="13" fillId="16" borderId="0" xfId="0" applyFont="1" applyFill="1" applyBorder="1" applyAlignment="1">
      <alignment horizontal="center" vertical="center" wrapText="1"/>
    </xf>
    <xf numFmtId="0" fontId="9" fillId="0" borderId="27" xfId="0" applyFont="1" applyBorder="1" applyAlignment="1">
      <alignment horizontal="center" vertical="center"/>
    </xf>
    <xf numFmtId="0" fontId="9" fillId="0" borderId="34" xfId="0" applyFont="1" applyBorder="1" applyAlignment="1">
      <alignment horizontal="center" vertical="center"/>
    </xf>
    <xf numFmtId="0" fontId="9" fillId="0" borderId="46" xfId="0" applyFont="1" applyBorder="1" applyAlignment="1">
      <alignment horizontal="center" vertical="center" wrapText="1"/>
    </xf>
    <xf numFmtId="0" fontId="2" fillId="0" borderId="46" xfId="0" applyFont="1" applyBorder="1" applyAlignment="1">
      <alignment horizontal="center" vertical="center"/>
    </xf>
    <xf numFmtId="0" fontId="2" fillId="0" borderId="48" xfId="0" applyFont="1" applyBorder="1" applyAlignment="1">
      <alignment horizontal="center" vertical="center"/>
    </xf>
    <xf numFmtId="0" fontId="9" fillId="14" borderId="27" xfId="0" applyFont="1" applyFill="1" applyBorder="1" applyAlignment="1">
      <alignment horizontal="left" vertical="center"/>
    </xf>
    <xf numFmtId="0" fontId="9" fillId="14" borderId="33" xfId="0" applyFont="1" applyFill="1" applyBorder="1" applyAlignment="1">
      <alignment horizontal="left" vertical="center"/>
    </xf>
    <xf numFmtId="0" fontId="9" fillId="14" borderId="34" xfId="0" applyFont="1" applyFill="1" applyBorder="1" applyAlignment="1">
      <alignment horizontal="left" vertical="center"/>
    </xf>
    <xf numFmtId="0" fontId="9" fillId="0" borderId="22" xfId="0" applyFont="1" applyBorder="1" applyAlignment="1">
      <alignment horizontal="center" vertical="center"/>
    </xf>
    <xf numFmtId="0" fontId="9" fillId="0" borderId="2" xfId="0" applyFont="1" applyBorder="1" applyAlignment="1">
      <alignment horizontal="center" vertical="center"/>
    </xf>
    <xf numFmtId="0" fontId="9" fillId="0" borderId="33" xfId="0" applyFont="1" applyBorder="1" applyAlignment="1">
      <alignment horizontal="center" vertical="center"/>
    </xf>
    <xf numFmtId="0" fontId="9" fillId="14" borderId="1" xfId="0" applyFont="1" applyFill="1" applyBorder="1" applyAlignment="1">
      <alignment horizontal="center" vertical="center"/>
    </xf>
    <xf numFmtId="0" fontId="13" fillId="15" borderId="76" xfId="0" applyFont="1" applyFill="1" applyBorder="1" applyAlignment="1">
      <alignment horizontal="center" vertical="center" wrapText="1"/>
    </xf>
    <xf numFmtId="0" fontId="13" fillId="15" borderId="0" xfId="0" applyFont="1" applyFill="1" applyAlignment="1">
      <alignment horizontal="center" vertical="center" wrapText="1"/>
    </xf>
    <xf numFmtId="0" fontId="13" fillId="15" borderId="71" xfId="0" applyFont="1" applyFill="1" applyBorder="1" applyAlignment="1">
      <alignment horizontal="center" vertical="center" wrapText="1"/>
    </xf>
    <xf numFmtId="0" fontId="13" fillId="15" borderId="78" xfId="0" applyFont="1" applyFill="1" applyBorder="1" applyAlignment="1">
      <alignment horizontal="center" vertical="center" wrapText="1"/>
    </xf>
    <xf numFmtId="0" fontId="13" fillId="15" borderId="50" xfId="0" applyFont="1" applyFill="1" applyBorder="1" applyAlignment="1">
      <alignment horizontal="center" vertical="center" wrapText="1"/>
    </xf>
    <xf numFmtId="0" fontId="13" fillId="15" borderId="69" xfId="0" applyFont="1" applyFill="1" applyBorder="1" applyAlignment="1">
      <alignment horizontal="center" vertical="center" wrapText="1"/>
    </xf>
    <xf numFmtId="0" fontId="13" fillId="15" borderId="66" xfId="0" applyFont="1" applyFill="1" applyBorder="1" applyAlignment="1">
      <alignment horizontal="center" vertical="center" wrapText="1"/>
    </xf>
    <xf numFmtId="0" fontId="13" fillId="15" borderId="56" xfId="0" applyFont="1" applyFill="1" applyBorder="1" applyAlignment="1">
      <alignment horizontal="center" vertical="center" wrapText="1"/>
    </xf>
    <xf numFmtId="0" fontId="13" fillId="15" borderId="51" xfId="0" applyFont="1" applyFill="1" applyBorder="1" applyAlignment="1">
      <alignment horizontal="center" vertical="center" wrapText="1"/>
    </xf>
    <xf numFmtId="0" fontId="13" fillId="15" borderId="0" xfId="0" applyFont="1" applyFill="1" applyBorder="1" applyAlignment="1">
      <alignment horizontal="center" vertical="center" wrapText="1"/>
    </xf>
    <xf numFmtId="0" fontId="13" fillId="15" borderId="97" xfId="0" applyFont="1" applyFill="1" applyBorder="1" applyAlignment="1">
      <alignment horizontal="center" vertical="center" wrapText="1"/>
    </xf>
    <xf numFmtId="0" fontId="13" fillId="15" borderId="101" xfId="0" applyFont="1" applyFill="1" applyBorder="1" applyAlignment="1">
      <alignment horizontal="center" vertical="center" wrapText="1"/>
    </xf>
    <xf numFmtId="0" fontId="13" fillId="15" borderId="96" xfId="0" applyFont="1" applyFill="1" applyBorder="1" applyAlignment="1">
      <alignment horizontal="center" vertical="center" wrapText="1"/>
    </xf>
    <xf numFmtId="0" fontId="9" fillId="0" borderId="36" xfId="0" applyFont="1" applyBorder="1" applyAlignment="1">
      <alignment horizontal="center" vertical="center" wrapText="1"/>
    </xf>
    <xf numFmtId="0" fontId="9" fillId="0" borderId="9" xfId="0" applyFont="1" applyBorder="1" applyAlignment="1">
      <alignment horizontal="center" vertical="center" wrapText="1"/>
    </xf>
    <xf numFmtId="0" fontId="11" fillId="0" borderId="97" xfId="0" applyFont="1" applyBorder="1" applyAlignment="1">
      <alignment horizontal="center" vertical="center" wrapText="1"/>
    </xf>
    <xf numFmtId="0" fontId="11" fillId="0" borderId="102" xfId="0" applyFont="1" applyBorder="1" applyAlignment="1">
      <alignment horizontal="center" vertical="center" wrapText="1"/>
    </xf>
    <xf numFmtId="0" fontId="9" fillId="0" borderId="97" xfId="0" applyFont="1" applyBorder="1" applyAlignment="1">
      <alignment horizontal="center" vertical="center" wrapText="1"/>
    </xf>
    <xf numFmtId="0" fontId="9" fillId="0" borderId="102" xfId="0" applyFont="1" applyBorder="1" applyAlignment="1">
      <alignment horizontal="center" vertical="center" wrapText="1"/>
    </xf>
    <xf numFmtId="0" fontId="13" fillId="16" borderId="52" xfId="0" applyFont="1" applyFill="1" applyBorder="1" applyAlignment="1">
      <alignment horizontal="center" vertical="center" wrapText="1"/>
    </xf>
    <xf numFmtId="0" fontId="13" fillId="16" borderId="39" xfId="0" applyFont="1" applyFill="1" applyBorder="1" applyAlignment="1">
      <alignment horizontal="center" vertical="center" wrapText="1"/>
    </xf>
    <xf numFmtId="0" fontId="13" fillId="16" borderId="41" xfId="0" applyFont="1" applyFill="1" applyBorder="1" applyAlignment="1">
      <alignment horizontal="center" vertical="center" wrapText="1"/>
    </xf>
    <xf numFmtId="0" fontId="9" fillId="0" borderId="34" xfId="0" applyFont="1" applyBorder="1" applyAlignment="1">
      <alignment horizontal="center" vertical="center" wrapText="1"/>
    </xf>
    <xf numFmtId="0" fontId="9" fillId="0" borderId="1" xfId="0" applyFont="1" applyBorder="1" applyAlignment="1">
      <alignment horizontal="center" vertical="center" wrapText="1"/>
    </xf>
    <xf numFmtId="0" fontId="2" fillId="0" borderId="27" xfId="0" applyFont="1" applyBorder="1" applyAlignment="1">
      <alignment horizontal="center" vertical="center"/>
    </xf>
    <xf numFmtId="0" fontId="9" fillId="0" borderId="39" xfId="0" applyFont="1" applyBorder="1" applyAlignment="1">
      <alignment horizontal="center" vertical="center" wrapText="1"/>
    </xf>
    <xf numFmtId="0" fontId="2" fillId="0" borderId="39" xfId="0" applyFont="1" applyBorder="1" applyAlignment="1">
      <alignment horizontal="center" vertical="center"/>
    </xf>
    <xf numFmtId="0" fontId="13" fillId="16" borderId="73" xfId="0" applyFont="1" applyFill="1" applyBorder="1" applyAlignment="1">
      <alignment horizontal="center" vertical="center" wrapText="1"/>
    </xf>
    <xf numFmtId="0" fontId="13" fillId="15" borderId="49" xfId="0" applyFont="1" applyFill="1" applyBorder="1" applyAlignment="1">
      <alignment horizontal="center" vertical="center" wrapText="1"/>
    </xf>
    <xf numFmtId="0" fontId="13" fillId="15" borderId="72" xfId="0" applyFont="1" applyFill="1" applyBorder="1" applyAlignment="1">
      <alignment horizontal="center" vertical="center" wrapText="1"/>
    </xf>
    <xf numFmtId="0" fontId="12" fillId="0" borderId="0" xfId="0" applyFont="1" applyBorder="1" applyAlignment="1">
      <alignment horizontal="left" vertical="center" wrapText="1"/>
    </xf>
    <xf numFmtId="0" fontId="13" fillId="15" borderId="77" xfId="0" applyFont="1" applyFill="1" applyBorder="1" applyAlignment="1">
      <alignment horizontal="center" vertical="center" wrapText="1"/>
    </xf>
    <xf numFmtId="0" fontId="2" fillId="0" borderId="7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71" xfId="0" applyFont="1" applyBorder="1" applyAlignment="1">
      <alignment horizontal="center" vertical="center" wrapText="1"/>
    </xf>
    <xf numFmtId="0" fontId="13" fillId="15" borderId="68"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4" borderId="12"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9" fillId="0" borderId="24" xfId="0" applyFont="1" applyBorder="1" applyAlignment="1">
      <alignment horizontal="center" wrapText="1"/>
    </xf>
    <xf numFmtId="0" fontId="9" fillId="2" borderId="1" xfId="0" applyFont="1" applyFill="1" applyBorder="1" applyAlignment="1">
      <alignment horizontal="center"/>
    </xf>
    <xf numFmtId="0" fontId="9" fillId="0" borderId="24" xfId="0" applyFont="1" applyFill="1" applyBorder="1" applyAlignment="1">
      <alignment horizontal="left" vertical="center"/>
    </xf>
    <xf numFmtId="0" fontId="25" fillId="0" borderId="0" xfId="0" applyFont="1" applyAlignment="1">
      <alignment horizontal="center" vertical="center"/>
    </xf>
    <xf numFmtId="0" fontId="24" fillId="0" borderId="53" xfId="0" applyFont="1" applyBorder="1" applyAlignment="1">
      <alignment horizontal="left" vertical="center" wrapText="1"/>
    </xf>
    <xf numFmtId="0" fontId="24" fillId="0" borderId="52" xfId="0" applyFont="1" applyBorder="1" applyAlignment="1">
      <alignment horizontal="left" vertical="center" wrapText="1"/>
    </xf>
    <xf numFmtId="0" fontId="24" fillId="0" borderId="115" xfId="0" applyFont="1" applyBorder="1" applyAlignment="1">
      <alignment horizontal="left" vertical="center" wrapText="1"/>
    </xf>
    <xf numFmtId="0" fontId="24" fillId="0" borderId="54" xfId="0" applyFont="1" applyBorder="1" applyAlignment="1">
      <alignment horizontal="left" vertical="center" wrapText="1"/>
    </xf>
    <xf numFmtId="0" fontId="25" fillId="0" borderId="55" xfId="0" applyFont="1" applyBorder="1" applyAlignment="1">
      <alignment horizontal="center" vertical="center"/>
    </xf>
  </cellXfs>
  <cellStyles count="2">
    <cellStyle name="Hyperlink" xfId="1" builtinId="8"/>
    <cellStyle name="Normal" xfId="0" builtinId="0"/>
  </cellStyles>
  <dxfs count="3">
    <dxf>
      <font>
        <color rgb="FFC00000"/>
      </font>
    </dxf>
    <dxf>
      <fill>
        <patternFill>
          <bgColor theme="0" tint="-0.14996795556505021"/>
        </patternFill>
      </fill>
    </dxf>
    <dxf>
      <font>
        <color rgb="FFC00000"/>
      </font>
    </dxf>
  </dxfs>
  <tableStyles count="0" defaultTableStyle="TableStyleMedium2" defaultPivotStyle="PivotStyleLight16"/>
  <colors>
    <mruColors>
      <color rgb="FF0563C1"/>
      <color rgb="FFF5DBF3"/>
      <color rgb="FFF7F2ED"/>
      <color rgb="FFEADBCC"/>
      <color rgb="FFE9E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50800</xdr:colOff>
      <xdr:row>19</xdr:row>
      <xdr:rowOff>76200</xdr:rowOff>
    </xdr:from>
    <xdr:ext cx="4016375" cy="629179"/>
    <xdr:pic>
      <xdr:nvPicPr>
        <xdr:cNvPr id="2" name="Picture 1">
          <a:extLst>
            <a:ext uri="{FF2B5EF4-FFF2-40B4-BE49-F238E27FC236}">
              <a16:creationId xmlns:a16="http://schemas.microsoft.com/office/drawing/2014/main" id="{537F1B8E-18FD-45C2-87B0-F33A1260D24E}"/>
            </a:ext>
          </a:extLst>
        </xdr:cNvPr>
        <xdr:cNvPicPr>
          <a:picLocks noChangeAspect="1"/>
        </xdr:cNvPicPr>
      </xdr:nvPicPr>
      <xdr:blipFill>
        <a:blip xmlns:r="http://schemas.openxmlformats.org/officeDocument/2006/relationships" r:embed="rId1"/>
        <a:stretch>
          <a:fillRect/>
        </a:stretch>
      </xdr:blipFill>
      <xdr:spPr>
        <a:xfrm>
          <a:off x="50800" y="3533775"/>
          <a:ext cx="4016375" cy="629179"/>
        </a:xfrm>
        <a:prstGeom prst="rect">
          <a:avLst/>
        </a:prstGeom>
      </xdr:spPr>
    </xdr:pic>
    <xdr:clientData/>
  </xdr:oneCellAnchor>
  <xdr:oneCellAnchor>
    <xdr:from>
      <xdr:col>6</xdr:col>
      <xdr:colOff>37912</xdr:colOff>
      <xdr:row>20</xdr:row>
      <xdr:rowOff>69695</xdr:rowOff>
    </xdr:from>
    <xdr:ext cx="5383283" cy="660844"/>
    <xdr:pic>
      <xdr:nvPicPr>
        <xdr:cNvPr id="3" name="Picture 2">
          <a:extLst>
            <a:ext uri="{FF2B5EF4-FFF2-40B4-BE49-F238E27FC236}">
              <a16:creationId xmlns:a16="http://schemas.microsoft.com/office/drawing/2014/main" id="{6AEF8516-4C30-4215-84DB-901906520657}"/>
            </a:ext>
          </a:extLst>
        </xdr:cNvPr>
        <xdr:cNvPicPr>
          <a:picLocks noChangeAspect="1"/>
        </xdr:cNvPicPr>
      </xdr:nvPicPr>
      <xdr:blipFill>
        <a:blip xmlns:r="http://schemas.openxmlformats.org/officeDocument/2006/relationships" r:embed="rId2"/>
        <a:stretch>
          <a:fillRect/>
        </a:stretch>
      </xdr:blipFill>
      <xdr:spPr>
        <a:xfrm>
          <a:off x="7105462" y="3720945"/>
          <a:ext cx="5383283" cy="660844"/>
        </a:xfrm>
        <a:prstGeom prst="rect">
          <a:avLst/>
        </a:prstGeom>
      </xdr:spPr>
    </xdr:pic>
    <xdr:clientData/>
  </xdr:oneCellAnchor>
  <xdr:oneCellAnchor>
    <xdr:from>
      <xdr:col>6</xdr:col>
      <xdr:colOff>66410</xdr:colOff>
      <xdr:row>27</xdr:row>
      <xdr:rowOff>158005</xdr:rowOff>
    </xdr:from>
    <xdr:ext cx="2520950" cy="488950"/>
    <xdr:pic>
      <xdr:nvPicPr>
        <xdr:cNvPr id="4" name="Picture 3">
          <a:extLst>
            <a:ext uri="{FF2B5EF4-FFF2-40B4-BE49-F238E27FC236}">
              <a16:creationId xmlns:a16="http://schemas.microsoft.com/office/drawing/2014/main" id="{CC376876-8994-4D3D-ADF7-894881F2A557}"/>
            </a:ext>
          </a:extLst>
        </xdr:cNvPr>
        <xdr:cNvPicPr>
          <a:picLocks noChangeAspect="1"/>
        </xdr:cNvPicPr>
      </xdr:nvPicPr>
      <xdr:blipFill rotWithShape="1">
        <a:blip xmlns:r="http://schemas.openxmlformats.org/officeDocument/2006/relationships" r:embed="rId3"/>
        <a:srcRect r="46755" b="4952"/>
        <a:stretch/>
      </xdr:blipFill>
      <xdr:spPr>
        <a:xfrm>
          <a:off x="7133960" y="5117355"/>
          <a:ext cx="2520950" cy="488950"/>
        </a:xfrm>
        <a:prstGeom prst="rect">
          <a:avLst/>
        </a:prstGeom>
      </xdr:spPr>
    </xdr:pic>
    <xdr:clientData/>
  </xdr:oneCellAnchor>
  <xdr:twoCellAnchor editAs="oneCell">
    <xdr:from>
      <xdr:col>13</xdr:col>
      <xdr:colOff>112050</xdr:colOff>
      <xdr:row>18</xdr:row>
      <xdr:rowOff>125669</xdr:rowOff>
    </xdr:from>
    <xdr:to>
      <xdr:col>16</xdr:col>
      <xdr:colOff>836555</xdr:colOff>
      <xdr:row>20</xdr:row>
      <xdr:rowOff>99477</xdr:rowOff>
    </xdr:to>
    <xdr:pic>
      <xdr:nvPicPr>
        <xdr:cNvPr id="5" name="Picture 4">
          <a:extLst>
            <a:ext uri="{FF2B5EF4-FFF2-40B4-BE49-F238E27FC236}">
              <a16:creationId xmlns:a16="http://schemas.microsoft.com/office/drawing/2014/main" id="{4E3A45ED-A832-46E6-B72A-6904E30A4E24}"/>
            </a:ext>
          </a:extLst>
        </xdr:cNvPr>
        <xdr:cNvPicPr>
          <a:picLocks noChangeAspect="1"/>
        </xdr:cNvPicPr>
      </xdr:nvPicPr>
      <xdr:blipFill>
        <a:blip xmlns:r="http://schemas.openxmlformats.org/officeDocument/2006/relationships" r:embed="rId4"/>
        <a:stretch>
          <a:fillRect/>
        </a:stretch>
      </xdr:blipFill>
      <xdr:spPr>
        <a:xfrm>
          <a:off x="13923300" y="3408619"/>
          <a:ext cx="5988655" cy="323059"/>
        </a:xfrm>
        <a:prstGeom prst="rect">
          <a:avLst/>
        </a:prstGeom>
      </xdr:spPr>
    </xdr:pic>
    <xdr:clientData/>
  </xdr:twoCellAnchor>
  <xdr:twoCellAnchor editAs="oneCell">
    <xdr:from>
      <xdr:col>2</xdr:col>
      <xdr:colOff>147018</xdr:colOff>
      <xdr:row>16</xdr:row>
      <xdr:rowOff>8708</xdr:rowOff>
    </xdr:from>
    <xdr:to>
      <xdr:col>4</xdr:col>
      <xdr:colOff>482242</xdr:colOff>
      <xdr:row>23</xdr:row>
      <xdr:rowOff>7559</xdr:rowOff>
    </xdr:to>
    <xdr:pic>
      <xdr:nvPicPr>
        <xdr:cNvPr id="7" name="Picture 5">
          <a:extLst>
            <a:ext uri="{FF2B5EF4-FFF2-40B4-BE49-F238E27FC236}">
              <a16:creationId xmlns:a16="http://schemas.microsoft.com/office/drawing/2014/main" id="{99E79A1E-5E14-C9E6-45E5-2D1032A2A036}"/>
            </a:ext>
          </a:extLst>
        </xdr:cNvPr>
        <xdr:cNvPicPr>
          <a:picLocks noChangeAspect="1"/>
        </xdr:cNvPicPr>
      </xdr:nvPicPr>
      <xdr:blipFill rotWithShape="1">
        <a:blip xmlns:r="http://schemas.openxmlformats.org/officeDocument/2006/relationships" r:embed="rId5"/>
        <a:srcRect t="3495"/>
        <a:stretch/>
      </xdr:blipFill>
      <xdr:spPr>
        <a:xfrm>
          <a:off x="4226984" y="2973977"/>
          <a:ext cx="2754158" cy="12180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669505</xdr:colOff>
      <xdr:row>1</xdr:row>
      <xdr:rowOff>40083</xdr:rowOff>
    </xdr:from>
    <xdr:to>
      <xdr:col>15</xdr:col>
      <xdr:colOff>221192</xdr:colOff>
      <xdr:row>18</xdr:row>
      <xdr:rowOff>86783</xdr:rowOff>
    </xdr:to>
    <xdr:pic>
      <xdr:nvPicPr>
        <xdr:cNvPr id="2" name="Picture 1" descr="A white rectangular table with black text&#10;&#10;Description automatically generated with medium confidence">
          <a:extLst>
            <a:ext uri="{FF2B5EF4-FFF2-40B4-BE49-F238E27FC236}">
              <a16:creationId xmlns:a16="http://schemas.microsoft.com/office/drawing/2014/main" id="{82CF3B98-482B-4382-B4BB-BF72C7645548}"/>
            </a:ext>
          </a:extLst>
        </xdr:cNvPr>
        <xdr:cNvPicPr>
          <a:picLocks noChangeAspect="1"/>
        </xdr:cNvPicPr>
      </xdr:nvPicPr>
      <xdr:blipFill>
        <a:blip xmlns:r="http://schemas.openxmlformats.org/officeDocument/2006/relationships" r:embed="rId1"/>
        <a:stretch>
          <a:fillRect/>
        </a:stretch>
      </xdr:blipFill>
      <xdr:spPr>
        <a:xfrm>
          <a:off x="10404055" y="230583"/>
          <a:ext cx="5742937" cy="3380450"/>
        </a:xfrm>
        <a:prstGeom prst="rect">
          <a:avLst/>
        </a:prstGeom>
      </xdr:spPr>
    </xdr:pic>
    <xdr:clientData/>
  </xdr:twoCellAnchor>
  <xdr:twoCellAnchor editAs="oneCell">
    <xdr:from>
      <xdr:col>16</xdr:col>
      <xdr:colOff>212724</xdr:colOff>
      <xdr:row>1</xdr:row>
      <xdr:rowOff>111946</xdr:rowOff>
    </xdr:from>
    <xdr:to>
      <xdr:col>24</xdr:col>
      <xdr:colOff>144992</xdr:colOff>
      <xdr:row>18</xdr:row>
      <xdr:rowOff>66143</xdr:rowOff>
    </xdr:to>
    <xdr:pic>
      <xdr:nvPicPr>
        <xdr:cNvPr id="3" name="Picture 2">
          <a:extLst>
            <a:ext uri="{FF2B5EF4-FFF2-40B4-BE49-F238E27FC236}">
              <a16:creationId xmlns:a16="http://schemas.microsoft.com/office/drawing/2014/main" id="{281C9D3E-B752-89AE-0D25-D367D4E3242F}"/>
            </a:ext>
          </a:extLst>
        </xdr:cNvPr>
        <xdr:cNvPicPr>
          <a:picLocks noChangeAspect="1"/>
        </xdr:cNvPicPr>
      </xdr:nvPicPr>
      <xdr:blipFill rotWithShape="1">
        <a:blip xmlns:r="http://schemas.openxmlformats.org/officeDocument/2006/relationships" r:embed="rId2"/>
        <a:srcRect b="2739"/>
        <a:stretch/>
      </xdr:blipFill>
      <xdr:spPr>
        <a:xfrm>
          <a:off x="16729074" y="302446"/>
          <a:ext cx="4847168" cy="3287947"/>
        </a:xfrm>
        <a:prstGeom prst="rect">
          <a:avLst/>
        </a:prstGeom>
      </xdr:spPr>
    </xdr:pic>
    <xdr:clientData/>
  </xdr:twoCellAnchor>
  <xdr:twoCellAnchor editAs="oneCell">
    <xdr:from>
      <xdr:col>25</xdr:col>
      <xdr:colOff>143651</xdr:colOff>
      <xdr:row>1</xdr:row>
      <xdr:rowOff>43392</xdr:rowOff>
    </xdr:from>
    <xdr:to>
      <xdr:col>32</xdr:col>
      <xdr:colOff>545042</xdr:colOff>
      <xdr:row>18</xdr:row>
      <xdr:rowOff>107638</xdr:rowOff>
    </xdr:to>
    <xdr:pic>
      <xdr:nvPicPr>
        <xdr:cNvPr id="4" name="Picture 3">
          <a:extLst>
            <a:ext uri="{FF2B5EF4-FFF2-40B4-BE49-F238E27FC236}">
              <a16:creationId xmlns:a16="http://schemas.microsoft.com/office/drawing/2014/main" id="{1B8CF93E-58B2-E057-D43B-6A635743EE73}"/>
            </a:ext>
          </a:extLst>
        </xdr:cNvPr>
        <xdr:cNvPicPr>
          <a:picLocks noChangeAspect="1"/>
        </xdr:cNvPicPr>
      </xdr:nvPicPr>
      <xdr:blipFill rotWithShape="1">
        <a:blip xmlns:r="http://schemas.openxmlformats.org/officeDocument/2006/relationships" r:embed="rId3"/>
        <a:srcRect t="3798"/>
        <a:stretch/>
      </xdr:blipFill>
      <xdr:spPr>
        <a:xfrm>
          <a:off x="22165451" y="233892"/>
          <a:ext cx="4535241" cy="339799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atel, Minti" id="{F2107FBB-499B-48D2-BBB9-3C92F35215D9}" userId="S::59184@icf.com::e306ac64-f3bf-4d6e-af2e-74e7a5332113" providerId="AD"/>
  <person displayName="Neal-Walthall, Natalia" id="{585A5049-2F7E-428D-9DB3-FC9182753044}" userId="S::61902@icf.com::ad4bec1a-9b96-415d-8922-6763f96efb1c" providerId="AD"/>
  <person displayName="Daly, Sean" id="{F898590A-9486-4198-BBB4-F071B8C85718}" userId="S::62478@icf.com::eb225ece-a5b7-4408-b54c-2d38af1e9a80" providerId="AD"/>
  <person displayName="Ngo, Catherine" id="{67F582F1-268E-485E-BDC5-5094AF4F0277}" userId="S::Ngo.Catherine@epa.gov::addb4d0d-c526-4594-b73d-feccbdd9364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1" dT="2024-03-06T21:09:37.28" personId="{585A5049-2F7E-428D-9DB3-FC9182753044}" id="{4F6197ED-5C87-4713-9A89-D9BAA099EFAC}">
    <text xml:space="preserve">Representative materials were chosen from the lists below. If specific material is known and is included in the larger lists below these can be changed. </text>
  </threadedComment>
  <threadedComment ref="I1" dT="2024-03-06T22:20:59.95" personId="{585A5049-2F7E-428D-9DB3-FC9182753044}" id="{B3191031-1088-4AD0-A43C-BBA170E57734}">
    <text xml:space="preserve">There were not appropriate materials for PVC and rubber, so EVA was used for both as it's the closest in physical structure. </text>
  </threadedComment>
  <threadedComment ref="H3" dT="2024-05-01T20:41:31.43" personId="{585A5049-2F7E-428D-9DB3-FC9182753044}" id="{C0D4B8F8-F35E-4504-9227-D19A99AAC57B}">
    <text xml:space="preserve">Value is for carpet. Closest material to fabric. </text>
  </threadedComment>
  <threadedComment ref="I3" dT="2024-05-01T20:42:02.30" personId="{585A5049-2F7E-428D-9DB3-FC9182753044}" id="{BC4090C2-E2B4-42B1-A7D2-3BFB26CEC946}">
    <text>Value for rayon because it results in the highest emission rate of the fabrics</text>
  </threadedComment>
  <threadedComment ref="D29" dT="2024-03-06T15:53:29.66" personId="{585A5049-2F7E-428D-9DB3-FC9182753044}" id="{93316685-42B8-4685-BE75-22C322C9110A}">
    <text xml:space="preserve">Temperature assuming room temp = 72F. Value to be used in emissions equations. </text>
  </threadedComment>
  <threadedComment ref="E29" dT="2024-03-06T15:54:46.24" personId="{585A5049-2F7E-428D-9DB3-FC9182753044}" id="{FF28D66B-6B84-4111-8E03-2F29086BBB6A}">
    <text>Temperature assuming room temp = 98.7F. Value to be used in calculations for chemical migration rates</text>
  </threadedComment>
  <threadedComment ref="K34" dT="2025-02-11T19:47:38.44" personId="{67F582F1-268E-485E-BDC5-5094AF4F0277}" id="{3367CCF0-2A49-44B5-B82E-C1219F9A9FCA}">
    <text>R is ideal gas constant 8.314 J/(K∙mol)</text>
  </threadedComment>
  <threadedComment ref="A36" dT="2024-03-06T20:48:22.43" personId="{585A5049-2F7E-428D-9DB3-FC9182753044}" id="{9D05C442-BA1F-41A3-8918-B4057113BCA1}">
    <text>Rigid, brittle plastic used in things like disposable cutlery and food packaging</text>
  </threadedComment>
  <threadedComment ref="I37" dT="2024-03-06T15:53:29.66" personId="{585A5049-2F7E-428D-9DB3-FC9182753044}" id="{DB6B520B-2205-45B9-97E0-DA0DB7995062}">
    <text xml:space="preserve">Temperature assuming room temp = 72F. Value to be used in emissions equations. </text>
  </threadedComment>
  <threadedComment ref="A45" dT="2024-03-06T15:48:11.38" personId="{585A5049-2F7E-428D-9DB3-FC9182753044}" id="{A5093C28-B94C-432A-8A3B-A66462C707B1}">
    <text>Particleboard, Oriented strand board (OSB), Medium-density fiberboard (MDF), High-density board, and Wood chamber wall.</text>
  </threadedComment>
  <threadedComment ref="N45" dT="2024-03-06T15:48:11.38" personId="{585A5049-2F7E-428D-9DB3-FC9182753044}" id="{A2A9159B-64FD-4D45-9330-3267109E5183}">
    <text>Particleboard, Oriented strand board (OSB), Medium-density fiberboard (MDF), High-density board, and Wood chamber wall.</text>
  </threadedComment>
  <threadedComment ref="A55" dT="2024-03-06T15:47:46.81" personId="{585A5049-2F7E-428D-9DB3-FC9182753044}" id="{D8A75505-DECB-4A29-A4D0-1D64F70CB8F6}">
    <text>Refers to low-density polyurethane foams with a density of 0.005 to 0.03 g/cm3.</text>
  </threadedComment>
  <threadedComment ref="N55" dT="2024-03-06T15:47:46.81" personId="{585A5049-2F7E-428D-9DB3-FC9182753044}" id="{35D7F603-BCFD-4EF7-8805-DB4A1CE8BBFA}">
    <text>Refers to low-density polyurethane foams with a density of 0.005 to 0.03 g/cm3.</text>
  </threadedComment>
  <threadedComment ref="A58" dT="2024-03-06T15:47:39.24" personId="{585A5049-2F7E-428D-9DB3-FC9182753044}" id="{4D35FFEA-2871-4D71-B105-E0FB3021A50B}">
    <text xml:space="preserve">Polyether ether ketone (PEEK), Rigid PVC, Polytetrafluoroethylene (PTFE), and Polycarbonate. Commonly used in lab and engineering applications. </text>
  </threadedComment>
  <threadedComment ref="N58" dT="2024-03-06T15:47:39.24" personId="{585A5049-2F7E-428D-9DB3-FC9182753044}" id="{5FA19528-28A8-4F77-8818-5A288B2426F5}">
    <text>Polyether ether ketone (PEEK), Rigid PVC, Polytetrafluoroethylene (PTFE), and Polycarbonate.</text>
  </threadedComment>
  <threadedComment ref="A60" dT="2024-03-06T15:46:42.76" personId="{585A5049-2F7E-428D-9DB3-FC9182753044}" id="{E8857A8F-D4A6-4DD7-8F58-A16CC196809F}">
    <text xml:space="preserve">Ethyl vinyl acetate (EVA), Polyvinyl acetate (PVA), and Polyvinyl acetate polyacrylic acid copolymer. </text>
  </threadedComment>
  <threadedComment ref="G60" dT="2024-03-06T17:33:26.96" personId="{585A5049-2F7E-428D-9DB3-FC9182753044}" id="{B6F00EB7-C2D4-461C-B088-59B1971996EB}">
    <text>Oriented strand board (OSB), particleboard, medium-density board and high-density board.</text>
  </threadedComment>
  <threadedComment ref="N60" dT="2024-03-06T15:46:42.76" personId="{585A5049-2F7E-428D-9DB3-FC9182753044}" id="{8E501C1A-43E3-4108-AD82-76D1A0F35C53}">
    <text xml:space="preserve">Ethyl vinyl acetate (EVA), Polyvinyl acetate (PVA), and Polyvinyl acetate polyacrylic acid copolymer. </text>
  </threadedComment>
</ThreadedComments>
</file>

<file path=xl/threadedComments/threadedComment2.xml><?xml version="1.0" encoding="utf-8"?>
<ThreadedComments xmlns="http://schemas.microsoft.com/office/spreadsheetml/2018/threadedcomments" xmlns:x="http://schemas.openxmlformats.org/spreadsheetml/2006/main">
  <threadedComment ref="G1" dT="2025-06-10T20:10:37.47" personId="{67F582F1-268E-485E-BDC5-5094AF4F0277}" id="{8B4FEE18-C00A-47EC-ABD9-8FE2FA03CD2D}">
    <text>Inputs are the same</text>
  </threadedComment>
  <threadedComment ref="F6" dT="2024-05-13T17:11:34.03" personId="{F2107FBB-499B-48D2-BBB9-3C92F35215D9}" id="{569B28BA-35FA-4850-85EF-86428981AD09}">
    <text xml:space="preserve">EFH Table 17-10 cleaning frequency 4x/month. Since D4 can be present in multiple products in same household assumed 2x/week frequency of use  </text>
  </threadedComment>
  <threadedComment ref="H6" dT="2024-05-15T18:48:43.82" personId="{F2107FBB-499B-48D2-BBB9-3C92F35215D9}" id="{C2E83F44-5B3C-46FB-8236-5EB6C9E8585A}">
    <text>EFH Table 17-4</text>
  </threadedComment>
  <threadedComment ref="I6" dT="2024-05-15T18:54:11.58" personId="{F2107FBB-499B-48D2-BBB9-3C92F35215D9}" id="{34ACB827-D40F-45B8-BCF4-625B55885612}">
    <text>EFH Table 17-4</text>
  </threadedComment>
  <threadedComment ref="J6" dT="2024-05-15T18:57:05.09" personId="{F2107FBB-499B-48D2-BBB9-3C92F35215D9}" id="{FFE4446C-44A3-4BA4-8BBC-DAE02625A2C8}" done="1">
    <text>Once per week based on professional judgement</text>
  </threadedComment>
  <threadedComment ref="F22" dT="2025-02-25T16:51:18.83" personId="{585A5049-2F7E-428D-9DB3-FC9182753044}" id="{87FCA65C-226C-4C41-815B-37C92FA02593}">
    <text>Weight Fractions from ACC</text>
  </threadedComment>
  <threadedComment ref="G22" dT="2024-05-13T13:24:04.60" personId="{F2107FBB-499B-48D2-BBB9-3C92F35215D9}" id="{DFF67299-CCAC-450D-BC98-559CE9B201CC}">
    <text xml:space="preserve">No products identified so weight fractions reported by ACC SEHSC were used
</text>
  </threadedComment>
  <threadedComment ref="J22" dT="2024-05-13T13:24:04.60" personId="{F2107FBB-499B-48D2-BBB9-3C92F35215D9}" id="{94FAC659-A314-4A6D-8509-D1E8A05574A6}">
    <text xml:space="preserve">No products identified so weight fractions reported by ACC SEHSC were used
</text>
  </threadedComment>
  <threadedComment ref="E28" dT="2024-05-13T14:19:07.76" personId="{F2107FBB-499B-48D2-BBB9-3C92F35215D9}" id="{ADC8B858-D803-41B1-9431-6EBFEEADC51B}">
    <text>Selected for conservatism with size/airflow</text>
  </threadedComment>
  <threadedComment ref="F28" dT="2024-05-13T14:19:14.01" personId="{F2107FBB-499B-48D2-BBB9-3C92F35215D9}" id="{C69E6CF1-2B91-4279-8533-4EC497BE238A}">
    <text xml:space="preserve">Selected for conservatism with size/airflow
</text>
  </threadedComment>
  <threadedComment ref="J28" dT="2024-05-13T14:19:19.39" personId="{F2107FBB-499B-48D2-BBB9-3C92F35215D9}" id="{6B9116F9-8A6A-46F4-B0D8-A82FE98E2A5B}">
    <text xml:space="preserve">Selected for conservatism with size/airflow
</text>
  </threadedComment>
  <threadedComment ref="F39" dT="2024-05-10T15:47:17.00" personId="{585A5049-2F7E-428D-9DB3-FC9182753044}" id="{0A2F7339-8F06-4C26-AFD9-8C9F80A90951}">
    <text xml:space="preserve">No products were identified, assumed to be a thin liquid spray with a density similar to water. </text>
  </threadedComment>
  <threadedComment ref="G39" dT="2024-05-10T15:47:17.00" personId="{585A5049-2F7E-428D-9DB3-FC9182753044}" id="{6FF4A623-4AEA-40BD-B37D-8DAF37FF8912}">
    <text xml:space="preserve">No products were identified, assumed to be a thin liquid spray with a density similar to water. </text>
  </threadedComment>
  <threadedComment ref="J39" dT="2024-05-10T15:47:17.00" personId="{585A5049-2F7E-428D-9DB3-FC9182753044}" id="{5461EB8A-A348-4C01-9E33-96C35085FC2B}">
    <text xml:space="preserve">No products were identified, assumed to be a thin liquid spray with a density similar to water. </text>
  </threadedComment>
  <threadedComment ref="F48" dT="2024-05-13T17:25:18.86" personId="{F2107FBB-499B-48D2-BBB9-3C92F35215D9}" id="{772F459A-33DB-4CAC-B2CC-0C3EB8AE5EB6}">
    <text>EFH table 17-37 all purpose cleaner</text>
  </threadedComment>
  <threadedComment ref="J48" dT="2024-05-13T17:25:18.86" personId="{F2107FBB-499B-48D2-BBB9-3C92F35215D9}" id="{FACD52C8-FB66-48F0-B1AB-32894CF35368}">
    <text>EFH table 17-37 all purpose cleaner</text>
  </threadedComment>
  <threadedComment ref="A89" dT="2024-05-13T19:30:12.09" personId="{F2107FBB-499B-48D2-BBB9-3C92F35215D9}" id="{06509E43-05E5-45BA-9F56-DD1ADA1F60CD}">
    <text>CEM default is 1 m3</text>
  </threadedComment>
</ThreadedComments>
</file>

<file path=xl/threadedComments/threadedComment3.xml><?xml version="1.0" encoding="utf-8"?>
<ThreadedComments xmlns="http://schemas.microsoft.com/office/spreadsheetml/2018/threadedcomments" xmlns:x="http://schemas.openxmlformats.org/spreadsheetml/2006/main">
  <threadedComment ref="E11" dT="2024-05-15T20:18:34.74" personId="{F2107FBB-499B-48D2-BBB9-3C92F35215D9}" id="{196A2519-9777-4715-9C9E-DEA8EBD8EABB}">
    <text xml:space="preserve">EFH Table 16-26, 1-4 year olds
</text>
  </threadedComment>
  <threadedComment ref="J11" dT="2024-05-15T20:23:58.77" personId="{F2107FBB-499B-48D2-BBB9-3C92F35215D9}" id="{D644364E-185D-4936-B303-63F4F7F2E8A2}">
    <text>Professional judgement</text>
  </threadedComment>
  <threadedComment ref="E14" dT="2024-05-15T20:18:49.01" personId="{F2107FBB-499B-48D2-BBB9-3C92F35215D9}" id="{8AA3565D-5FA1-4524-B559-2C0E0C6E24EB}">
    <text>EFH Table 16-26, 12-17 year olds</text>
  </threadedComment>
  <threadedComment ref="E17" dT="2024-05-15T20:19:01.28" personId="{F2107FBB-499B-48D2-BBB9-3C92F35215D9}" id="{9DCF4375-78E5-459A-8611-C961BA7A057A}">
    <text xml:space="preserve">EFH Table 16-26, 18-64 year olds
</text>
  </threadedComment>
</ThreadedComments>
</file>

<file path=xl/threadedComments/threadedComment4.xml><?xml version="1.0" encoding="utf-8"?>
<ThreadedComments xmlns="http://schemas.microsoft.com/office/spreadsheetml/2018/threadedcomments" xmlns:x="http://schemas.openxmlformats.org/spreadsheetml/2006/main">
  <threadedComment ref="C5" dT="2024-04-22T21:05:20.64" personId="{F898590A-9486-4198-BBB4-F071B8C85718}" id="{2D824FB1-4965-4AF4-AFB0-3FFB30C4F687}">
    <text>This appears to be an error. Additionally, the word doc says these values should be: 0.05%, 0.53%, and 1%</text>
  </threadedComment>
  <threadedComment ref="C5" dT="2024-05-01T18:28:48.43" personId="{F2107FBB-499B-48D2-BBB9-3C92F35215D9}" id="{F62F369E-FA31-4FBF-B182-19153C6B1DF0}" parentId="{2D824FB1-4965-4AF4-AFB0-3FFB30C4F687}">
    <text xml:space="preserve">Updated </text>
  </threadedComment>
</ThreadedComments>
</file>

<file path=xl/threadedComments/threadedComment5.xml><?xml version="1.0" encoding="utf-8"?>
<ThreadedComments xmlns="http://schemas.microsoft.com/office/spreadsheetml/2018/threadedcomments" xmlns:x="http://schemas.openxmlformats.org/spreadsheetml/2006/main">
  <threadedComment ref="G4" dT="2024-04-30T17:09:57.39" personId="{F2107FBB-499B-48D2-BBB9-3C92F35215D9}" id="{72801C49-D865-4F72-A102-38C6E3514542}">
    <text xml:space="preserve">CEM default clothing - 960 </text>
  </threadedComment>
  <threadedComment ref="J4" dT="2024-04-30T17:10:06.79" personId="{F2107FBB-499B-48D2-BBB9-3C92F35215D9}" id="{98AC8589-DA9E-453A-965F-89EDC2DE3EA1}">
    <text>CEM default clothing - 1.1789</text>
  </threadedComment>
</ThreadedComments>
</file>

<file path=xl/threadedComments/threadedComment6.xml><?xml version="1.0" encoding="utf-8"?>
<ThreadedComments xmlns="http://schemas.microsoft.com/office/spreadsheetml/2018/threadedcomments" xmlns:x="http://schemas.openxmlformats.org/spreadsheetml/2006/main">
  <threadedComment ref="I3" dT="2025-02-11T20:02:57.54" personId="{67F582F1-268E-485E-BDC5-5094AF4F0277}" id="{32EC44C7-F325-4039-9F8D-C5BE2F4B9BF3}">
    <text>Previously entered as 0.5. Corrected 2/11/25</text>
  </threadedComment>
  <threadedComment ref="L11" dT="2024-05-10T15:24:51.95" personId="{585A5049-2F7E-428D-9DB3-FC9182753044}" id="{BBE766C2-575B-4CCA-8D58-DF53B95140B0}">
    <text xml:space="preserve">https://www.outdoorsupplyhardware.com/2763541/product/black-magic-bc23220
</text>
    <extLst>
      <x:ext xmlns:xltc2="http://schemas.microsoft.com/office/spreadsheetml/2020/threadedcomments2" uri="{F7C98A9C-CBB3-438F-8F68-D28B6AF4A901}">
        <xltc2:checksum>273610624</xltc2:checksum>
        <xltc2:hyperlink startIndex="0" length="73" url="https://www.outdoorsupplyhardware.com/2763541/product/black-magic-bc23220"/>
      </x:ext>
    </extLst>
  </threadedComment>
</ThreadedComments>
</file>

<file path=xl/worksheets/_rels/sheet11.xml.rels><?xml version="1.0" encoding="UTF-8" standalone="yes"?>
<Relationships xmlns="http://schemas.openxmlformats.org/package/2006/relationships"><Relationship Id="rId8" Type="http://schemas.openxmlformats.org/officeDocument/2006/relationships/hyperlink" Target="https://www.amazon.com/Silicone-Grade-Strength-Sealant-Clear/dp/B00NU6VN6G" TargetMode="External"/><Relationship Id="rId13" Type="http://schemas.openxmlformats.org/officeDocument/2006/relationships/hyperlink" Target="https://www.pepboys.com/surf-city-garage-speed-demon-wax-detailer-24-oz-/product/9931387" TargetMode="External"/><Relationship Id="rId18" Type="http://schemas.openxmlformats.org/officeDocument/2006/relationships/hyperlink" Target="https://www.amazon.com/Mothers-01024-Ceramic-Spray-Coating/dp/B07K46RD7Y/ref=sr_1_2?dib=eyJ2IjoiMSJ9.BKlv1ICRxyXz5uBtbV2iWNfBlUlB4406PQpBgNDCKFNQ18Fo5Mz_dSixdtBGbTjgEAqiG91khoz0pFKkaNkn4FOGuCmuV9xED36a8UBuPbESGwMkz0UQQpWp-Xk1LPy_Nr0ZsQNqiE55jsj-bbiFAE8iENAEya--fb1HEPyj-oODouPuo89VX7SeZgLXaxWKuf7bTUr1OsnI5GGR2asB0uvGHxXacyUqz4-06g39ah-7z_LjndlQsefCmfuS2TzfU68RXs5YVLkUHb_g9_2bajKKxPD1RXPhz-EBUiG0aW4.Ua4HElp0gF9_um3O7KQT-_mACBgNrs2c3fMhGCQjggI&amp;dib_tag=se&amp;hvadid=350014401584&amp;hvdev=c&amp;hvlocphy=9009745&amp;hvnetw=g&amp;hvqmt=e&amp;hvrand=8155166066798445392&amp;hvtargid=kwd-666476989674&amp;hydadcr=7309_9586112&amp;keywords=mother%27s+cmx+ceramic+spray+coating&amp;qid=1712172584&amp;sr=8-2" TargetMode="External"/><Relationship Id="rId26" Type="http://schemas.openxmlformats.org/officeDocument/2006/relationships/vmlDrawing" Target="../drawings/vmlDrawing6.vml"/><Relationship Id="rId3" Type="http://schemas.openxmlformats.org/officeDocument/2006/relationships/hyperlink" Target="ttps://www.ebay.com/itm/355592184910?chn=ps&amp;mkevt=1&amp;mkcid=28" TargetMode="External"/><Relationship Id="rId21" Type="http://schemas.openxmlformats.org/officeDocument/2006/relationships/hyperlink" Target="https://www.acehardware.com/departments/paint-and-supplies/stains-and-finishes/deck-and-siding-stains/1028319" TargetMode="External"/><Relationship Id="rId7" Type="http://schemas.openxmlformats.org/officeDocument/2006/relationships/hyperlink" Target="https://www.amazon.com/White-Lightning-W31100010-Silicone-Sealant/dp/B0024WDW70/ref=sr_1_1?crid=2OFTL6NB4N7SJ&amp;dib=eyJ2IjoiMSJ9.IyriMCXG6JEGY8yXm674sA.AZUcQSZIsfqbp5ogcaZFN9umnpqWA1Hr_CfqoQOPJ2M&amp;dib_tag=se&amp;keywords=WHITE%2BLIGHTNING%C2%AE%2BW31100010&amp;qid=1712429464&amp;sprefix=white%2Blightning%2Bw31100010%2Caps%2C84&amp;sr=8-1&amp;th=1" TargetMode="External"/><Relationship Id="rId12" Type="http://schemas.openxmlformats.org/officeDocument/2006/relationships/hyperlink" Target="https://www.amazon.com/Rain-X-620183-Graphene-Spray-Gold/dp/B09NMSGK6X/ref=sr_1_4?crid=9SO27TR7CGBX&amp;dib=eyJ2IjoiMSJ9.kYtEyNu0UUkHFtcpS6gqiYgnRKpkBVlKxbLYnQTD7Ec7G7iR9E6PtIW7MFRMU2pc6jiV1sBInVLUY86UXsB5G5jWRwUM_HA0inM7BkBt9QAE9XHmFI8YykRi_TqPOR0_MBlBrnQTxB9BjcNMv704eItzaXV_EPyajSgAsFHjGumm_mMzos8SSPCv6c3Ug5yoH_E-0qfAEs7E--dWzoJHyW7N-VV1hlnUSiiqY5aRZngGgdfdzmKTyQO-ZorKk-F5cGXf_KgYoINLkTv9jypXgQhXEkfn9nC0czV7DihZHYM.-E-vK4gwOINBi3Z-DZm8D6gWllkB1JQLi6n_HbBXanE&amp;dib_tag=se&amp;keywords=Rain-X+Pro+Graphene+Spray+Wax&amp;qid=1712171342&amp;sprefix=rain-x+pro+graphene+spray+wax%2Caps%2C310&amp;sr=8-4" TargetMode="External"/><Relationship Id="rId17" Type="http://schemas.openxmlformats.org/officeDocument/2006/relationships/hyperlink" Target="https://www.jaxwax.com/products/jax-wax-spray-seal-liquid-paint-sealant-16-oz?variant=18867069059136&amp;currency=USD&amp;utm_medium=product_sync&amp;utm_source=google&amp;utm_content=sag_organic&amp;utm_campaign=sag_organic&amp;utm_campaign=gs-2022-03-08&amp;utm_source=google&amp;utm_medium=smart_campaign&amp;gad_source=1&amp;gclid=CjwKCAjw_LOwBhBFEiwAmSEQAe2CLPL1RRfRek9HOSHTJm5riIBCGC-aAAyZ3UxWDc8cVjYF94ycsRoCG7MQAvD_BwE" TargetMode="External"/><Relationship Id="rId25" Type="http://schemas.openxmlformats.org/officeDocument/2006/relationships/printerSettings" Target="../printerSettings/printerSettings2.bin"/><Relationship Id="rId2" Type="http://schemas.openxmlformats.org/officeDocument/2006/relationships/hyperlink" Target="https://www.bottompaintstore.com/3m-marine-grade-silicone-sealant-08027-110-gallon-white-p-10027.html" TargetMode="External"/><Relationship Id="rId16" Type="http://schemas.openxmlformats.org/officeDocument/2006/relationships/hyperlink" Target="https://www.walmart.com/ip/3M-39110-Waterless-Wash-Wax-16-Oz/541193044?wmlspartner=wlpa&amp;selectedSellerId=101213423" TargetMode="External"/><Relationship Id="rId20" Type="http://schemas.openxmlformats.org/officeDocument/2006/relationships/hyperlink" Target="https://www.amazon.com/CRL-Aerosol-Plastic-Cleaner-Laurence/dp/B006JFRTYA" TargetMode="External"/><Relationship Id="rId1" Type="http://schemas.openxmlformats.org/officeDocument/2006/relationships/hyperlink" Target="https://www.walmart.com/ip/Nuco-30207-Nuflex-302-General-Purpose-Silicone-Sealant-10-Oz-Brown/5042480751?wmlspartner=wlpa&amp;selectedSellerId=1772" TargetMode="External"/><Relationship Id="rId6" Type="http://schemas.openxmlformats.org/officeDocument/2006/relationships/hyperlink" Target="https://www.pksupplies.com/dow-890-sl-self-leveling-silicone-concrete-joint-sealant-20-fluid-ounce-sausage.html?id=6044" TargetMode="External"/><Relationship Id="rId11" Type="http://schemas.openxmlformats.org/officeDocument/2006/relationships/hyperlink" Target="https://www.pepboys.com/surf-city-garage-black-edge-spray-wax-24-oz-/product/994613" TargetMode="External"/><Relationship Id="rId24" Type="http://schemas.openxmlformats.org/officeDocument/2006/relationships/hyperlink" Target="https://www.homedepot.com/p/Rust-Oleum-Professional-1-gal-High-Performance-Protective-Enamel-Gloss-Leather-Brown-Oil-Based-Interior-Exterior-Metal-Paint-2-Pack-242250/202938210" TargetMode="External"/><Relationship Id="rId5" Type="http://schemas.openxmlformats.org/officeDocument/2006/relationships/hyperlink" Target="https://www.amazon.com/Momentive-RTV102-Part-Silicone-Sealant/dp/B004V3SIR4?th=1" TargetMode="External"/><Relationship Id="rId15" Type="http://schemas.openxmlformats.org/officeDocument/2006/relationships/hyperlink" Target="https://www.amazon.com/Turtle-Wax-53447-Solutions-Ceramic/dp/B085K1H63K" TargetMode="External"/><Relationship Id="rId23" Type="http://schemas.openxmlformats.org/officeDocument/2006/relationships/hyperlink" Target="https://www.homedepot.com/p/Wolman-5-Gal-Raincoat-Clear-Oil-Based-Water-Repellent-Sealer-12385/204642362" TargetMode="External"/><Relationship Id="rId28" Type="http://schemas.microsoft.com/office/2017/10/relationships/threadedComment" Target="../threadedComments/threadedComment6.xml"/><Relationship Id="rId10" Type="http://schemas.openxmlformats.org/officeDocument/2006/relationships/hyperlink" Target="https://www.amazon.com/zMAX-58-424-Detailing-Application-Exterior/dp/B08BX6JT1N/ref=sr_1_2?crid=9ISQOBPE9XSN&amp;dib=eyJ2IjoiMSJ9.5Vueo6zCQjB7iMh-f9U7qpmy3Ml0oT6o3Qjrci169zolT9GExjA6huZJMH2vHy8ZG5Daw1HWG9SuRU8VHPoIrUeynWfVExWzOm6BHna3Gc25za2DtkZJCOBffhfqq5Jz6WkZoNOeqsW2P53Bb4yiSA.lrt7IzTU6wU25jkWgZXEBpAxBkLktCJxLgGrZgdkhvM&amp;dib_tag=se&amp;keywords=ZMAX+SPRAY+WAX&amp;qid=1712164529&amp;sprefix=zmax+spray+wax%2Caps%2C130&amp;sr=8-2" TargetMode="External"/><Relationship Id="rId19" Type="http://schemas.openxmlformats.org/officeDocument/2006/relationships/hyperlink" Target="https://www.dkhardware.com/spartan-chemical-company-302503-shine-plus-1-quart-floral-scent-multi-surface-protectant-product-4546474.html?utm_source=google&amp;utm_medium=shopping&amp;utm_campaign=free_listings&amp;gad_source=4&amp;gclid=CjwKCAjw8diwBhAbEiwA7i_sJSx-QsT7paBs3VI3_Sp87cYMbNDCl711uNJyEzuF6IOz1PbUafexMBoChP8QAvD_BwE" TargetMode="External"/><Relationship Id="rId4" Type="http://schemas.openxmlformats.org/officeDocument/2006/relationships/hyperlink" Target="https://www.ebay.com/itm/143444764247?chn=ps&amp;mkevt=1&amp;mkcid=28&amp;srsltid=AfmBOooWzMhdM-2W0lkliFiqvBO0OfUIPmaiCzANZ9JoiBiGcovAta0V85o" TargetMode="External"/><Relationship Id="rId9" Type="http://schemas.openxmlformats.org/officeDocument/2006/relationships/hyperlink" Target="https://www.amazon.com/Black-Magic-BC23220-Tire-Spray/dp/B000CIG78Y/ref=sr_1_1?dib=eyJ2IjoiMSJ9.xvrSUQf7Tj3Wh55X7CxY8AOZfgdRs8CQJDHRYk4OnxY.WTgLR36HWMmiQlbrnPQZ5wqGDo6MkQ2Y54khNNJ9yKc&amp;dib_tag=se&amp;keywords=BC23220&amp;qid=1712164281&amp;sr=8-1&amp;th=1" TargetMode="External"/><Relationship Id="rId14" Type="http://schemas.openxmlformats.org/officeDocument/2006/relationships/hyperlink" Target="https://www.amazon.com/Wizards-01235-Ceramic-Booster-Fluid_Ounces/dp/B00A7BX4LE?th=1" TargetMode="External"/><Relationship Id="rId22" Type="http://schemas.openxmlformats.org/officeDocument/2006/relationships/hyperlink" Target="https://www.amazon.com/Old-Masters-51104-Conditioner-Quart/dp/B08DZ6QG2S" TargetMode="External"/><Relationship Id="rId27" Type="http://schemas.openxmlformats.org/officeDocument/2006/relationships/comments" Target="../comments6.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hemspider.com/" TargetMode="External"/><Relationship Id="rId7" Type="http://schemas.microsoft.com/office/2017/10/relationships/threadedComment" Target="../threadedComments/threadedComment1.xml"/><Relationship Id="rId2" Type="http://schemas.openxmlformats.org/officeDocument/2006/relationships/hyperlink" Target="https://doi.org/10.1038%2Fs41370-021-00354-0" TargetMode="External"/><Relationship Id="rId1" Type="http://schemas.openxmlformats.org/officeDocument/2006/relationships/hyperlink" Target="https://doi.org/10.1111/ina.12395"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8" Type="http://schemas.openxmlformats.org/officeDocument/2006/relationships/hyperlink" Target="https://plastics-rubber.basf.com/global/en/performance_polymers/locations/great-britain/insulation.html" TargetMode="External"/><Relationship Id="rId13" Type="http://schemas.openxmlformats.org/officeDocument/2006/relationships/drawing" Target="../drawings/drawing2.xml"/><Relationship Id="rId3" Type="http://schemas.openxmlformats.org/officeDocument/2006/relationships/hyperlink" Target="https://www.suebel.net/About/Materials" TargetMode="External"/><Relationship Id="rId7" Type="http://schemas.openxmlformats.org/officeDocument/2006/relationships/hyperlink" Target="https://www.researchgate.net/figure/Gypsum-board-density-by-board-type-and-manufacturer_fig3_44061410" TargetMode="External"/><Relationship Id="rId12" Type="http://schemas.openxmlformats.org/officeDocument/2006/relationships/hyperlink" Target="https://www.matec-conferences.org/articles/matecconf/pdf/2018/34/matecconf_ifcae-iot2018_03014.pdf" TargetMode="External"/><Relationship Id="rId2" Type="http://schemas.openxmlformats.org/officeDocument/2006/relationships/hyperlink" Target="https://www.ji-horng.com/plastic-material-density-specific-gravity" TargetMode="External"/><Relationship Id="rId1" Type="http://schemas.openxmlformats.org/officeDocument/2006/relationships/hyperlink" Target="https://www.ji-horng.com/plastic-material-density-specific-gravity" TargetMode="External"/><Relationship Id="rId6" Type="http://schemas.openxmlformats.org/officeDocument/2006/relationships/hyperlink" Target="https://textilefact.com/physical-properties-of-cotton-fiber/" TargetMode="External"/><Relationship Id="rId11" Type="http://schemas.openxmlformats.org/officeDocument/2006/relationships/hyperlink" Target="https://www.ansys.com/content/dam/amp/2021/august/webpage-requests/education-resources-dam-upload-batch-2/material-property-data-for-eng-materials-BOKENGEN21.pdf" TargetMode="External"/><Relationship Id="rId5" Type="http://schemas.openxmlformats.org/officeDocument/2006/relationships/hyperlink" Target="https://www3.epa.gov/ttnchie1/ap42/ch10/final/c10s06-2.pdf" TargetMode="External"/><Relationship Id="rId10" Type="http://schemas.openxmlformats.org/officeDocument/2006/relationships/hyperlink" Target="https://www.nature.com/articles/s41370-021-00354-0" TargetMode="External"/><Relationship Id="rId4" Type="http://schemas.openxmlformats.org/officeDocument/2006/relationships/hyperlink" Target="https://matmatch.com/learn/property/density-of-wood" TargetMode="External"/><Relationship Id="rId9" Type="http://schemas.openxmlformats.org/officeDocument/2006/relationships/hyperlink" Target="https://www.ipolymer.com/pdf/PVC.pdf" TargetMode="Externa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 Id="rId4" Type="http://schemas.microsoft.com/office/2017/10/relationships/threadedComment" Target="../threadedComments/threadedComment3.x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F17DE-7BA9-47E7-A7D2-688E8374BCC7}">
  <dimension ref="A1:H21"/>
  <sheetViews>
    <sheetView tabSelected="1" workbookViewId="0">
      <selection activeCell="B6" sqref="B6:H9"/>
    </sheetView>
  </sheetViews>
  <sheetFormatPr defaultRowHeight="14"/>
  <sheetData>
    <row r="1" spans="1:8" ht="14.4">
      <c r="A1" s="56"/>
      <c r="B1" s="56"/>
      <c r="C1" s="56"/>
      <c r="D1" s="56"/>
      <c r="E1" s="56"/>
      <c r="F1" s="56"/>
      <c r="G1" s="56"/>
      <c r="H1" s="56"/>
    </row>
    <row r="2" spans="1:8" ht="15.65">
      <c r="A2" s="56"/>
      <c r="B2" s="595" t="s">
        <v>0</v>
      </c>
      <c r="C2" s="595"/>
      <c r="D2" s="595"/>
      <c r="E2" s="595"/>
      <c r="F2" s="595"/>
      <c r="G2" s="595"/>
      <c r="H2" s="595"/>
    </row>
    <row r="3" spans="1:8" ht="15.65">
      <c r="A3" s="56"/>
      <c r="B3" s="56"/>
      <c r="C3" s="56"/>
      <c r="D3" s="596" t="s">
        <v>1</v>
      </c>
      <c r="E3" s="596"/>
      <c r="F3" s="596"/>
      <c r="G3" s="56"/>
      <c r="H3" s="56"/>
    </row>
    <row r="4" spans="1:8" ht="14.4">
      <c r="A4" s="56"/>
      <c r="B4" s="61"/>
      <c r="C4" s="56"/>
      <c r="D4" s="56"/>
      <c r="E4" s="56"/>
      <c r="F4" s="56"/>
      <c r="G4" s="56"/>
      <c r="H4" s="56"/>
    </row>
    <row r="5" spans="1:8" ht="20.399999999999999">
      <c r="A5" s="62"/>
      <c r="B5" s="62"/>
      <c r="C5" s="62"/>
      <c r="D5" s="62"/>
      <c r="E5" s="62"/>
      <c r="F5" s="56"/>
      <c r="G5" s="56"/>
      <c r="H5" s="56"/>
    </row>
    <row r="6" spans="1:8" ht="15" customHeight="1">
      <c r="A6" s="56"/>
      <c r="B6" s="594" t="s">
        <v>2</v>
      </c>
      <c r="C6" s="594"/>
      <c r="D6" s="594"/>
      <c r="E6" s="594"/>
      <c r="F6" s="594"/>
      <c r="G6" s="594"/>
      <c r="H6" s="594"/>
    </row>
    <row r="7" spans="1:8" ht="15" customHeight="1">
      <c r="A7" s="56"/>
      <c r="B7" s="594"/>
      <c r="C7" s="594"/>
      <c r="D7" s="594"/>
      <c r="E7" s="594"/>
      <c r="F7" s="594"/>
      <c r="G7" s="594"/>
      <c r="H7" s="594"/>
    </row>
    <row r="8" spans="1:8" ht="15" customHeight="1">
      <c r="A8" s="56"/>
      <c r="B8" s="594"/>
      <c r="C8" s="594"/>
      <c r="D8" s="594"/>
      <c r="E8" s="594"/>
      <c r="F8" s="594"/>
      <c r="G8" s="594"/>
      <c r="H8" s="594"/>
    </row>
    <row r="9" spans="1:8" ht="15" customHeight="1">
      <c r="A9" s="56"/>
      <c r="B9" s="594"/>
      <c r="C9" s="594"/>
      <c r="D9" s="594"/>
      <c r="E9" s="594"/>
      <c r="F9" s="594"/>
      <c r="G9" s="594"/>
      <c r="H9" s="594"/>
    </row>
    <row r="10" spans="1:8" ht="15" customHeight="1">
      <c r="A10" s="56"/>
      <c r="B10" s="65"/>
      <c r="C10" s="65"/>
      <c r="D10" s="65"/>
      <c r="E10" s="65"/>
      <c r="F10" s="65"/>
      <c r="G10" s="65"/>
      <c r="H10" s="65"/>
    </row>
    <row r="11" spans="1:8" ht="22.5">
      <c r="A11" s="62"/>
      <c r="B11" s="597" t="s">
        <v>3</v>
      </c>
      <c r="C11" s="597"/>
      <c r="D11" s="597"/>
      <c r="E11" s="597"/>
      <c r="F11" s="597"/>
      <c r="G11" s="597"/>
      <c r="H11" s="597"/>
    </row>
    <row r="12" spans="1:8">
      <c r="A12" s="56"/>
      <c r="B12" s="56"/>
      <c r="C12" s="56"/>
      <c r="D12" s="56"/>
      <c r="E12" s="56"/>
      <c r="F12" s="56"/>
      <c r="G12" s="56"/>
      <c r="H12" s="56"/>
    </row>
    <row r="13" spans="1:8">
      <c r="A13" s="56"/>
      <c r="B13" s="56"/>
      <c r="C13" s="56"/>
      <c r="D13" s="56"/>
      <c r="E13" s="56"/>
      <c r="F13" s="56"/>
      <c r="G13" s="56"/>
      <c r="H13" s="56"/>
    </row>
    <row r="14" spans="1:8" ht="17.5">
      <c r="A14" s="63"/>
      <c r="B14" s="63"/>
      <c r="C14" s="63"/>
      <c r="D14" s="593" t="s">
        <v>1</v>
      </c>
      <c r="E14" s="593"/>
      <c r="F14" s="593"/>
      <c r="G14" s="56"/>
      <c r="H14" s="56"/>
    </row>
    <row r="15" spans="1:8" ht="17.5">
      <c r="A15" s="56"/>
      <c r="B15" s="64"/>
      <c r="C15" s="56"/>
      <c r="D15" s="56"/>
      <c r="E15" s="56"/>
      <c r="F15" s="56"/>
      <c r="G15" s="64"/>
      <c r="H15" s="56"/>
    </row>
    <row r="16" spans="1:8">
      <c r="A16" s="63"/>
      <c r="B16" s="63"/>
      <c r="C16" s="63"/>
      <c r="D16" s="63"/>
      <c r="E16" s="63"/>
      <c r="F16" s="56"/>
      <c r="G16" s="56"/>
      <c r="H16" s="56"/>
    </row>
    <row r="17" spans="1:7">
      <c r="A17" s="56"/>
      <c r="B17" s="56"/>
      <c r="C17" s="56"/>
      <c r="D17" s="56"/>
      <c r="E17" s="56"/>
      <c r="F17" s="56"/>
      <c r="G17" s="56"/>
    </row>
    <row r="18" spans="1:7">
      <c r="A18" s="56"/>
      <c r="B18" s="56"/>
      <c r="C18" s="56"/>
      <c r="D18" s="56"/>
      <c r="E18" s="56"/>
      <c r="F18" s="56"/>
      <c r="G18" s="56"/>
    </row>
    <row r="19" spans="1:7">
      <c r="A19" s="56"/>
      <c r="B19" s="56"/>
      <c r="C19" s="56"/>
      <c r="D19" s="56"/>
      <c r="E19" s="56"/>
      <c r="F19" s="56"/>
      <c r="G19" s="56"/>
    </row>
    <row r="20" spans="1:7">
      <c r="A20" s="56"/>
      <c r="B20" s="56"/>
      <c r="C20" s="56"/>
      <c r="D20" s="56"/>
      <c r="E20" s="56"/>
      <c r="F20" s="56"/>
      <c r="G20" s="56"/>
    </row>
    <row r="21" spans="1:7">
      <c r="A21" s="56"/>
      <c r="B21" s="56"/>
      <c r="C21" s="56"/>
      <c r="D21" s="56"/>
      <c r="E21" s="56"/>
      <c r="F21" s="56"/>
      <c r="G21" s="56"/>
    </row>
  </sheetData>
  <sheetProtection algorithmName="SHA-512" hashValue="4JsaKIa1DE06h5oeKSe261pMhGm1MqXztZN925FXP6DN48+/wPKcspOvel8ExQmelOFm7cOeXMD6kqnOCIMvQg==" saltValue="s9zOEusly9Wl0Qpl/JpehQ==" spinCount="100000" sheet="1" objects="1" scenarios="1" formatCells="0" formatColumns="0" formatRows="0"/>
  <mergeCells count="5">
    <mergeCell ref="D14:F14"/>
    <mergeCell ref="B6:H9"/>
    <mergeCell ref="B2:H2"/>
    <mergeCell ref="D3:F3"/>
    <mergeCell ref="B11:H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5E15D-85D3-45F4-B0AB-9C5DB6A634B8}">
  <dimension ref="A1:R24"/>
  <sheetViews>
    <sheetView zoomScale="130" zoomScaleNormal="130" workbookViewId="0">
      <selection activeCell="A14" sqref="A14"/>
    </sheetView>
  </sheetViews>
  <sheetFormatPr defaultColWidth="8.9140625" defaultRowHeight="14"/>
  <cols>
    <col min="1" max="1" width="39.58203125" style="48" customWidth="1"/>
    <col min="2" max="2" width="14.9140625" style="48" customWidth="1"/>
    <col min="3" max="3" width="11.08203125" style="48" customWidth="1"/>
    <col min="4" max="4" width="12.6640625" style="48" customWidth="1"/>
    <col min="5" max="18" width="11.6640625" style="48" customWidth="1"/>
    <col min="19" max="16384" width="8.9140625" style="48"/>
  </cols>
  <sheetData>
    <row r="1" spans="1:18" ht="66" customHeight="1" thickBot="1">
      <c r="A1" s="335" t="s">
        <v>521</v>
      </c>
      <c r="B1" s="336" t="s">
        <v>378</v>
      </c>
      <c r="C1" s="337" t="s">
        <v>856</v>
      </c>
      <c r="D1" s="338" t="s">
        <v>677</v>
      </c>
      <c r="E1" s="339" t="s">
        <v>678</v>
      </c>
      <c r="F1" s="340" t="s">
        <v>679</v>
      </c>
      <c r="G1" s="338" t="s">
        <v>680</v>
      </c>
      <c r="H1" s="340" t="s">
        <v>681</v>
      </c>
      <c r="I1" s="338" t="s">
        <v>682</v>
      </c>
      <c r="J1" s="340" t="s">
        <v>683</v>
      </c>
      <c r="K1" s="341" t="s">
        <v>684</v>
      </c>
      <c r="L1" s="342" t="s">
        <v>685</v>
      </c>
      <c r="M1" s="337" t="s">
        <v>686</v>
      </c>
      <c r="N1" s="337" t="s">
        <v>687</v>
      </c>
      <c r="O1" s="337" t="s">
        <v>688</v>
      </c>
      <c r="P1" s="337" t="s">
        <v>689</v>
      </c>
      <c r="Q1" s="337" t="s">
        <v>690</v>
      </c>
      <c r="R1" s="337" t="s">
        <v>691</v>
      </c>
    </row>
    <row r="2" spans="1:18" ht="14.5" thickTop="1">
      <c r="A2" s="320" t="s">
        <v>854</v>
      </c>
      <c r="B2" s="78" t="s">
        <v>388</v>
      </c>
      <c r="C2" s="323">
        <v>10</v>
      </c>
      <c r="D2" s="256">
        <f>Article_Inputs!F33</f>
        <v>0.19321626123429475</v>
      </c>
      <c r="E2" s="307">
        <f>Article_Data!$G$6</f>
        <v>39.166666666666664</v>
      </c>
      <c r="F2" s="325">
        <f>Article_Data!$G$11</f>
        <v>16.566666666666666</v>
      </c>
      <c r="G2" s="308">
        <f>Article_Data!$G$16</f>
        <v>12.383333333333333</v>
      </c>
      <c r="H2" s="323">
        <v>0</v>
      </c>
      <c r="I2" s="78">
        <v>0</v>
      </c>
      <c r="J2" s="323">
        <v>0</v>
      </c>
      <c r="K2" s="309">
        <v>0</v>
      </c>
      <c r="L2" s="256">
        <f>(($D2*E2)/B$21)/1000</f>
        <v>9.7020985876195009E-4</v>
      </c>
      <c r="M2" s="328">
        <f t="shared" ref="M2:R2" si="0">(($D2*F2)/C$21)/1000</f>
        <v>2.5404360273398015E-4</v>
      </c>
      <c r="N2" s="328">
        <f t="shared" si="0"/>
        <v>1.286377079722948E-4</v>
      </c>
      <c r="O2" s="328">
        <f t="shared" si="0"/>
        <v>0</v>
      </c>
      <c r="P2" s="328">
        <f t="shared" si="0"/>
        <v>0</v>
      </c>
      <c r="Q2" s="328">
        <f t="shared" si="0"/>
        <v>0</v>
      </c>
      <c r="R2" s="328">
        <f t="shared" si="0"/>
        <v>0</v>
      </c>
    </row>
    <row r="3" spans="1:18">
      <c r="A3" s="320" t="s">
        <v>854</v>
      </c>
      <c r="B3" s="78" t="s">
        <v>596</v>
      </c>
      <c r="C3" s="323">
        <v>10</v>
      </c>
      <c r="D3" s="256">
        <f>Article_Inputs!F34</f>
        <v>4.3953278025106762E-2</v>
      </c>
      <c r="E3" s="307">
        <f>Article_Data!$H$6</f>
        <v>22.891666666666666</v>
      </c>
      <c r="F3" s="325">
        <f>Article_Data!$H$11</f>
        <v>14.6875</v>
      </c>
      <c r="G3" s="308">
        <f>Article_Data!$H$16</f>
        <v>7.2666666666666666</v>
      </c>
      <c r="H3" s="323">
        <v>0</v>
      </c>
      <c r="I3" s="78">
        <v>0</v>
      </c>
      <c r="J3" s="323">
        <v>0</v>
      </c>
      <c r="K3" s="309">
        <v>0</v>
      </c>
      <c r="L3" s="256">
        <f t="shared" ref="L3:L10" si="1">(($D3*E3)/B$21)/1000</f>
        <v>1.2899535762282935E-4</v>
      </c>
      <c r="M3" s="328">
        <f t="shared" ref="M3:M10" si="2">(($D3*F3)/C$21)/1000</f>
        <v>5.1235219920139337E-5</v>
      </c>
      <c r="N3" s="328">
        <f t="shared" ref="N3:N10" si="3">(($D3*G3)/D$21)/1000</f>
        <v>1.7171710769665362E-5</v>
      </c>
      <c r="O3" s="328">
        <f t="shared" ref="O3:O10" si="4">(($D3*H3)/E$21)/1000</f>
        <v>0</v>
      </c>
      <c r="P3" s="328">
        <f t="shared" ref="P3:P10" si="5">(($D3*I3)/F$21)/1000</f>
        <v>0</v>
      </c>
      <c r="Q3" s="328">
        <f t="shared" ref="Q3:Q10" si="6">(($D3*J3)/G$21)/1000</f>
        <v>0</v>
      </c>
      <c r="R3" s="328">
        <f t="shared" ref="R3:R10" si="7">(($D3*K3)/H$21)/1000</f>
        <v>0</v>
      </c>
    </row>
    <row r="4" spans="1:18">
      <c r="A4" s="320" t="s">
        <v>854</v>
      </c>
      <c r="B4" s="78" t="s">
        <v>390</v>
      </c>
      <c r="C4" s="323">
        <v>10</v>
      </c>
      <c r="D4" s="256">
        <f>Article_Inputs!F35</f>
        <v>2.0986635735168583E-4</v>
      </c>
      <c r="E4" s="307">
        <f>Article_Data!$I$6</f>
        <v>1</v>
      </c>
      <c r="F4" s="325">
        <f>Article_Data!$I$11</f>
        <v>11.116666666666667</v>
      </c>
      <c r="G4" s="308">
        <f>Article_Data!$I$16</f>
        <v>1.8833333333333333</v>
      </c>
      <c r="H4" s="323">
        <v>0</v>
      </c>
      <c r="I4" s="78">
        <v>0</v>
      </c>
      <c r="J4" s="323">
        <v>0</v>
      </c>
      <c r="K4" s="309">
        <v>0</v>
      </c>
      <c r="L4" s="330">
        <f t="shared" si="1"/>
        <v>2.6905943250216131E-8</v>
      </c>
      <c r="M4" s="245">
        <f t="shared" si="2"/>
        <v>1.851598681925588E-7</v>
      </c>
      <c r="N4" s="245">
        <f t="shared" si="3"/>
        <v>2.1249908943315856E-8</v>
      </c>
      <c r="O4" s="245">
        <f t="shared" si="4"/>
        <v>0</v>
      </c>
      <c r="P4" s="245">
        <f t="shared" si="5"/>
        <v>0</v>
      </c>
      <c r="Q4" s="245">
        <f t="shared" si="6"/>
        <v>0</v>
      </c>
      <c r="R4" s="245">
        <f t="shared" si="7"/>
        <v>0</v>
      </c>
    </row>
    <row r="5" spans="1:18">
      <c r="A5" s="321" t="s">
        <v>525</v>
      </c>
      <c r="B5" s="310" t="s">
        <v>388</v>
      </c>
      <c r="C5" s="324">
        <v>10</v>
      </c>
      <c r="D5" s="311">
        <f>Article_Inputs!G33</f>
        <v>0.14269810482349241</v>
      </c>
      <c r="E5" s="312">
        <f>Article_Inputs!G30</f>
        <v>47.216666666666669</v>
      </c>
      <c r="F5" s="326">
        <f>Article_Inputs!G27</f>
        <v>69.36666666666666</v>
      </c>
      <c r="G5" s="313">
        <f>Article_Inputs!$G$24</f>
        <v>48.7</v>
      </c>
      <c r="H5" s="324">
        <v>0</v>
      </c>
      <c r="I5" s="310">
        <v>0</v>
      </c>
      <c r="J5" s="324">
        <v>0</v>
      </c>
      <c r="K5" s="314">
        <v>0</v>
      </c>
      <c r="L5" s="256">
        <f t="shared" si="1"/>
        <v>8.6381139095075639E-4</v>
      </c>
      <c r="M5" s="328">
        <f t="shared" si="2"/>
        <v>7.8559459295684576E-4</v>
      </c>
      <c r="N5" s="328">
        <f t="shared" si="3"/>
        <v>3.736235325217247E-4</v>
      </c>
      <c r="O5" s="328">
        <f t="shared" si="4"/>
        <v>0</v>
      </c>
      <c r="P5" s="328">
        <f t="shared" si="5"/>
        <v>0</v>
      </c>
      <c r="Q5" s="328">
        <f t="shared" si="6"/>
        <v>0</v>
      </c>
      <c r="R5" s="328">
        <f t="shared" si="7"/>
        <v>0</v>
      </c>
    </row>
    <row r="6" spans="1:18">
      <c r="A6" s="320" t="s">
        <v>525</v>
      </c>
      <c r="B6" s="78" t="s">
        <v>596</v>
      </c>
      <c r="C6" s="323">
        <v>10</v>
      </c>
      <c r="D6" s="256">
        <f>Article_Inputs!G34</f>
        <v>4.1323175281757371E-2</v>
      </c>
      <c r="E6" s="307">
        <f>Article_Inputs!G31</f>
        <v>33.454166666666666</v>
      </c>
      <c r="F6" s="325">
        <f>Article_Inputs!G28</f>
        <v>45.045833333333334</v>
      </c>
      <c r="G6" s="308">
        <f>Article_Inputs!$G$25</f>
        <v>24.654166666666669</v>
      </c>
      <c r="H6" s="323">
        <v>0</v>
      </c>
      <c r="I6" s="78">
        <v>0</v>
      </c>
      <c r="J6" s="323">
        <v>0</v>
      </c>
      <c r="K6" s="309">
        <v>0</v>
      </c>
      <c r="L6" s="256">
        <f t="shared" si="1"/>
        <v>1.7723492218869121E-4</v>
      </c>
      <c r="M6" s="328">
        <f t="shared" si="2"/>
        <v>1.4773308464652082E-4</v>
      </c>
      <c r="N6" s="328">
        <f t="shared" si="3"/>
        <v>5.4773572612490673E-5</v>
      </c>
      <c r="O6" s="328">
        <f t="shared" si="4"/>
        <v>0</v>
      </c>
      <c r="P6" s="328">
        <f t="shared" si="5"/>
        <v>0</v>
      </c>
      <c r="Q6" s="328">
        <f t="shared" si="6"/>
        <v>0</v>
      </c>
      <c r="R6" s="328">
        <f t="shared" si="7"/>
        <v>0</v>
      </c>
    </row>
    <row r="7" spans="1:18">
      <c r="A7" s="322" t="s">
        <v>525</v>
      </c>
      <c r="B7" s="315" t="s">
        <v>390</v>
      </c>
      <c r="C7" s="169">
        <v>10</v>
      </c>
      <c r="D7" s="316">
        <f>Article_Inputs!G35</f>
        <v>3.0449167079893723E-4</v>
      </c>
      <c r="E7" s="317">
        <f>Article_Inputs!G32</f>
        <v>14.6</v>
      </c>
      <c r="F7" s="327">
        <f>Article_Inputs!G29</f>
        <v>25.2</v>
      </c>
      <c r="G7" s="318">
        <f>Article_Inputs!$G$26</f>
        <v>0.33333333333333331</v>
      </c>
      <c r="H7" s="169">
        <v>0</v>
      </c>
      <c r="I7" s="315">
        <v>0</v>
      </c>
      <c r="J7" s="169">
        <v>0</v>
      </c>
      <c r="K7" s="319">
        <v>0</v>
      </c>
      <c r="L7" s="330">
        <f t="shared" si="1"/>
        <v>5.6994594790570306E-7</v>
      </c>
      <c r="M7" s="245">
        <f t="shared" si="2"/>
        <v>6.0898334159787443E-7</v>
      </c>
      <c r="N7" s="245">
        <f t="shared" si="3"/>
        <v>5.4568399784755767E-9</v>
      </c>
      <c r="O7" s="245">
        <f t="shared" si="4"/>
        <v>0</v>
      </c>
      <c r="P7" s="245">
        <f t="shared" si="5"/>
        <v>0</v>
      </c>
      <c r="Q7" s="245">
        <f t="shared" si="6"/>
        <v>0</v>
      </c>
      <c r="R7" s="245">
        <f t="shared" si="7"/>
        <v>0</v>
      </c>
    </row>
    <row r="8" spans="1:18">
      <c r="A8" s="320" t="s">
        <v>855</v>
      </c>
      <c r="B8" s="78" t="s">
        <v>388</v>
      </c>
      <c r="C8" s="323">
        <v>10</v>
      </c>
      <c r="D8" s="256">
        <f>Article_Inputs!H33</f>
        <v>1.1869111379719235</v>
      </c>
      <c r="E8" s="307">
        <f>Article_Data!$G$6</f>
        <v>39.166666666666664</v>
      </c>
      <c r="F8" s="325">
        <f>Article_Data!$G$11</f>
        <v>16.566666666666666</v>
      </c>
      <c r="G8" s="308">
        <f>Article_Data!$G$16</f>
        <v>12.383333333333333</v>
      </c>
      <c r="H8" s="323">
        <v>0</v>
      </c>
      <c r="I8" s="78">
        <v>0</v>
      </c>
      <c r="J8" s="323">
        <v>0</v>
      </c>
      <c r="K8" s="309">
        <v>0</v>
      </c>
      <c r="L8" s="256">
        <f t="shared" si="1"/>
        <v>5.9599170389615817E-3</v>
      </c>
      <c r="M8" s="328">
        <f t="shared" si="2"/>
        <v>1.5605683480741956E-3</v>
      </c>
      <c r="N8" s="328">
        <f t="shared" si="3"/>
        <v>7.9021055153507083E-4</v>
      </c>
      <c r="O8" s="328">
        <f t="shared" si="4"/>
        <v>0</v>
      </c>
      <c r="P8" s="328">
        <f t="shared" si="5"/>
        <v>0</v>
      </c>
      <c r="Q8" s="328">
        <f t="shared" si="6"/>
        <v>0</v>
      </c>
      <c r="R8" s="328">
        <f t="shared" si="7"/>
        <v>0</v>
      </c>
    </row>
    <row r="9" spans="1:18">
      <c r="A9" s="320" t="s">
        <v>855</v>
      </c>
      <c r="B9" s="78" t="s">
        <v>596</v>
      </c>
      <c r="C9" s="323">
        <v>10</v>
      </c>
      <c r="D9" s="256">
        <f>Article_Inputs!H34</f>
        <v>0.39207554933834959</v>
      </c>
      <c r="E9" s="307">
        <f>Article_Data!$H$6</f>
        <v>22.891666666666666</v>
      </c>
      <c r="F9" s="325">
        <f>Article_Data!$H$11</f>
        <v>14.6875</v>
      </c>
      <c r="G9" s="308">
        <f>Article_Data!$H$16</f>
        <v>7.2666666666666666</v>
      </c>
      <c r="H9" s="323">
        <v>0</v>
      </c>
      <c r="I9" s="78">
        <v>0</v>
      </c>
      <c r="J9" s="323">
        <v>0</v>
      </c>
      <c r="K9" s="309">
        <v>0</v>
      </c>
      <c r="L9" s="256">
        <f t="shared" si="1"/>
        <v>1.1506747158466309E-3</v>
      </c>
      <c r="M9" s="328">
        <f t="shared" si="2"/>
        <v>4.5703251038944524E-4</v>
      </c>
      <c r="N9" s="328">
        <f t="shared" si="3"/>
        <v>1.5317646909634446E-4</v>
      </c>
      <c r="O9" s="328">
        <f t="shared" si="4"/>
        <v>0</v>
      </c>
      <c r="P9" s="328">
        <f t="shared" si="5"/>
        <v>0</v>
      </c>
      <c r="Q9" s="328">
        <f t="shared" si="6"/>
        <v>0</v>
      </c>
      <c r="R9" s="328">
        <f t="shared" si="7"/>
        <v>0</v>
      </c>
    </row>
    <row r="10" spans="1:18">
      <c r="A10" s="322" t="s">
        <v>855</v>
      </c>
      <c r="B10" s="315" t="s">
        <v>390</v>
      </c>
      <c r="C10" s="169">
        <v>10</v>
      </c>
      <c r="D10" s="316">
        <f>Article_Inputs!H35</f>
        <v>0.14269810482349241</v>
      </c>
      <c r="E10" s="317">
        <f>Article_Data!$I$6</f>
        <v>1</v>
      </c>
      <c r="F10" s="327">
        <f>Article_Data!$I$11</f>
        <v>11.116666666666667</v>
      </c>
      <c r="G10" s="318">
        <f>Article_Data!$I$16</f>
        <v>1.8833333333333333</v>
      </c>
      <c r="H10" s="169">
        <v>0</v>
      </c>
      <c r="I10" s="315">
        <v>0</v>
      </c>
      <c r="J10" s="169">
        <v>0</v>
      </c>
      <c r="K10" s="319">
        <v>0</v>
      </c>
      <c r="L10" s="329">
        <f t="shared" si="1"/>
        <v>1.8294628823524668E-5</v>
      </c>
      <c r="M10" s="245">
        <f t="shared" si="2"/>
        <v>1.2589898930855749E-4</v>
      </c>
      <c r="N10" s="245">
        <f t="shared" si="3"/>
        <v>1.4448822441805234E-5</v>
      </c>
      <c r="O10" s="245">
        <f t="shared" si="4"/>
        <v>0</v>
      </c>
      <c r="P10" s="245">
        <f t="shared" si="5"/>
        <v>0</v>
      </c>
      <c r="Q10" s="245">
        <f t="shared" si="6"/>
        <v>0</v>
      </c>
      <c r="R10" s="245">
        <f t="shared" si="7"/>
        <v>0</v>
      </c>
    </row>
    <row r="11" spans="1:18">
      <c r="L11" s="197"/>
    </row>
    <row r="12" spans="1:18">
      <c r="B12" s="77"/>
      <c r="C12" s="113"/>
      <c r="D12" s="113"/>
      <c r="E12" s="113"/>
      <c r="F12" s="113"/>
      <c r="G12" s="113"/>
      <c r="H12" s="113"/>
      <c r="L12" s="197"/>
    </row>
    <row r="13" spans="1:18">
      <c r="A13" s="74"/>
      <c r="B13" s="75"/>
      <c r="C13" s="75"/>
      <c r="D13" s="111"/>
      <c r="E13" s="111"/>
      <c r="F13" s="111"/>
      <c r="G13" s="111"/>
      <c r="H13" s="111"/>
      <c r="L13" s="197"/>
    </row>
    <row r="14" spans="1:18">
      <c r="D14" s="111"/>
      <c r="E14" s="111"/>
      <c r="F14" s="111"/>
      <c r="G14" s="111"/>
      <c r="H14" s="111"/>
      <c r="L14" s="161"/>
      <c r="M14" s="161"/>
      <c r="N14" s="161"/>
      <c r="O14" s="161"/>
      <c r="P14" s="161"/>
      <c r="Q14" s="161"/>
      <c r="R14" s="161"/>
    </row>
    <row r="15" spans="1:18">
      <c r="D15" s="111"/>
      <c r="E15" s="111"/>
      <c r="F15" s="111"/>
      <c r="G15" s="111"/>
      <c r="H15" s="111"/>
      <c r="L15" s="161"/>
      <c r="M15" s="161"/>
      <c r="N15" s="161"/>
      <c r="O15" s="161"/>
      <c r="P15" s="161"/>
      <c r="Q15" s="161"/>
      <c r="R15" s="161"/>
    </row>
    <row r="16" spans="1:18">
      <c r="D16" s="111"/>
      <c r="E16" s="111"/>
      <c r="F16" s="111"/>
      <c r="G16" s="111"/>
      <c r="H16" s="111"/>
      <c r="L16" s="161"/>
      <c r="M16" s="161"/>
      <c r="N16" s="161"/>
      <c r="O16" s="161"/>
      <c r="P16" s="161"/>
      <c r="Q16" s="161"/>
      <c r="R16" s="161"/>
    </row>
    <row r="17" spans="1:18">
      <c r="D17" s="111"/>
      <c r="E17" s="111"/>
      <c r="F17" s="111"/>
      <c r="G17" s="111"/>
      <c r="H17" s="111"/>
      <c r="L17" s="161"/>
      <c r="M17" s="161"/>
      <c r="N17" s="161"/>
      <c r="O17" s="161"/>
      <c r="P17" s="161"/>
      <c r="Q17" s="161"/>
      <c r="R17" s="161"/>
    </row>
    <row r="18" spans="1:18">
      <c r="B18" s="809" t="s">
        <v>692</v>
      </c>
      <c r="C18" s="809"/>
      <c r="D18" s="809"/>
      <c r="E18" s="809"/>
      <c r="F18" s="111"/>
      <c r="G18" s="111"/>
      <c r="H18" s="111"/>
      <c r="L18" s="161"/>
      <c r="M18" s="161"/>
      <c r="N18" s="161"/>
      <c r="O18" s="161"/>
      <c r="P18" s="161"/>
      <c r="Q18" s="161"/>
      <c r="R18" s="161"/>
    </row>
    <row r="19" spans="1:18">
      <c r="B19" s="808" t="s">
        <v>693</v>
      </c>
      <c r="C19" s="808"/>
      <c r="D19" s="808"/>
      <c r="E19" s="808"/>
      <c r="F19" s="808"/>
      <c r="G19" s="808"/>
      <c r="H19" s="808"/>
      <c r="L19" s="161"/>
      <c r="M19" s="161"/>
      <c r="N19" s="161"/>
      <c r="O19" s="161"/>
      <c r="P19" s="161"/>
      <c r="Q19" s="161"/>
      <c r="R19" s="161"/>
    </row>
    <row r="20" spans="1:18">
      <c r="B20" s="76" t="s">
        <v>694</v>
      </c>
      <c r="C20" s="331" t="s">
        <v>695</v>
      </c>
      <c r="D20" s="331" t="s">
        <v>696</v>
      </c>
      <c r="E20" s="331" t="s">
        <v>697</v>
      </c>
      <c r="F20" s="331" t="s">
        <v>698</v>
      </c>
      <c r="G20" s="331" t="s">
        <v>699</v>
      </c>
      <c r="H20" s="331" t="s">
        <v>700</v>
      </c>
      <c r="L20" s="161"/>
      <c r="M20" s="161"/>
      <c r="N20" s="161"/>
      <c r="O20" s="161"/>
      <c r="P20" s="161"/>
      <c r="Q20" s="161"/>
      <c r="R20" s="161"/>
    </row>
    <row r="21" spans="1:18">
      <c r="A21" s="78"/>
      <c r="B21" s="148">
        <v>7.8</v>
      </c>
      <c r="C21" s="148">
        <v>12.6</v>
      </c>
      <c r="D21" s="148">
        <v>18.600000000000001</v>
      </c>
      <c r="E21" s="148">
        <v>31.8</v>
      </c>
      <c r="F21" s="148">
        <v>56.8</v>
      </c>
      <c r="G21" s="148">
        <v>71.599999999999994</v>
      </c>
      <c r="H21" s="148">
        <v>80</v>
      </c>
      <c r="L21" s="161"/>
      <c r="M21" s="161"/>
      <c r="N21" s="161"/>
      <c r="O21" s="161"/>
      <c r="P21" s="161"/>
      <c r="Q21" s="161"/>
      <c r="R21" s="161"/>
    </row>
    <row r="22" spans="1:18">
      <c r="A22" s="78"/>
      <c r="L22" s="161"/>
      <c r="M22" s="161"/>
      <c r="N22" s="161"/>
      <c r="O22" s="161"/>
      <c r="P22" s="161"/>
      <c r="Q22" s="161"/>
      <c r="R22" s="161"/>
    </row>
    <row r="23" spans="1:18">
      <c r="L23" s="161"/>
      <c r="M23" s="161"/>
      <c r="N23" s="161"/>
      <c r="O23" s="161"/>
      <c r="P23" s="161"/>
      <c r="Q23" s="161"/>
      <c r="R23" s="161"/>
    </row>
    <row r="24" spans="1:18">
      <c r="L24" s="161"/>
      <c r="M24" s="161"/>
      <c r="N24" s="161"/>
      <c r="O24" s="161"/>
      <c r="P24" s="161"/>
      <c r="Q24" s="161"/>
      <c r="R24" s="161"/>
    </row>
  </sheetData>
  <sheetProtection algorithmName="SHA-512" hashValue="qPpRN45R3kpIiZFeVRtd2ct23Ztz4OeznplpojEVbe2Fysw/kw2OoWFO61kqsmxlYNZ7F8lCbbNrDyIyDEvfOA==" saltValue="e99VxFbdKlbOO3DJW6x3/g==" spinCount="100000" sheet="1" objects="1" scenarios="1" formatCells="0" formatColumns="0" formatRows="0"/>
  <mergeCells count="2">
    <mergeCell ref="B19:H19"/>
    <mergeCell ref="B18:E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CAC68-2756-4688-8A25-9956F8B635AE}">
  <dimension ref="A1:AK36"/>
  <sheetViews>
    <sheetView zoomScale="60" zoomScaleNormal="60" workbookViewId="0">
      <pane ySplit="2" topLeftCell="A3" activePane="bottomLeft" state="frozen"/>
      <selection pane="bottomLeft" activeCell="M39" sqref="M39"/>
    </sheetView>
  </sheetViews>
  <sheetFormatPr defaultColWidth="9.08203125" defaultRowHeight="15.5"/>
  <cols>
    <col min="1" max="1" width="19.08203125" style="107" customWidth="1"/>
    <col min="2" max="2" width="12.75" style="107" customWidth="1"/>
    <col min="3" max="3" width="20.4140625" style="107" customWidth="1"/>
    <col min="4" max="4" width="33.33203125" style="406" customWidth="1"/>
    <col min="5" max="6" width="17.33203125" style="403" customWidth="1"/>
    <col min="7" max="7" width="18" style="403" customWidth="1"/>
    <col min="8" max="8" width="17.9140625" style="403" customWidth="1"/>
    <col min="9" max="11" width="9.08203125" style="403" customWidth="1"/>
    <col min="12" max="12" width="17.9140625" style="403" customWidth="1"/>
    <col min="13" max="13" width="23.08203125" style="403" customWidth="1"/>
    <col min="14" max="14" width="19.75" style="403" customWidth="1"/>
    <col min="15" max="15" width="94.58203125" style="107" hidden="1" customWidth="1"/>
    <col min="16" max="16" width="31" style="107" customWidth="1"/>
    <col min="17" max="17" width="12.9140625" style="107" customWidth="1"/>
    <col min="18" max="18" width="18.4140625" style="107" customWidth="1"/>
    <col min="19" max="19" width="15.08203125" style="107" customWidth="1"/>
    <col min="20" max="20" width="12.6640625" style="107" customWidth="1"/>
    <col min="21" max="21" width="13.6640625" style="107" customWidth="1"/>
    <col min="22" max="22" width="14.33203125" style="107" customWidth="1"/>
    <col min="23" max="23" width="14.6640625" style="107" customWidth="1"/>
    <col min="24" max="24" width="13.58203125" style="107" customWidth="1"/>
    <col min="25" max="25" width="11.75" style="107" customWidth="1"/>
    <col min="26" max="26" width="14.4140625" style="107" customWidth="1"/>
    <col min="27" max="27" width="14.08203125" style="107" customWidth="1"/>
    <col min="28" max="28" width="13.33203125" style="107" customWidth="1"/>
    <col min="29" max="29" width="11.33203125" style="107" customWidth="1"/>
    <col min="30" max="16384" width="9.08203125" style="107"/>
  </cols>
  <sheetData>
    <row r="1" spans="1:37" ht="16" thickBot="1">
      <c r="I1" s="810" t="s">
        <v>908</v>
      </c>
      <c r="J1" s="810"/>
      <c r="K1" s="810"/>
      <c r="Q1" s="815" t="s">
        <v>201</v>
      </c>
      <c r="R1" s="815"/>
      <c r="S1" s="815"/>
      <c r="T1" s="815"/>
      <c r="U1" s="815"/>
      <c r="V1" s="815"/>
      <c r="X1" s="815" t="s">
        <v>932</v>
      </c>
      <c r="Y1" s="815"/>
      <c r="Z1" s="815"/>
      <c r="AA1" s="815"/>
      <c r="AB1" s="815"/>
      <c r="AC1" s="815"/>
    </row>
    <row r="2" spans="1:37" s="403" customFormat="1" ht="47" thickBot="1">
      <c r="A2" s="400" t="s">
        <v>202</v>
      </c>
      <c r="B2" s="400" t="s">
        <v>203</v>
      </c>
      <c r="C2" s="400" t="s">
        <v>204</v>
      </c>
      <c r="D2" s="401" t="s">
        <v>205</v>
      </c>
      <c r="E2" s="400" t="s">
        <v>206</v>
      </c>
      <c r="F2" s="400" t="s">
        <v>207</v>
      </c>
      <c r="G2" s="400" t="s">
        <v>208</v>
      </c>
      <c r="H2" s="401" t="s">
        <v>209</v>
      </c>
      <c r="I2" s="402" t="s">
        <v>210</v>
      </c>
      <c r="J2" s="402" t="s">
        <v>211</v>
      </c>
      <c r="K2" s="402" t="s">
        <v>212</v>
      </c>
      <c r="L2" s="400" t="s">
        <v>213</v>
      </c>
      <c r="M2" s="400" t="s">
        <v>214</v>
      </c>
      <c r="N2" s="400" t="s">
        <v>215</v>
      </c>
      <c r="O2" s="401" t="s">
        <v>216</v>
      </c>
      <c r="P2" s="400" t="s">
        <v>217</v>
      </c>
      <c r="Q2" s="407" t="s">
        <v>205</v>
      </c>
      <c r="R2" s="408" t="s">
        <v>218</v>
      </c>
      <c r="S2" s="409" t="s">
        <v>219</v>
      </c>
      <c r="T2" s="408" t="s">
        <v>220</v>
      </c>
      <c r="U2" s="410" t="s">
        <v>221</v>
      </c>
      <c r="V2" s="411" t="s">
        <v>222</v>
      </c>
      <c r="X2" s="455" t="s">
        <v>205</v>
      </c>
      <c r="Y2" s="454" t="s">
        <v>223</v>
      </c>
      <c r="Z2" s="456" t="s">
        <v>938</v>
      </c>
      <c r="AA2" s="456" t="s">
        <v>937</v>
      </c>
      <c r="AB2" s="456" t="s">
        <v>936</v>
      </c>
      <c r="AC2" s="453" t="s">
        <v>935</v>
      </c>
      <c r="AI2" s="402" t="s">
        <v>224</v>
      </c>
    </row>
    <row r="3" spans="1:37" ht="62.5" thickBot="1">
      <c r="A3" s="412"/>
      <c r="B3" s="412"/>
      <c r="C3" s="108" t="s">
        <v>225</v>
      </c>
      <c r="D3" s="413" t="s">
        <v>226</v>
      </c>
      <c r="E3" s="414" t="s">
        <v>227</v>
      </c>
      <c r="F3" s="415" t="s">
        <v>228</v>
      </c>
      <c r="G3" s="415" t="s">
        <v>229</v>
      </c>
      <c r="H3" s="416" t="s">
        <v>909</v>
      </c>
      <c r="I3" s="403">
        <v>0.05</v>
      </c>
      <c r="J3" s="403">
        <f>AVERAGE(I3, K3)</f>
        <v>7.5000000000000011E-2</v>
      </c>
      <c r="K3" s="403">
        <v>0.1</v>
      </c>
      <c r="L3" s="417">
        <v>1.0069999999999999</v>
      </c>
      <c r="M3" s="418" t="s">
        <v>230</v>
      </c>
      <c r="N3" s="419" t="s">
        <v>231</v>
      </c>
      <c r="O3" s="420" t="s">
        <v>232</v>
      </c>
      <c r="P3" s="406" t="s">
        <v>921</v>
      </c>
      <c r="Q3" s="421" t="s">
        <v>212</v>
      </c>
      <c r="R3" s="422">
        <f>MAX(K11:K20)/100</f>
        <v>0.1</v>
      </c>
      <c r="S3" s="422">
        <f>MAX(K3:K10)/100</f>
        <v>0.03</v>
      </c>
      <c r="T3" s="423">
        <f>MAX(K21:K24)/100</f>
        <v>0.01</v>
      </c>
      <c r="U3" s="424">
        <f>MAX(K25:K27)/100</f>
        <v>0.2</v>
      </c>
      <c r="V3" s="424">
        <f>MAX(K28:K29)/100</f>
        <v>0.25</v>
      </c>
      <c r="X3" s="811" t="s">
        <v>930</v>
      </c>
      <c r="Y3" s="463" t="s">
        <v>933</v>
      </c>
      <c r="Z3" s="457">
        <v>8</v>
      </c>
      <c r="AA3" s="460">
        <f>Z3*AJ3*U6</f>
        <v>422.68799999999999</v>
      </c>
      <c r="AB3" s="466">
        <v>3</v>
      </c>
      <c r="AC3" s="449">
        <f>AA3/AB3</f>
        <v>140.89599999999999</v>
      </c>
      <c r="AI3" s="469" t="s">
        <v>939</v>
      </c>
      <c r="AJ3" s="107">
        <v>29.6</v>
      </c>
      <c r="AK3" s="107" t="s">
        <v>940</v>
      </c>
    </row>
    <row r="4" spans="1:37" ht="45.5" thickBot="1">
      <c r="A4" s="412"/>
      <c r="B4" s="412"/>
      <c r="C4" s="108" t="s">
        <v>225</v>
      </c>
      <c r="D4" s="425" t="s">
        <v>233</v>
      </c>
      <c r="E4" s="418" t="s">
        <v>234</v>
      </c>
      <c r="F4" s="417" t="s">
        <v>228</v>
      </c>
      <c r="G4" s="417" t="s">
        <v>229</v>
      </c>
      <c r="H4" s="426">
        <v>1</v>
      </c>
      <c r="I4" s="403">
        <v>1</v>
      </c>
      <c r="J4" s="403">
        <f t="shared" ref="J4:J29" si="0">AVERAGE(I4, K4)</f>
        <v>1</v>
      </c>
      <c r="K4" s="403">
        <v>1</v>
      </c>
      <c r="L4" s="417" t="s">
        <v>235</v>
      </c>
      <c r="M4" s="418" t="s">
        <v>230</v>
      </c>
      <c r="N4" s="419" t="s">
        <v>236</v>
      </c>
      <c r="O4" s="420" t="s">
        <v>237</v>
      </c>
      <c r="P4" s="107" t="s">
        <v>238</v>
      </c>
      <c r="Q4" s="427" t="s">
        <v>211</v>
      </c>
      <c r="R4" s="372">
        <f>AVERAGE(J11:J20)/100</f>
        <v>2.3990000000000001E-2</v>
      </c>
      <c r="S4" s="372">
        <f>AVERAGE(J3:J10)/100</f>
        <v>7.3124999999999996E-3</v>
      </c>
      <c r="T4" s="428">
        <f>AVERAGE(J21:J24)/100</f>
        <v>4.3750000000000004E-3</v>
      </c>
      <c r="U4" s="429">
        <f>AVERAGE(J25:J27)/100</f>
        <v>8.0916666666666665E-2</v>
      </c>
      <c r="V4" s="430">
        <f>AVERAGE(J28:J39)/100</f>
        <v>0.13750000000000001</v>
      </c>
      <c r="X4" s="812"/>
      <c r="Y4" s="464" t="s">
        <v>934</v>
      </c>
      <c r="Z4" s="458">
        <v>448</v>
      </c>
      <c r="AA4" s="461">
        <f>Z4*AJ3*U6</f>
        <v>23670.528000000002</v>
      </c>
      <c r="AB4" s="467">
        <v>3</v>
      </c>
      <c r="AC4" s="452">
        <f>AA4/AB4</f>
        <v>7890.1760000000004</v>
      </c>
      <c r="AJ4" s="470">
        <v>3788</v>
      </c>
    </row>
    <row r="5" spans="1:37" ht="62.5" thickBot="1">
      <c r="A5" s="412"/>
      <c r="B5" s="412"/>
      <c r="C5" s="108" t="s">
        <v>225</v>
      </c>
      <c r="D5" s="425" t="s">
        <v>239</v>
      </c>
      <c r="E5" s="418" t="s">
        <v>240</v>
      </c>
      <c r="F5" s="417" t="s">
        <v>228</v>
      </c>
      <c r="G5" s="417" t="s">
        <v>229</v>
      </c>
      <c r="H5" s="431" t="s">
        <v>241</v>
      </c>
      <c r="I5" s="403">
        <v>0.1</v>
      </c>
      <c r="J5" s="403">
        <v>0.1</v>
      </c>
      <c r="K5" s="403">
        <v>0.1</v>
      </c>
      <c r="L5" s="417">
        <v>1.02</v>
      </c>
      <c r="M5" s="418" t="s">
        <v>242</v>
      </c>
      <c r="N5" s="419" t="s">
        <v>243</v>
      </c>
      <c r="O5" s="420" t="s">
        <v>244</v>
      </c>
      <c r="P5" s="107" t="s">
        <v>922</v>
      </c>
      <c r="Q5" s="427" t="s">
        <v>210</v>
      </c>
      <c r="R5" s="428">
        <f>MIN(I11:I20)/100</f>
        <v>5.0000000000000001E-4</v>
      </c>
      <c r="S5" s="372">
        <f>(MIN(I3:I10)/100)</f>
        <v>2.9999999999999997E-4</v>
      </c>
      <c r="T5" s="372">
        <f>MIN(I21:I24)/100</f>
        <v>1E-3</v>
      </c>
      <c r="U5" s="432">
        <f>MIN(I25:I27)/100</f>
        <v>5.0000000000000001E-4</v>
      </c>
      <c r="V5" s="424">
        <f>MIN(I28:I29)/100</f>
        <v>7.0000000000000007E-2</v>
      </c>
      <c r="X5" s="813" t="s">
        <v>931</v>
      </c>
      <c r="Y5" s="463" t="s">
        <v>933</v>
      </c>
      <c r="Z5" s="457">
        <v>4</v>
      </c>
      <c r="AA5" s="460">
        <f>Z5*AJ3*V6</f>
        <v>105.376</v>
      </c>
      <c r="AB5" s="466">
        <v>7</v>
      </c>
      <c r="AC5" s="449">
        <f>AA5/AB5</f>
        <v>15.053714285714287</v>
      </c>
      <c r="AJ5" s="451">
        <f>AJ4*0.89</f>
        <v>3371.32</v>
      </c>
    </row>
    <row r="6" spans="1:37" ht="47.4" customHeight="1" thickBot="1">
      <c r="A6" s="412"/>
      <c r="B6" s="412"/>
      <c r="C6" s="108" t="s">
        <v>225</v>
      </c>
      <c r="D6" s="425" t="s">
        <v>245</v>
      </c>
      <c r="E6" s="418" t="s">
        <v>240</v>
      </c>
      <c r="F6" s="417" t="s">
        <v>228</v>
      </c>
      <c r="G6" s="417" t="s">
        <v>229</v>
      </c>
      <c r="H6" s="431" t="s">
        <v>246</v>
      </c>
      <c r="I6" s="403">
        <v>1</v>
      </c>
      <c r="J6" s="403">
        <v>1</v>
      </c>
      <c r="K6" s="403">
        <v>1</v>
      </c>
      <c r="L6" s="417">
        <v>1</v>
      </c>
      <c r="M6" s="418" t="s">
        <v>242</v>
      </c>
      <c r="N6" s="419" t="s">
        <v>247</v>
      </c>
      <c r="O6" s="420" t="s">
        <v>248</v>
      </c>
      <c r="P6" s="107" t="s">
        <v>923</v>
      </c>
      <c r="Q6" s="433" t="s">
        <v>213</v>
      </c>
      <c r="R6" s="434">
        <f>AVERAGE(L11,L13:L16,L18:L19)</f>
        <v>0.96714285714285719</v>
      </c>
      <c r="S6" s="434">
        <f>AVERAGE(L3,L5:L6,L8:L10)</f>
        <v>1.0656666666666665</v>
      </c>
      <c r="T6" s="434">
        <v>1</v>
      </c>
      <c r="U6" s="434">
        <f>AVERAGE(L26:L27)</f>
        <v>1.7849999999999999</v>
      </c>
      <c r="V6" s="434">
        <f>AVERAGE(L28:L29)</f>
        <v>0.89</v>
      </c>
      <c r="X6" s="814"/>
      <c r="Y6" s="465" t="s">
        <v>934</v>
      </c>
      <c r="Z6" s="459">
        <v>128</v>
      </c>
      <c r="AA6" s="462">
        <f>Z6*AJ3*V6</f>
        <v>3372.0320000000002</v>
      </c>
      <c r="AB6" s="468">
        <v>7</v>
      </c>
      <c r="AC6" s="450">
        <f>AA6/AB6</f>
        <v>481.71885714285719</v>
      </c>
    </row>
    <row r="7" spans="1:37" ht="31">
      <c r="A7" s="412"/>
      <c r="B7" s="412"/>
      <c r="C7" s="108" t="s">
        <v>225</v>
      </c>
      <c r="D7" s="425" t="s">
        <v>249</v>
      </c>
      <c r="E7" s="418" t="s">
        <v>250</v>
      </c>
      <c r="F7" s="417" t="s">
        <v>228</v>
      </c>
      <c r="G7" s="417" t="s">
        <v>229</v>
      </c>
      <c r="H7" s="431" t="s">
        <v>910</v>
      </c>
      <c r="I7" s="403">
        <v>0.1</v>
      </c>
      <c r="J7" s="403">
        <f t="shared" si="0"/>
        <v>0.55000000000000004</v>
      </c>
      <c r="K7" s="403">
        <v>1</v>
      </c>
      <c r="L7" s="417" t="s">
        <v>235</v>
      </c>
      <c r="M7" s="418" t="s">
        <v>242</v>
      </c>
      <c r="N7" s="419" t="s">
        <v>251</v>
      </c>
      <c r="O7" s="420" t="s">
        <v>252</v>
      </c>
      <c r="P7" s="107" t="s">
        <v>253</v>
      </c>
      <c r="X7"/>
    </row>
    <row r="8" spans="1:37" ht="62">
      <c r="A8" s="412"/>
      <c r="B8" s="412"/>
      <c r="C8" s="108" t="s">
        <v>225</v>
      </c>
      <c r="D8" s="425" t="s">
        <v>254</v>
      </c>
      <c r="E8" s="418" t="s">
        <v>255</v>
      </c>
      <c r="F8" s="417" t="s">
        <v>228</v>
      </c>
      <c r="G8" s="417" t="s">
        <v>256</v>
      </c>
      <c r="H8" s="435" t="s">
        <v>911</v>
      </c>
      <c r="I8" s="403">
        <v>1</v>
      </c>
      <c r="J8" s="403">
        <f t="shared" si="0"/>
        <v>2</v>
      </c>
      <c r="K8" s="403">
        <v>3</v>
      </c>
      <c r="L8" s="417">
        <v>1.06</v>
      </c>
      <c r="M8" s="418" t="s">
        <v>242</v>
      </c>
      <c r="N8" s="419" t="s">
        <v>236</v>
      </c>
      <c r="O8" s="420" t="s">
        <v>257</v>
      </c>
      <c r="P8" s="107" t="s">
        <v>258</v>
      </c>
      <c r="X8" s="107" t="s">
        <v>259</v>
      </c>
      <c r="AC8" s="451"/>
    </row>
    <row r="9" spans="1:37" ht="46.5">
      <c r="A9" s="412"/>
      <c r="B9" s="412"/>
      <c r="C9" s="108" t="s">
        <v>260</v>
      </c>
      <c r="D9" s="436" t="s">
        <v>261</v>
      </c>
      <c r="E9" s="418" t="s">
        <v>262</v>
      </c>
      <c r="F9" s="417" t="s">
        <v>263</v>
      </c>
      <c r="G9" s="417" t="s">
        <v>256</v>
      </c>
      <c r="H9" s="426">
        <v>1</v>
      </c>
      <c r="I9" s="403">
        <v>1</v>
      </c>
      <c r="J9" s="403">
        <f t="shared" si="0"/>
        <v>1</v>
      </c>
      <c r="K9" s="403">
        <v>1</v>
      </c>
      <c r="L9" s="417">
        <v>1.0069999999999999</v>
      </c>
      <c r="M9" s="418" t="s">
        <v>230</v>
      </c>
      <c r="N9" s="419" t="s">
        <v>236</v>
      </c>
      <c r="O9" s="420" t="s">
        <v>264</v>
      </c>
      <c r="P9" s="107" t="s">
        <v>258</v>
      </c>
    </row>
    <row r="10" spans="1:37" ht="31.5" thickBot="1">
      <c r="A10" s="412"/>
      <c r="B10" s="412"/>
      <c r="C10" s="108" t="s">
        <v>225</v>
      </c>
      <c r="D10" s="437" t="s">
        <v>265</v>
      </c>
      <c r="E10" s="438" t="s">
        <v>266</v>
      </c>
      <c r="F10" s="439" t="s">
        <v>267</v>
      </c>
      <c r="G10" s="439" t="s">
        <v>229</v>
      </c>
      <c r="H10" s="440" t="s">
        <v>912</v>
      </c>
      <c r="I10" s="403">
        <v>0.03</v>
      </c>
      <c r="J10" s="403">
        <f t="shared" si="0"/>
        <v>0.125</v>
      </c>
      <c r="K10" s="403">
        <v>0.22</v>
      </c>
      <c r="L10" s="417">
        <v>1.3</v>
      </c>
      <c r="M10" s="418" t="s">
        <v>242</v>
      </c>
      <c r="N10" s="419" t="s">
        <v>268</v>
      </c>
      <c r="O10" s="420" t="s">
        <v>269</v>
      </c>
      <c r="P10" s="107" t="s">
        <v>270</v>
      </c>
    </row>
    <row r="11" spans="1:37" ht="31">
      <c r="A11" s="412"/>
      <c r="B11" s="412"/>
      <c r="C11" s="108" t="s">
        <v>218</v>
      </c>
      <c r="D11" s="109" t="s">
        <v>271</v>
      </c>
      <c r="E11" s="417" t="s">
        <v>272</v>
      </c>
      <c r="F11" s="417" t="s">
        <v>267</v>
      </c>
      <c r="G11" s="417" t="s">
        <v>273</v>
      </c>
      <c r="H11" s="417" t="s">
        <v>910</v>
      </c>
      <c r="I11" s="403">
        <v>0.1</v>
      </c>
      <c r="J11" s="403">
        <f t="shared" si="0"/>
        <v>0.55000000000000004</v>
      </c>
      <c r="K11" s="403">
        <v>1</v>
      </c>
      <c r="L11" s="417">
        <v>0.83</v>
      </c>
      <c r="M11" s="417" t="s">
        <v>242</v>
      </c>
      <c r="N11" s="419" t="s">
        <v>236</v>
      </c>
      <c r="O11" s="420" t="s">
        <v>274</v>
      </c>
    </row>
    <row r="12" spans="1:37" ht="46.5">
      <c r="A12" s="412"/>
      <c r="B12" s="412"/>
      <c r="C12" s="108" t="s">
        <v>218</v>
      </c>
      <c r="D12" s="109" t="s">
        <v>275</v>
      </c>
      <c r="E12" s="417" t="s">
        <v>276</v>
      </c>
      <c r="F12" s="417" t="s">
        <v>267</v>
      </c>
      <c r="G12" s="417" t="s">
        <v>273</v>
      </c>
      <c r="H12" s="417">
        <v>0.1</v>
      </c>
      <c r="I12" s="403">
        <v>0.1</v>
      </c>
      <c r="J12" s="403">
        <f t="shared" si="0"/>
        <v>0.1</v>
      </c>
      <c r="K12" s="403">
        <v>0.1</v>
      </c>
      <c r="L12" s="417" t="s">
        <v>235</v>
      </c>
      <c r="M12" s="417" t="s">
        <v>242</v>
      </c>
      <c r="N12" s="419" t="s">
        <v>236</v>
      </c>
      <c r="O12" s="420" t="s">
        <v>277</v>
      </c>
    </row>
    <row r="13" spans="1:37" ht="31">
      <c r="A13" s="412"/>
      <c r="B13" s="412"/>
      <c r="C13" s="108" t="s">
        <v>218</v>
      </c>
      <c r="D13" s="109" t="s">
        <v>278</v>
      </c>
      <c r="E13" s="417" t="s">
        <v>279</v>
      </c>
      <c r="F13" s="417" t="s">
        <v>267</v>
      </c>
      <c r="G13" s="417" t="s">
        <v>273</v>
      </c>
      <c r="H13" s="417" t="s">
        <v>914</v>
      </c>
      <c r="I13" s="403">
        <v>5</v>
      </c>
      <c r="J13" s="403">
        <f t="shared" si="0"/>
        <v>7.5</v>
      </c>
      <c r="K13" s="403">
        <v>10</v>
      </c>
      <c r="L13" s="417">
        <v>0.97</v>
      </c>
      <c r="M13" s="417" t="s">
        <v>242</v>
      </c>
      <c r="N13" s="419" t="s">
        <v>280</v>
      </c>
      <c r="O13" s="420" t="s">
        <v>281</v>
      </c>
    </row>
    <row r="14" spans="1:37">
      <c r="A14" s="412"/>
      <c r="B14" s="412"/>
      <c r="C14" s="108" t="s">
        <v>218</v>
      </c>
      <c r="D14" s="109" t="s">
        <v>282</v>
      </c>
      <c r="E14" s="417" t="s">
        <v>272</v>
      </c>
      <c r="F14" s="417" t="s">
        <v>267</v>
      </c>
      <c r="G14" s="417" t="s">
        <v>273</v>
      </c>
      <c r="H14" s="417">
        <v>0.1</v>
      </c>
      <c r="I14" s="403">
        <v>0.1</v>
      </c>
      <c r="J14" s="403">
        <f t="shared" si="0"/>
        <v>0.1</v>
      </c>
      <c r="K14" s="403">
        <v>0.1</v>
      </c>
      <c r="L14" s="417">
        <v>1</v>
      </c>
      <c r="M14" s="417" t="s">
        <v>242</v>
      </c>
      <c r="N14" s="419" t="s">
        <v>236</v>
      </c>
      <c r="O14" s="420" t="s">
        <v>283</v>
      </c>
    </row>
    <row r="15" spans="1:37" ht="31">
      <c r="A15" s="412"/>
      <c r="B15" s="412"/>
      <c r="C15" s="108" t="s">
        <v>218</v>
      </c>
      <c r="D15" s="109" t="s">
        <v>284</v>
      </c>
      <c r="E15" s="417" t="s">
        <v>279</v>
      </c>
      <c r="F15" s="417" t="s">
        <v>267</v>
      </c>
      <c r="G15" s="417" t="s">
        <v>273</v>
      </c>
      <c r="H15" s="441" t="s">
        <v>913</v>
      </c>
      <c r="I15" s="403">
        <v>1</v>
      </c>
      <c r="J15" s="403">
        <f t="shared" si="0"/>
        <v>3</v>
      </c>
      <c r="K15" s="403">
        <v>5</v>
      </c>
      <c r="L15" s="417">
        <v>1</v>
      </c>
      <c r="M15" s="417" t="s">
        <v>242</v>
      </c>
      <c r="N15" s="442" t="s">
        <v>280</v>
      </c>
      <c r="O15" s="420" t="s">
        <v>285</v>
      </c>
    </row>
    <row r="16" spans="1:37">
      <c r="A16" s="412"/>
      <c r="B16" s="412"/>
      <c r="C16" s="108" t="s">
        <v>218</v>
      </c>
      <c r="D16" s="109" t="s">
        <v>286</v>
      </c>
      <c r="E16" s="417" t="s">
        <v>287</v>
      </c>
      <c r="F16" s="417" t="s">
        <v>267</v>
      </c>
      <c r="G16" s="417" t="s">
        <v>273</v>
      </c>
      <c r="H16" s="417" t="s">
        <v>909</v>
      </c>
      <c r="I16" s="403">
        <v>0.05</v>
      </c>
      <c r="J16" s="403">
        <f t="shared" si="0"/>
        <v>7.5000000000000011E-2</v>
      </c>
      <c r="K16" s="403">
        <v>0.1</v>
      </c>
      <c r="L16" s="417">
        <v>0.99</v>
      </c>
      <c r="M16" s="417" t="s">
        <v>242</v>
      </c>
      <c r="N16" s="442" t="s">
        <v>236</v>
      </c>
      <c r="O16" s="420" t="s">
        <v>283</v>
      </c>
    </row>
    <row r="17" spans="1:16" ht="30">
      <c r="A17" s="412"/>
      <c r="B17" s="412"/>
      <c r="C17" s="108" t="s">
        <v>218</v>
      </c>
      <c r="D17" s="109" t="s">
        <v>288</v>
      </c>
      <c r="E17" s="417" t="s">
        <v>289</v>
      </c>
      <c r="F17" s="417" t="s">
        <v>267</v>
      </c>
      <c r="G17" s="417" t="s">
        <v>273</v>
      </c>
      <c r="H17" s="417">
        <v>0.115</v>
      </c>
      <c r="I17" s="403">
        <v>0.115</v>
      </c>
      <c r="J17" s="403">
        <f t="shared" si="0"/>
        <v>0.115</v>
      </c>
      <c r="K17" s="403">
        <v>0.115</v>
      </c>
      <c r="L17" s="417" t="s">
        <v>235</v>
      </c>
      <c r="M17" s="417" t="s">
        <v>242</v>
      </c>
      <c r="N17" s="442" t="s">
        <v>236</v>
      </c>
      <c r="O17" s="420" t="s">
        <v>283</v>
      </c>
    </row>
    <row r="18" spans="1:16" ht="31">
      <c r="A18" s="412"/>
      <c r="B18" s="412"/>
      <c r="C18" s="108" t="s">
        <v>218</v>
      </c>
      <c r="D18" s="109" t="s">
        <v>290</v>
      </c>
      <c r="E18" s="417" t="s">
        <v>240</v>
      </c>
      <c r="F18" s="417" t="s">
        <v>267</v>
      </c>
      <c r="G18" s="417" t="s">
        <v>273</v>
      </c>
      <c r="H18" s="417" t="s">
        <v>910</v>
      </c>
      <c r="I18" s="403">
        <v>0.1</v>
      </c>
      <c r="J18" s="403">
        <f t="shared" si="0"/>
        <v>0.55000000000000004</v>
      </c>
      <c r="K18" s="403">
        <v>1</v>
      </c>
      <c r="L18" s="417">
        <v>0.99</v>
      </c>
      <c r="M18" s="417" t="s">
        <v>242</v>
      </c>
      <c r="N18" s="442" t="s">
        <v>231</v>
      </c>
      <c r="O18" s="420" t="s">
        <v>291</v>
      </c>
    </row>
    <row r="19" spans="1:16" ht="46.5">
      <c r="A19" s="412"/>
      <c r="B19" s="412"/>
      <c r="C19" s="108" t="s">
        <v>218</v>
      </c>
      <c r="D19" s="109" t="s">
        <v>292</v>
      </c>
      <c r="E19" s="417" t="s">
        <v>293</v>
      </c>
      <c r="F19" s="417" t="s">
        <v>267</v>
      </c>
      <c r="G19" s="417" t="s">
        <v>273</v>
      </c>
      <c r="H19" s="417" t="s">
        <v>911</v>
      </c>
      <c r="I19" s="403">
        <v>1</v>
      </c>
      <c r="J19" s="403">
        <f t="shared" si="0"/>
        <v>2</v>
      </c>
      <c r="K19" s="403">
        <v>3</v>
      </c>
      <c r="L19" s="417">
        <v>0.99</v>
      </c>
      <c r="M19" s="417" t="s">
        <v>242</v>
      </c>
      <c r="N19" s="442" t="s">
        <v>294</v>
      </c>
      <c r="O19" s="420" t="s">
        <v>295</v>
      </c>
    </row>
    <row r="20" spans="1:16">
      <c r="A20" s="412"/>
      <c r="B20" s="412"/>
      <c r="C20" s="108" t="s">
        <v>218</v>
      </c>
      <c r="D20" s="109" t="s">
        <v>296</v>
      </c>
      <c r="E20" s="417" t="s">
        <v>297</v>
      </c>
      <c r="F20" s="417" t="s">
        <v>267</v>
      </c>
      <c r="G20" s="417" t="s">
        <v>273</v>
      </c>
      <c r="H20" s="417">
        <v>10</v>
      </c>
      <c r="I20" s="403">
        <v>10</v>
      </c>
      <c r="J20" s="403">
        <f t="shared" si="0"/>
        <v>10</v>
      </c>
      <c r="K20" s="403">
        <v>10</v>
      </c>
      <c r="L20" s="417" t="s">
        <v>235</v>
      </c>
      <c r="M20" s="417" t="s">
        <v>242</v>
      </c>
      <c r="N20" s="419" t="s">
        <v>236</v>
      </c>
      <c r="O20" s="420" t="s">
        <v>283</v>
      </c>
    </row>
    <row r="21" spans="1:16" ht="62">
      <c r="A21" s="412"/>
      <c r="B21" s="412"/>
      <c r="C21" s="108" t="s">
        <v>298</v>
      </c>
      <c r="D21" s="109" t="s">
        <v>299</v>
      </c>
      <c r="E21" s="417" t="s">
        <v>300</v>
      </c>
      <c r="F21" s="417" t="s">
        <v>263</v>
      </c>
      <c r="G21" s="417" t="s">
        <v>273</v>
      </c>
      <c r="H21" s="417" t="s">
        <v>910</v>
      </c>
      <c r="I21" s="403">
        <v>0.1</v>
      </c>
      <c r="J21" s="403">
        <f t="shared" si="0"/>
        <v>0.55000000000000004</v>
      </c>
      <c r="K21" s="403">
        <v>1</v>
      </c>
      <c r="L21" s="417" t="s">
        <v>235</v>
      </c>
      <c r="M21" s="417" t="s">
        <v>230</v>
      </c>
      <c r="N21" s="419" t="s">
        <v>301</v>
      </c>
      <c r="O21" s="420" t="s">
        <v>302</v>
      </c>
    </row>
    <row r="22" spans="1:16">
      <c r="A22" s="412"/>
      <c r="B22" s="412"/>
      <c r="C22" s="108" t="s">
        <v>298</v>
      </c>
      <c r="D22" s="109" t="s">
        <v>303</v>
      </c>
      <c r="E22" s="417" t="s">
        <v>304</v>
      </c>
      <c r="F22" s="417" t="s">
        <v>263</v>
      </c>
      <c r="G22" s="417" t="s">
        <v>273</v>
      </c>
      <c r="H22" s="417" t="s">
        <v>910</v>
      </c>
      <c r="I22" s="403">
        <v>0.1</v>
      </c>
      <c r="J22" s="403">
        <f t="shared" si="0"/>
        <v>0.55000000000000004</v>
      </c>
      <c r="K22" s="403">
        <v>1</v>
      </c>
      <c r="L22" s="417" t="s">
        <v>235</v>
      </c>
      <c r="M22" s="417" t="s">
        <v>242</v>
      </c>
      <c r="N22" s="419" t="s">
        <v>236</v>
      </c>
      <c r="O22" s="420" t="s">
        <v>305</v>
      </c>
    </row>
    <row r="23" spans="1:16" ht="93">
      <c r="A23" s="412"/>
      <c r="B23" s="412"/>
      <c r="C23" s="108" t="s">
        <v>298</v>
      </c>
      <c r="D23" s="443" t="s">
        <v>306</v>
      </c>
      <c r="E23" s="417" t="s">
        <v>307</v>
      </c>
      <c r="F23" s="417" t="s">
        <v>263</v>
      </c>
      <c r="G23" s="417" t="s">
        <v>273</v>
      </c>
      <c r="H23" s="417" t="s">
        <v>308</v>
      </c>
      <c r="I23" s="403">
        <v>0.1</v>
      </c>
      <c r="J23" s="403">
        <f t="shared" si="0"/>
        <v>0.55000000000000004</v>
      </c>
      <c r="K23" s="403">
        <v>1</v>
      </c>
      <c r="L23" s="417" t="s">
        <v>235</v>
      </c>
      <c r="M23" s="444" t="s">
        <v>309</v>
      </c>
      <c r="N23" s="419"/>
      <c r="O23" s="420" t="s">
        <v>310</v>
      </c>
      <c r="P23" s="406" t="s">
        <v>925</v>
      </c>
    </row>
    <row r="24" spans="1:16">
      <c r="A24" s="412"/>
      <c r="B24" s="412"/>
      <c r="C24" s="108" t="s">
        <v>298</v>
      </c>
      <c r="D24" s="445" t="s">
        <v>311</v>
      </c>
      <c r="E24" s="417" t="s">
        <v>312</v>
      </c>
      <c r="F24" s="417" t="s">
        <v>313</v>
      </c>
      <c r="G24" s="417" t="s">
        <v>273</v>
      </c>
      <c r="H24" s="417">
        <v>0.1</v>
      </c>
      <c r="I24" s="403">
        <v>0.1</v>
      </c>
      <c r="J24" s="403">
        <f t="shared" si="0"/>
        <v>0.1</v>
      </c>
      <c r="K24" s="403">
        <v>0.1</v>
      </c>
      <c r="L24" s="417">
        <v>1</v>
      </c>
      <c r="M24" s="417" t="s">
        <v>314</v>
      </c>
      <c r="N24" s="417"/>
      <c r="O24" s="406"/>
    </row>
    <row r="25" spans="1:16" ht="31">
      <c r="A25" s="412"/>
      <c r="B25" s="412"/>
      <c r="C25" s="106" t="s">
        <v>315</v>
      </c>
      <c r="D25" s="443" t="s">
        <v>316</v>
      </c>
      <c r="E25" s="403" t="s">
        <v>240</v>
      </c>
      <c r="F25" s="403" t="s">
        <v>317</v>
      </c>
      <c r="G25" s="403" t="s">
        <v>318</v>
      </c>
      <c r="H25" s="403" t="s">
        <v>915</v>
      </c>
      <c r="I25" s="403">
        <v>2.5</v>
      </c>
      <c r="J25" s="403">
        <f t="shared" si="0"/>
        <v>6.25</v>
      </c>
      <c r="K25" s="403">
        <v>10</v>
      </c>
      <c r="L25" s="403" t="s">
        <v>235</v>
      </c>
      <c r="M25" s="417" t="s">
        <v>242</v>
      </c>
      <c r="N25" s="446" t="s">
        <v>319</v>
      </c>
      <c r="O25" s="420" t="s">
        <v>320</v>
      </c>
      <c r="P25" s="406" t="s">
        <v>924</v>
      </c>
    </row>
    <row r="26" spans="1:16" ht="93">
      <c r="A26" s="412"/>
      <c r="B26" s="412"/>
      <c r="C26" s="106" t="s">
        <v>315</v>
      </c>
      <c r="D26" s="443" t="s">
        <v>321</v>
      </c>
      <c r="E26" s="403" t="s">
        <v>322</v>
      </c>
      <c r="F26" s="403" t="s">
        <v>317</v>
      </c>
      <c r="G26" s="403" t="s">
        <v>318</v>
      </c>
      <c r="H26" s="403" t="s">
        <v>917</v>
      </c>
      <c r="I26" s="403">
        <v>0.05</v>
      </c>
      <c r="J26" s="403">
        <f t="shared" si="0"/>
        <v>0.52500000000000002</v>
      </c>
      <c r="K26" s="403">
        <v>1</v>
      </c>
      <c r="L26" s="403">
        <v>2.69</v>
      </c>
      <c r="M26" s="418" t="s">
        <v>920</v>
      </c>
      <c r="N26" s="447"/>
      <c r="O26" s="420" t="s">
        <v>323</v>
      </c>
      <c r="P26" s="406" t="s">
        <v>926</v>
      </c>
    </row>
    <row r="27" spans="1:16" ht="46.5">
      <c r="A27" s="412"/>
      <c r="B27" s="412"/>
      <c r="C27" s="106" t="s">
        <v>315</v>
      </c>
      <c r="D27" s="443" t="s">
        <v>324</v>
      </c>
      <c r="E27" s="403" t="s">
        <v>325</v>
      </c>
      <c r="F27" s="403" t="s">
        <v>317</v>
      </c>
      <c r="G27" s="403" t="s">
        <v>318</v>
      </c>
      <c r="H27" s="403" t="s">
        <v>916</v>
      </c>
      <c r="I27" s="403">
        <v>15</v>
      </c>
      <c r="J27" s="403">
        <f t="shared" si="0"/>
        <v>17.5</v>
      </c>
      <c r="K27" s="403">
        <v>20</v>
      </c>
      <c r="L27" s="403">
        <v>0.88</v>
      </c>
      <c r="M27" s="417" t="s">
        <v>242</v>
      </c>
      <c r="N27" s="446" t="s">
        <v>326</v>
      </c>
      <c r="O27" s="448" t="s">
        <v>327</v>
      </c>
      <c r="P27" s="406" t="s">
        <v>927</v>
      </c>
    </row>
    <row r="28" spans="1:16" ht="31">
      <c r="A28" s="412"/>
      <c r="B28" s="412"/>
      <c r="C28" s="108" t="s">
        <v>315</v>
      </c>
      <c r="D28" s="109" t="s">
        <v>328</v>
      </c>
      <c r="E28" s="417" t="s">
        <v>329</v>
      </c>
      <c r="F28" s="403" t="s">
        <v>267</v>
      </c>
      <c r="G28" s="403" t="s">
        <v>330</v>
      </c>
      <c r="H28" s="417" t="s">
        <v>919</v>
      </c>
      <c r="I28" s="403">
        <v>7</v>
      </c>
      <c r="J28" s="403">
        <f t="shared" si="0"/>
        <v>10</v>
      </c>
      <c r="K28" s="403">
        <v>13</v>
      </c>
      <c r="L28" s="417">
        <v>0.89</v>
      </c>
      <c r="M28" s="417" t="s">
        <v>242</v>
      </c>
      <c r="N28" s="446" t="s">
        <v>236</v>
      </c>
      <c r="O28" s="420" t="s">
        <v>331</v>
      </c>
      <c r="P28" s="406" t="s">
        <v>928</v>
      </c>
    </row>
    <row r="29" spans="1:16" ht="46.5">
      <c r="A29" s="412"/>
      <c r="B29" s="412"/>
      <c r="C29" s="108" t="s">
        <v>315</v>
      </c>
      <c r="D29" s="109" t="s">
        <v>332</v>
      </c>
      <c r="E29" s="417" t="s">
        <v>333</v>
      </c>
      <c r="F29" s="417" t="s">
        <v>267</v>
      </c>
      <c r="G29" s="417" t="s">
        <v>334</v>
      </c>
      <c r="H29" s="444" t="s">
        <v>918</v>
      </c>
      <c r="I29" s="403">
        <v>10</v>
      </c>
      <c r="J29" s="403">
        <f t="shared" si="0"/>
        <v>17.5</v>
      </c>
      <c r="K29" s="403">
        <v>25</v>
      </c>
      <c r="L29" s="444" t="s">
        <v>235</v>
      </c>
      <c r="M29" s="417" t="s">
        <v>314</v>
      </c>
      <c r="N29" s="446" t="s">
        <v>319</v>
      </c>
      <c r="O29" s="420" t="s">
        <v>335</v>
      </c>
      <c r="P29" s="406" t="s">
        <v>929</v>
      </c>
    </row>
    <row r="30" spans="1:16">
      <c r="A30" s="412"/>
      <c r="B30" s="412"/>
      <c r="C30" s="412"/>
      <c r="D30" s="420"/>
      <c r="E30" s="417"/>
      <c r="G30" s="417"/>
      <c r="H30" s="417"/>
      <c r="L30" s="417"/>
      <c r="M30" s="417"/>
      <c r="N30" s="417"/>
      <c r="O30" s="412"/>
    </row>
    <row r="34" spans="16:16">
      <c r="P34" s="107">
        <f>O34*28.25</f>
        <v>0</v>
      </c>
    </row>
    <row r="35" spans="16:16">
      <c r="P35" s="107">
        <f>O35*28.25</f>
        <v>0</v>
      </c>
    </row>
    <row r="36" spans="16:16">
      <c r="P36" s="107">
        <f>O36*28.25</f>
        <v>0</v>
      </c>
    </row>
  </sheetData>
  <sheetProtection algorithmName="SHA-512" hashValue="nZhPwdBg10Pm9nkNM68BpDCbiYMQqP+uusiN3ICtYH9jDMyt8nknMPhC1mcQavQ48ONzH0D9QKPiIp6Bv0XmCg==" saltValue="7k1cPq07VTjL5H7auc7nLA==" spinCount="100000" sheet="1" objects="1" scenarios="1" formatCells="0" formatColumns="0" formatRows="0"/>
  <autoFilter ref="A2:V29" xr:uid="{E18CAC68-2756-4688-8A25-9956F8B635AE}"/>
  <mergeCells count="5">
    <mergeCell ref="I1:K1"/>
    <mergeCell ref="X3:X4"/>
    <mergeCell ref="X5:X6"/>
    <mergeCell ref="X1:AC1"/>
    <mergeCell ref="Q1:V1"/>
  </mergeCells>
  <hyperlinks>
    <hyperlink ref="N3" r:id="rId1" xr:uid="{A8326375-230B-409B-AD1F-675F644A5CB9}"/>
    <hyperlink ref="N5" r:id="rId2" xr:uid="{CBDF3974-F275-4F71-A1D4-C656176CE7FF}"/>
    <hyperlink ref="N6" r:id="rId3" xr:uid="{5F6E5C1A-D09F-4817-AEB5-0B66009C8417}"/>
    <hyperlink ref="N7" r:id="rId4" xr:uid="{1D2A8F48-9D87-4F8E-9ACB-CC9BDC4D9EA9}"/>
    <hyperlink ref="N8" r:id="rId5" xr:uid="{8F53A5ED-542B-4AEC-9582-7765FA9226B0}"/>
    <hyperlink ref="N10" r:id="rId6" xr:uid="{59FA4DB6-003B-4B31-A3AC-51A9E9E9A789}"/>
    <hyperlink ref="N4" r:id="rId7" xr:uid="{1CEF405B-E785-47BA-AF70-452E1BDD899C}"/>
    <hyperlink ref="D9" r:id="rId8" display="https://www.amazon.com/Silicone-Grade-Strength-Sealant-Clear/dp/B00NU6VN6G" xr:uid="{196A85FD-FCA1-4080-8A22-C99F4D85F488}"/>
    <hyperlink ref="N11" r:id="rId9" xr:uid="{A308FCD5-9B0F-4A98-8B22-AE15F0E8C225}"/>
    <hyperlink ref="N12" r:id="rId10" xr:uid="{611925DD-1440-4E6F-A6F9-8DA6ABDA8BA4}"/>
    <hyperlink ref="N13" r:id="rId11" xr:uid="{0FEBDEE4-81D7-4ECA-B241-66585D1A4EDB}"/>
    <hyperlink ref="N14" r:id="rId12" xr:uid="{49698D49-8E33-4EA7-A639-D33B0553F071}"/>
    <hyperlink ref="N15" r:id="rId13" xr:uid="{A0F8DF02-E736-4836-98E1-23D5999A3183}"/>
    <hyperlink ref="N16" r:id="rId14" xr:uid="{31CD7674-A9FA-4853-9746-4214D31DF89E}"/>
    <hyperlink ref="N17" r:id="rId15" xr:uid="{49D5CF42-F4FD-40CA-BB14-9B809CF0AEF3}"/>
    <hyperlink ref="N18" r:id="rId16" xr:uid="{EA6B41B5-E8E0-4C7F-9AF1-5C74782DA108}"/>
    <hyperlink ref="N19" r:id="rId17" xr:uid="{FA9C3D36-0B1A-436C-8921-B4848AE186A4}"/>
    <hyperlink ref="N20" r:id="rId18" xr:uid="{8A14BA05-F670-4C7E-818D-2F4A9471FAA8}"/>
    <hyperlink ref="N21" r:id="rId19" xr:uid="{D2EA8940-028F-49BE-8440-B456F03D0ECE}"/>
    <hyperlink ref="N22" r:id="rId20" xr:uid="{891037D4-4D52-4D73-BACF-B1728A7A56C6}"/>
    <hyperlink ref="N27" r:id="rId21" xr:uid="{6D56C983-4C3C-4D92-8D14-C4767E053B0D}"/>
    <hyperlink ref="N28" r:id="rId22" location="customerReviews" xr:uid="{CB6AF49A-18EA-42F1-B164-77AE39BB4658}"/>
    <hyperlink ref="N25" r:id="rId23" xr:uid="{11BDA194-F03E-436A-BC8B-0AE7A205FD53}"/>
    <hyperlink ref="N29" r:id="rId24" xr:uid="{0C985CEE-3787-4493-A2B9-8BC429D6419D}"/>
  </hyperlinks>
  <pageMargins left="0.7" right="0.7" top="0.75" bottom="0.75" header="0.3" footer="0.3"/>
  <pageSetup orientation="portrait" r:id="rId25"/>
  <legacyDrawing r:id="rId2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83B0E-10DB-473D-91B5-075E5341D151}">
  <dimension ref="A1:I86"/>
  <sheetViews>
    <sheetView zoomScale="85" zoomScaleNormal="85" workbookViewId="0">
      <pane ySplit="1" topLeftCell="A2" activePane="bottomLeft" state="frozen"/>
      <selection pane="bottomLeft" activeCell="I29" sqref="I29"/>
    </sheetView>
  </sheetViews>
  <sheetFormatPr defaultColWidth="9.08203125" defaultRowHeight="14"/>
  <cols>
    <col min="1" max="1" width="43.75" style="105" customWidth="1"/>
    <col min="2" max="2" width="14.08203125" style="110" customWidth="1"/>
    <col min="3" max="3" width="15.9140625" style="110" customWidth="1"/>
    <col min="4" max="6" width="25.58203125" style="110" customWidth="1"/>
    <col min="7" max="7" width="27.08203125" style="110" customWidth="1"/>
    <col min="8" max="8" width="16.58203125" style="110" customWidth="1"/>
    <col min="9" max="9" width="24" style="110" customWidth="1"/>
    <col min="10" max="16384" width="9.08203125" style="110"/>
  </cols>
  <sheetData>
    <row r="1" spans="1:9" s="247" customFormat="1">
      <c r="A1" s="333" t="s">
        <v>701</v>
      </c>
      <c r="B1" s="334" t="s">
        <v>702</v>
      </c>
      <c r="C1" s="333" t="s">
        <v>398</v>
      </c>
      <c r="D1" s="333" t="s">
        <v>703</v>
      </c>
      <c r="E1" s="333" t="s">
        <v>704</v>
      </c>
      <c r="F1" s="333" t="s">
        <v>705</v>
      </c>
      <c r="G1" s="334" t="s">
        <v>706</v>
      </c>
      <c r="H1" s="333" t="s">
        <v>707</v>
      </c>
      <c r="I1" s="333" t="s">
        <v>708</v>
      </c>
    </row>
    <row r="2" spans="1:9">
      <c r="A2" s="105" t="s">
        <v>364</v>
      </c>
      <c r="B2" s="332" t="s">
        <v>521</v>
      </c>
      <c r="C2" s="110" t="s">
        <v>709</v>
      </c>
      <c r="D2" s="110" t="s">
        <v>710</v>
      </c>
      <c r="E2" s="110" t="s">
        <v>711</v>
      </c>
      <c r="F2" s="110" t="s">
        <v>712</v>
      </c>
      <c r="G2" s="332" t="s">
        <v>713</v>
      </c>
      <c r="H2" s="110">
        <v>61</v>
      </c>
      <c r="I2" s="110">
        <v>0.1</v>
      </c>
    </row>
    <row r="3" spans="1:9">
      <c r="A3" s="105" t="s">
        <v>714</v>
      </c>
      <c r="B3" s="332" t="s">
        <v>521</v>
      </c>
      <c r="C3" s="110" t="s">
        <v>709</v>
      </c>
      <c r="D3" s="110" t="s">
        <v>710</v>
      </c>
      <c r="E3" s="110" t="s">
        <v>711</v>
      </c>
      <c r="F3" s="110" t="s">
        <v>712</v>
      </c>
      <c r="G3" s="332" t="s">
        <v>715</v>
      </c>
      <c r="H3" s="110">
        <v>2.2999999999999998</v>
      </c>
      <c r="I3" s="110">
        <v>0.1</v>
      </c>
    </row>
    <row r="4" spans="1:9">
      <c r="A4" s="105" t="s">
        <v>716</v>
      </c>
      <c r="B4" s="332" t="s">
        <v>521</v>
      </c>
      <c r="C4" s="110" t="s">
        <v>709</v>
      </c>
      <c r="D4" s="110" t="s">
        <v>710</v>
      </c>
      <c r="E4" s="110" t="s">
        <v>711</v>
      </c>
      <c r="F4" s="110" t="s">
        <v>712</v>
      </c>
      <c r="G4" s="332" t="s">
        <v>717</v>
      </c>
      <c r="H4" s="110">
        <v>0.27800000000000002</v>
      </c>
      <c r="I4" s="110">
        <v>0.1</v>
      </c>
    </row>
    <row r="5" spans="1:9">
      <c r="A5" s="105" t="s">
        <v>718</v>
      </c>
      <c r="B5" s="332" t="s">
        <v>521</v>
      </c>
      <c r="C5" s="110" t="s">
        <v>709</v>
      </c>
      <c r="D5" s="110" t="s">
        <v>710</v>
      </c>
      <c r="E5" s="110" t="s">
        <v>711</v>
      </c>
      <c r="F5" s="110" t="s">
        <v>712</v>
      </c>
      <c r="G5" s="332" t="s">
        <v>717</v>
      </c>
      <c r="H5" s="110">
        <v>1.1789000000000001</v>
      </c>
      <c r="I5" s="110">
        <v>0.1</v>
      </c>
    </row>
    <row r="6" spans="1:9">
      <c r="A6" s="105" t="s">
        <v>719</v>
      </c>
      <c r="B6" s="332" t="s">
        <v>521</v>
      </c>
      <c r="C6" s="110" t="s">
        <v>709</v>
      </c>
      <c r="D6" s="110" t="s">
        <v>710</v>
      </c>
      <c r="E6" s="110" t="s">
        <v>711</v>
      </c>
      <c r="F6" s="110" t="s">
        <v>712</v>
      </c>
      <c r="G6" s="332" t="s">
        <v>717</v>
      </c>
      <c r="H6" s="110">
        <v>1.6025</v>
      </c>
      <c r="I6" s="110">
        <v>0.1</v>
      </c>
    </row>
    <row r="7" spans="1:9">
      <c r="A7" s="105" t="s">
        <v>720</v>
      </c>
      <c r="B7" s="332" t="s">
        <v>521</v>
      </c>
      <c r="C7" s="110" t="s">
        <v>709</v>
      </c>
      <c r="D7" s="110" t="s">
        <v>710</v>
      </c>
      <c r="E7" s="110" t="s">
        <v>711</v>
      </c>
      <c r="F7" s="110" t="s">
        <v>712</v>
      </c>
      <c r="G7" s="332" t="s">
        <v>721</v>
      </c>
      <c r="H7" s="110">
        <v>1</v>
      </c>
      <c r="I7" s="110">
        <v>0.1</v>
      </c>
    </row>
    <row r="8" spans="1:9">
      <c r="A8" s="105" t="s">
        <v>722</v>
      </c>
      <c r="B8" s="332" t="s">
        <v>521</v>
      </c>
      <c r="C8" s="110" t="s">
        <v>709</v>
      </c>
      <c r="D8" s="110" t="s">
        <v>710</v>
      </c>
      <c r="E8" s="110" t="s">
        <v>711</v>
      </c>
      <c r="F8" s="110" t="s">
        <v>712</v>
      </c>
      <c r="G8" s="332" t="s">
        <v>721</v>
      </c>
    </row>
    <row r="9" spans="1:9">
      <c r="A9" s="105" t="s">
        <v>723</v>
      </c>
      <c r="B9" s="332" t="s">
        <v>521</v>
      </c>
      <c r="C9" s="110" t="s">
        <v>709</v>
      </c>
      <c r="D9" s="110" t="s">
        <v>710</v>
      </c>
      <c r="E9" s="110" t="s">
        <v>711</v>
      </c>
      <c r="F9" s="110" t="s">
        <v>712</v>
      </c>
      <c r="G9" s="332" t="s">
        <v>724</v>
      </c>
      <c r="H9" s="110">
        <v>0.03</v>
      </c>
      <c r="I9" s="110">
        <v>0.1</v>
      </c>
    </row>
    <row r="10" spans="1:9">
      <c r="A10" s="105" t="s">
        <v>725</v>
      </c>
      <c r="B10" s="332" t="s">
        <v>521</v>
      </c>
      <c r="C10" s="110" t="s">
        <v>709</v>
      </c>
      <c r="D10" s="110" t="s">
        <v>710</v>
      </c>
      <c r="E10" s="110" t="s">
        <v>711</v>
      </c>
      <c r="F10" s="110" t="s">
        <v>712</v>
      </c>
      <c r="G10" s="332" t="s">
        <v>721</v>
      </c>
      <c r="H10" s="110">
        <v>3</v>
      </c>
      <c r="I10" s="110">
        <v>0.1</v>
      </c>
    </row>
    <row r="11" spans="1:9">
      <c r="A11" s="105" t="s">
        <v>726</v>
      </c>
      <c r="B11" s="332" t="s">
        <v>521</v>
      </c>
      <c r="C11" s="110" t="s">
        <v>709</v>
      </c>
      <c r="D11" s="110" t="s">
        <v>710</v>
      </c>
      <c r="E11" s="110" t="s">
        <v>711</v>
      </c>
      <c r="F11" s="110" t="s">
        <v>712</v>
      </c>
      <c r="G11" s="332" t="s">
        <v>717</v>
      </c>
      <c r="H11" s="110">
        <v>9.0999999999999998E-2</v>
      </c>
      <c r="I11" s="110" t="s">
        <v>727</v>
      </c>
    </row>
    <row r="12" spans="1:9">
      <c r="A12" s="105" t="s">
        <v>728</v>
      </c>
      <c r="B12" s="332" t="s">
        <v>521</v>
      </c>
      <c r="C12" s="110" t="s">
        <v>709</v>
      </c>
      <c r="D12" s="110" t="s">
        <v>710</v>
      </c>
      <c r="E12" s="110" t="s">
        <v>711</v>
      </c>
      <c r="F12" s="110" t="s">
        <v>712</v>
      </c>
      <c r="G12" s="332" t="s">
        <v>729</v>
      </c>
      <c r="H12" s="110">
        <v>0.01</v>
      </c>
      <c r="I12" s="110">
        <v>0.01</v>
      </c>
    </row>
    <row r="13" spans="1:9">
      <c r="A13" s="105" t="s">
        <v>730</v>
      </c>
      <c r="B13" s="332" t="s">
        <v>521</v>
      </c>
      <c r="C13" s="110" t="s">
        <v>709</v>
      </c>
      <c r="D13" s="110" t="s">
        <v>710</v>
      </c>
      <c r="E13" s="110" t="s">
        <v>711</v>
      </c>
      <c r="F13" s="110" t="s">
        <v>712</v>
      </c>
      <c r="G13" s="332" t="s">
        <v>721</v>
      </c>
      <c r="H13" s="110">
        <v>100</v>
      </c>
      <c r="I13" s="110">
        <v>0.1</v>
      </c>
    </row>
    <row r="14" spans="1:9">
      <c r="A14" s="105" t="s">
        <v>731</v>
      </c>
      <c r="B14" s="332" t="s">
        <v>521</v>
      </c>
      <c r="C14" s="110" t="s">
        <v>709</v>
      </c>
      <c r="D14" s="110" t="s">
        <v>710</v>
      </c>
      <c r="E14" s="110" t="s">
        <v>711</v>
      </c>
      <c r="F14" s="110" t="s">
        <v>712</v>
      </c>
      <c r="G14" s="332" t="s">
        <v>721</v>
      </c>
      <c r="H14" s="110">
        <v>3</v>
      </c>
      <c r="I14" s="110">
        <v>0.1</v>
      </c>
    </row>
    <row r="15" spans="1:9">
      <c r="A15" s="105" t="s">
        <v>732</v>
      </c>
      <c r="B15" s="332" t="s">
        <v>521</v>
      </c>
      <c r="C15" s="110" t="s">
        <v>709</v>
      </c>
      <c r="D15" s="110" t="s">
        <v>710</v>
      </c>
      <c r="E15" s="110" t="s">
        <v>711</v>
      </c>
      <c r="F15" s="110" t="s">
        <v>712</v>
      </c>
      <c r="G15" s="332" t="s">
        <v>721</v>
      </c>
      <c r="H15" s="110">
        <v>4</v>
      </c>
      <c r="I15" s="110">
        <v>0.1</v>
      </c>
    </row>
    <row r="16" spans="1:9">
      <c r="A16" s="105" t="s">
        <v>733</v>
      </c>
      <c r="B16" s="332" t="s">
        <v>521</v>
      </c>
      <c r="C16" s="110" t="s">
        <v>709</v>
      </c>
      <c r="D16" s="110" t="s">
        <v>710</v>
      </c>
      <c r="E16" s="110" t="s">
        <v>711</v>
      </c>
      <c r="F16" s="110" t="s">
        <v>712</v>
      </c>
      <c r="G16" s="332" t="s">
        <v>715</v>
      </c>
      <c r="H16" s="110">
        <v>5.0000000000000001E-3</v>
      </c>
      <c r="I16" s="110">
        <v>0.1</v>
      </c>
    </row>
    <row r="17" spans="1:9">
      <c r="A17" s="105" t="s">
        <v>734</v>
      </c>
      <c r="B17" s="332" t="s">
        <v>521</v>
      </c>
      <c r="C17" s="110" t="s">
        <v>709</v>
      </c>
      <c r="D17" s="110" t="s">
        <v>710</v>
      </c>
      <c r="E17" s="110" t="s">
        <v>711</v>
      </c>
      <c r="F17" s="110" t="s">
        <v>712</v>
      </c>
      <c r="G17" s="332" t="s">
        <v>715</v>
      </c>
      <c r="H17" s="110">
        <v>1</v>
      </c>
      <c r="I17" s="110">
        <v>0.1</v>
      </c>
    </row>
    <row r="18" spans="1:9">
      <c r="A18" s="105" t="s">
        <v>735</v>
      </c>
      <c r="B18" s="332" t="s">
        <v>521</v>
      </c>
      <c r="C18" s="110" t="s">
        <v>709</v>
      </c>
      <c r="D18" s="110" t="s">
        <v>710</v>
      </c>
      <c r="E18" s="110" t="s">
        <v>711</v>
      </c>
      <c r="F18" s="110" t="s">
        <v>712</v>
      </c>
      <c r="G18" s="332" t="s">
        <v>715</v>
      </c>
      <c r="H18" s="110">
        <v>27.87</v>
      </c>
      <c r="I18" s="110">
        <v>0.1</v>
      </c>
    </row>
    <row r="19" spans="1:9">
      <c r="A19" s="105" t="s">
        <v>736</v>
      </c>
      <c r="B19" s="332" t="s">
        <v>521</v>
      </c>
      <c r="C19" s="110" t="s">
        <v>709</v>
      </c>
      <c r="D19" s="110" t="s">
        <v>710</v>
      </c>
      <c r="E19" s="110" t="s">
        <v>711</v>
      </c>
      <c r="F19" s="110" t="s">
        <v>712</v>
      </c>
      <c r="G19" s="332" t="s">
        <v>715</v>
      </c>
      <c r="H19" s="110">
        <v>27.87</v>
      </c>
      <c r="I19" s="110">
        <v>0.1</v>
      </c>
    </row>
    <row r="20" spans="1:9">
      <c r="A20" s="105" t="s">
        <v>737</v>
      </c>
      <c r="B20" s="332" t="s">
        <v>521</v>
      </c>
      <c r="C20" s="110" t="s">
        <v>709</v>
      </c>
      <c r="D20" s="110" t="s">
        <v>710</v>
      </c>
      <c r="E20" s="110" t="s">
        <v>711</v>
      </c>
      <c r="F20" s="110" t="s">
        <v>712</v>
      </c>
      <c r="G20" s="332" t="s">
        <v>715</v>
      </c>
      <c r="H20" s="110">
        <v>5.0000000000000001E-3</v>
      </c>
      <c r="I20" s="110">
        <v>0.1</v>
      </c>
    </row>
    <row r="21" spans="1:9">
      <c r="A21" s="105" t="s">
        <v>738</v>
      </c>
      <c r="B21" s="332" t="s">
        <v>521</v>
      </c>
      <c r="C21" s="110" t="s">
        <v>709</v>
      </c>
      <c r="D21" s="110" t="s">
        <v>710</v>
      </c>
      <c r="E21" s="110" t="s">
        <v>711</v>
      </c>
      <c r="F21" s="110" t="s">
        <v>712</v>
      </c>
      <c r="G21" s="332" t="s">
        <v>721</v>
      </c>
      <c r="H21" s="110">
        <v>27.87</v>
      </c>
      <c r="I21" s="110">
        <v>0.1</v>
      </c>
    </row>
    <row r="22" spans="1:9">
      <c r="A22" s="105" t="s">
        <v>739</v>
      </c>
      <c r="B22" s="332" t="s">
        <v>521</v>
      </c>
      <c r="C22" s="110" t="s">
        <v>709</v>
      </c>
      <c r="D22" s="110" t="s">
        <v>710</v>
      </c>
      <c r="E22" s="110" t="s">
        <v>711</v>
      </c>
      <c r="F22" s="110" t="s">
        <v>712</v>
      </c>
      <c r="G22" s="332" t="s">
        <v>721</v>
      </c>
      <c r="H22" s="110">
        <v>5.0000000000000001E-3</v>
      </c>
      <c r="I22" s="110">
        <v>0.1</v>
      </c>
    </row>
    <row r="23" spans="1:9">
      <c r="A23" s="105" t="s">
        <v>740</v>
      </c>
      <c r="B23" s="332" t="s">
        <v>205</v>
      </c>
      <c r="C23" s="110" t="s">
        <v>741</v>
      </c>
      <c r="D23" s="110" t="s">
        <v>742</v>
      </c>
      <c r="E23" s="110" t="s">
        <v>742</v>
      </c>
      <c r="F23" s="110" t="s">
        <v>743</v>
      </c>
      <c r="G23" s="332" t="s">
        <v>729</v>
      </c>
    </row>
    <row r="24" spans="1:9">
      <c r="A24" s="105" t="s">
        <v>744</v>
      </c>
      <c r="B24" s="332" t="s">
        <v>205</v>
      </c>
      <c r="C24" s="110" t="s">
        <v>745</v>
      </c>
      <c r="D24" s="110" t="s">
        <v>746</v>
      </c>
      <c r="E24" s="110" t="s">
        <v>742</v>
      </c>
      <c r="F24" s="110" t="s">
        <v>747</v>
      </c>
      <c r="G24" s="332" t="s">
        <v>724</v>
      </c>
    </row>
    <row r="25" spans="1:9">
      <c r="A25" s="105" t="s">
        <v>748</v>
      </c>
      <c r="B25" s="332" t="s">
        <v>205</v>
      </c>
      <c r="C25" s="110" t="s">
        <v>749</v>
      </c>
      <c r="D25" s="110" t="s">
        <v>746</v>
      </c>
      <c r="E25" s="110" t="s">
        <v>742</v>
      </c>
      <c r="F25" s="110" t="s">
        <v>747</v>
      </c>
      <c r="G25" s="332" t="s">
        <v>724</v>
      </c>
    </row>
    <row r="26" spans="1:9">
      <c r="A26" s="105" t="s">
        <v>750</v>
      </c>
      <c r="B26" s="332" t="s">
        <v>205</v>
      </c>
      <c r="C26" s="110" t="s">
        <v>751</v>
      </c>
      <c r="D26" s="110" t="s">
        <v>746</v>
      </c>
      <c r="E26" s="110" t="s">
        <v>742</v>
      </c>
      <c r="F26" s="110" t="s">
        <v>747</v>
      </c>
      <c r="G26" s="332" t="s">
        <v>715</v>
      </c>
    </row>
    <row r="27" spans="1:9">
      <c r="A27" s="105" t="s">
        <v>752</v>
      </c>
      <c r="B27" s="332" t="s">
        <v>205</v>
      </c>
      <c r="C27" s="110" t="s">
        <v>749</v>
      </c>
      <c r="D27" s="110" t="s">
        <v>746</v>
      </c>
      <c r="E27" s="110" t="s">
        <v>742</v>
      </c>
      <c r="F27" s="110" t="s">
        <v>747</v>
      </c>
      <c r="G27" s="332" t="s">
        <v>729</v>
      </c>
    </row>
    <row r="28" spans="1:9">
      <c r="A28" s="105" t="s">
        <v>753</v>
      </c>
      <c r="B28" s="332" t="s">
        <v>205</v>
      </c>
      <c r="C28" s="110" t="s">
        <v>751</v>
      </c>
      <c r="D28" s="110" t="s">
        <v>746</v>
      </c>
      <c r="E28" s="110" t="s">
        <v>742</v>
      </c>
      <c r="F28" s="110" t="s">
        <v>747</v>
      </c>
      <c r="G28" s="332" t="s">
        <v>721</v>
      </c>
    </row>
    <row r="29" spans="1:9">
      <c r="A29" s="105" t="s">
        <v>754</v>
      </c>
      <c r="B29" s="332" t="s">
        <v>205</v>
      </c>
      <c r="C29" s="110" t="s">
        <v>751</v>
      </c>
      <c r="D29" s="110" t="s">
        <v>746</v>
      </c>
      <c r="E29" s="110" t="s">
        <v>742</v>
      </c>
      <c r="F29" s="110" t="s">
        <v>747</v>
      </c>
      <c r="G29" s="332" t="s">
        <v>713</v>
      </c>
    </row>
    <row r="30" spans="1:9">
      <c r="A30" s="105" t="s">
        <v>755</v>
      </c>
      <c r="B30" s="332" t="s">
        <v>205</v>
      </c>
      <c r="C30" s="110" t="s">
        <v>749</v>
      </c>
      <c r="D30" s="110" t="s">
        <v>746</v>
      </c>
      <c r="E30" s="110" t="s">
        <v>742</v>
      </c>
      <c r="F30" s="110" t="s">
        <v>747</v>
      </c>
      <c r="G30" s="332" t="s">
        <v>717</v>
      </c>
    </row>
    <row r="31" spans="1:9">
      <c r="A31" s="105" t="s">
        <v>756</v>
      </c>
      <c r="B31" s="332" t="s">
        <v>205</v>
      </c>
      <c r="C31" s="110" t="s">
        <v>741</v>
      </c>
      <c r="D31" s="110" t="s">
        <v>742</v>
      </c>
      <c r="E31" s="110" t="s">
        <v>742</v>
      </c>
      <c r="F31" s="110" t="s">
        <v>747</v>
      </c>
      <c r="G31" s="332" t="s">
        <v>729</v>
      </c>
    </row>
    <row r="32" spans="1:9">
      <c r="A32" s="105" t="s">
        <v>757</v>
      </c>
      <c r="B32" s="332" t="s">
        <v>205</v>
      </c>
      <c r="C32" s="110" t="s">
        <v>751</v>
      </c>
      <c r="D32" s="110" t="s">
        <v>746</v>
      </c>
      <c r="E32" s="110" t="s">
        <v>742</v>
      </c>
      <c r="F32" s="110" t="s">
        <v>747</v>
      </c>
      <c r="G32" s="332" t="s">
        <v>721</v>
      </c>
    </row>
    <row r="33" spans="1:7">
      <c r="A33" s="105" t="s">
        <v>758</v>
      </c>
      <c r="B33" s="332" t="s">
        <v>205</v>
      </c>
      <c r="C33" s="110" t="s">
        <v>759</v>
      </c>
      <c r="D33" s="110" t="s">
        <v>746</v>
      </c>
      <c r="E33" s="110" t="s">
        <v>742</v>
      </c>
      <c r="F33" s="110" t="s">
        <v>742</v>
      </c>
      <c r="G33" s="332" t="s">
        <v>729</v>
      </c>
    </row>
    <row r="34" spans="1:7">
      <c r="A34" s="105" t="s">
        <v>760</v>
      </c>
      <c r="B34" s="332" t="s">
        <v>205</v>
      </c>
      <c r="C34" s="110" t="s">
        <v>741</v>
      </c>
      <c r="D34" s="110" t="s">
        <v>742</v>
      </c>
      <c r="E34" s="110" t="s">
        <v>742</v>
      </c>
      <c r="F34" s="110" t="s">
        <v>747</v>
      </c>
      <c r="G34" s="332" t="s">
        <v>724</v>
      </c>
    </row>
    <row r="35" spans="1:7">
      <c r="A35" s="105" t="s">
        <v>761</v>
      </c>
      <c r="B35" s="332" t="s">
        <v>205</v>
      </c>
      <c r="C35" s="110" t="s">
        <v>749</v>
      </c>
      <c r="D35" s="110" t="s">
        <v>746</v>
      </c>
      <c r="E35" s="110" t="s">
        <v>742</v>
      </c>
      <c r="F35" s="110" t="s">
        <v>747</v>
      </c>
      <c r="G35" s="332" t="s">
        <v>713</v>
      </c>
    </row>
    <row r="36" spans="1:7">
      <c r="A36" s="105" t="s">
        <v>762</v>
      </c>
      <c r="B36" s="332" t="s">
        <v>205</v>
      </c>
      <c r="C36" s="110" t="s">
        <v>751</v>
      </c>
      <c r="D36" s="110" t="s">
        <v>746</v>
      </c>
      <c r="E36" s="110" t="s">
        <v>742</v>
      </c>
      <c r="F36" s="110" t="s">
        <v>747</v>
      </c>
      <c r="G36" s="332" t="s">
        <v>713</v>
      </c>
    </row>
    <row r="37" spans="1:7">
      <c r="A37" s="105" t="s">
        <v>763</v>
      </c>
      <c r="B37" s="332" t="s">
        <v>205</v>
      </c>
      <c r="C37" s="110" t="s">
        <v>741</v>
      </c>
      <c r="D37" s="110" t="s">
        <v>742</v>
      </c>
      <c r="E37" s="110" t="s">
        <v>764</v>
      </c>
      <c r="F37" s="110" t="s">
        <v>743</v>
      </c>
      <c r="G37" s="332" t="s">
        <v>412</v>
      </c>
    </row>
    <row r="38" spans="1:7">
      <c r="A38" s="105" t="s">
        <v>765</v>
      </c>
      <c r="B38" s="332" t="s">
        <v>205</v>
      </c>
      <c r="C38" s="110" t="s">
        <v>399</v>
      </c>
      <c r="D38" s="110" t="s">
        <v>746</v>
      </c>
      <c r="E38" s="110" t="s">
        <v>742</v>
      </c>
      <c r="F38" s="110" t="s">
        <v>742</v>
      </c>
      <c r="G38" s="332" t="s">
        <v>729</v>
      </c>
    </row>
    <row r="39" spans="1:7">
      <c r="A39" s="105" t="s">
        <v>766</v>
      </c>
      <c r="B39" s="332" t="s">
        <v>205</v>
      </c>
      <c r="C39" s="110" t="s">
        <v>399</v>
      </c>
      <c r="D39" s="110" t="s">
        <v>746</v>
      </c>
      <c r="E39" s="110" t="s">
        <v>742</v>
      </c>
      <c r="F39" s="110" t="s">
        <v>742</v>
      </c>
      <c r="G39" s="332" t="s">
        <v>715</v>
      </c>
    </row>
    <row r="40" spans="1:7">
      <c r="A40" s="105" t="s">
        <v>767</v>
      </c>
      <c r="B40" s="332" t="s">
        <v>205</v>
      </c>
      <c r="C40" s="110" t="s">
        <v>399</v>
      </c>
      <c r="D40" s="110" t="s">
        <v>746</v>
      </c>
      <c r="E40" s="110" t="s">
        <v>742</v>
      </c>
      <c r="F40" s="110" t="s">
        <v>747</v>
      </c>
      <c r="G40" s="332" t="s">
        <v>713</v>
      </c>
    </row>
    <row r="41" spans="1:7">
      <c r="A41" s="105" t="s">
        <v>768</v>
      </c>
      <c r="B41" s="332" t="s">
        <v>205</v>
      </c>
      <c r="C41" s="110" t="s">
        <v>741</v>
      </c>
      <c r="D41" s="110" t="s">
        <v>742</v>
      </c>
      <c r="E41" s="110" t="s">
        <v>742</v>
      </c>
      <c r="F41" s="110" t="s">
        <v>747</v>
      </c>
      <c r="G41" s="332" t="s">
        <v>713</v>
      </c>
    </row>
    <row r="42" spans="1:7">
      <c r="A42" s="105" t="s">
        <v>769</v>
      </c>
      <c r="B42" s="332" t="s">
        <v>205</v>
      </c>
      <c r="C42" s="110" t="s">
        <v>741</v>
      </c>
      <c r="D42" s="110" t="s">
        <v>742</v>
      </c>
      <c r="E42" s="110" t="s">
        <v>764</v>
      </c>
      <c r="F42" s="110" t="s">
        <v>743</v>
      </c>
      <c r="G42" s="332" t="s">
        <v>412</v>
      </c>
    </row>
    <row r="43" spans="1:7">
      <c r="A43" s="105" t="s">
        <v>770</v>
      </c>
      <c r="B43" s="332" t="s">
        <v>205</v>
      </c>
      <c r="C43" s="110" t="s">
        <v>751</v>
      </c>
      <c r="D43" s="110" t="s">
        <v>746</v>
      </c>
      <c r="E43" s="110" t="s">
        <v>742</v>
      </c>
      <c r="F43" s="110" t="s">
        <v>747</v>
      </c>
      <c r="G43" s="332" t="s">
        <v>729</v>
      </c>
    </row>
    <row r="44" spans="1:7">
      <c r="A44" s="105" t="s">
        <v>396</v>
      </c>
      <c r="B44" s="332" t="s">
        <v>205</v>
      </c>
      <c r="C44" s="110" t="s">
        <v>751</v>
      </c>
      <c r="D44" s="110" t="s">
        <v>746</v>
      </c>
      <c r="E44" s="110" t="s">
        <v>742</v>
      </c>
      <c r="F44" s="110" t="s">
        <v>747</v>
      </c>
      <c r="G44" s="332" t="s">
        <v>721</v>
      </c>
    </row>
    <row r="45" spans="1:7">
      <c r="A45" s="105" t="s">
        <v>771</v>
      </c>
      <c r="B45" s="332" t="s">
        <v>205</v>
      </c>
      <c r="C45" s="110" t="s">
        <v>751</v>
      </c>
      <c r="D45" s="110" t="s">
        <v>746</v>
      </c>
      <c r="E45" s="110" t="s">
        <v>742</v>
      </c>
      <c r="F45" s="110" t="s">
        <v>747</v>
      </c>
      <c r="G45" s="332" t="s">
        <v>721</v>
      </c>
    </row>
    <row r="46" spans="1:7">
      <c r="A46" s="105" t="s">
        <v>772</v>
      </c>
      <c r="B46" s="332" t="s">
        <v>205</v>
      </c>
      <c r="C46" s="110" t="s">
        <v>745</v>
      </c>
      <c r="D46" s="110" t="s">
        <v>746</v>
      </c>
      <c r="E46" s="110" t="s">
        <v>742</v>
      </c>
      <c r="F46" s="110" t="s">
        <v>747</v>
      </c>
      <c r="G46" s="332" t="s">
        <v>721</v>
      </c>
    </row>
    <row r="47" spans="1:7">
      <c r="A47" s="105" t="s">
        <v>773</v>
      </c>
      <c r="B47" s="332" t="s">
        <v>205</v>
      </c>
      <c r="C47" s="110" t="s">
        <v>745</v>
      </c>
      <c r="D47" s="110" t="s">
        <v>746</v>
      </c>
      <c r="E47" s="110" t="s">
        <v>742</v>
      </c>
      <c r="F47" s="110" t="s">
        <v>747</v>
      </c>
      <c r="G47" s="332" t="s">
        <v>721</v>
      </c>
    </row>
    <row r="48" spans="1:7">
      <c r="A48" s="105" t="s">
        <v>395</v>
      </c>
      <c r="B48" s="332" t="s">
        <v>205</v>
      </c>
      <c r="C48" s="110" t="s">
        <v>749</v>
      </c>
      <c r="D48" s="110" t="s">
        <v>746</v>
      </c>
      <c r="E48" s="110" t="s">
        <v>742</v>
      </c>
      <c r="F48" s="110" t="s">
        <v>747</v>
      </c>
      <c r="G48" s="332" t="s">
        <v>721</v>
      </c>
    </row>
    <row r="49" spans="1:7">
      <c r="A49" s="105" t="s">
        <v>774</v>
      </c>
      <c r="B49" s="332" t="s">
        <v>205</v>
      </c>
      <c r="C49" s="110" t="s">
        <v>749</v>
      </c>
      <c r="D49" s="110" t="s">
        <v>746</v>
      </c>
      <c r="E49" s="110" t="s">
        <v>742</v>
      </c>
      <c r="F49" s="110" t="s">
        <v>747</v>
      </c>
      <c r="G49" s="332" t="s">
        <v>721</v>
      </c>
    </row>
    <row r="50" spans="1:7">
      <c r="A50" s="105" t="s">
        <v>397</v>
      </c>
      <c r="B50" s="332" t="s">
        <v>205</v>
      </c>
      <c r="C50" s="110" t="s">
        <v>399</v>
      </c>
      <c r="D50" s="110" t="s">
        <v>746</v>
      </c>
      <c r="E50" s="110" t="s">
        <v>742</v>
      </c>
      <c r="F50" s="110" t="s">
        <v>747</v>
      </c>
      <c r="G50" s="332" t="s">
        <v>721</v>
      </c>
    </row>
    <row r="51" spans="1:7">
      <c r="A51" s="105" t="s">
        <v>775</v>
      </c>
      <c r="B51" s="332" t="s">
        <v>205</v>
      </c>
      <c r="C51" s="110" t="s">
        <v>399</v>
      </c>
      <c r="D51" s="110" t="s">
        <v>746</v>
      </c>
      <c r="E51" s="110" t="s">
        <v>742</v>
      </c>
      <c r="F51" s="110" t="s">
        <v>747</v>
      </c>
      <c r="G51" s="332" t="s">
        <v>721</v>
      </c>
    </row>
    <row r="52" spans="1:7">
      <c r="A52" s="105" t="s">
        <v>776</v>
      </c>
      <c r="B52" s="332" t="s">
        <v>205</v>
      </c>
      <c r="C52" s="110" t="s">
        <v>759</v>
      </c>
      <c r="D52" s="110" t="s">
        <v>746</v>
      </c>
      <c r="E52" s="110" t="s">
        <v>742</v>
      </c>
      <c r="F52" s="110" t="s">
        <v>747</v>
      </c>
      <c r="G52" s="332" t="s">
        <v>721</v>
      </c>
    </row>
    <row r="53" spans="1:7">
      <c r="A53" s="105" t="s">
        <v>777</v>
      </c>
      <c r="B53" s="332" t="s">
        <v>205</v>
      </c>
      <c r="C53" s="110" t="s">
        <v>759</v>
      </c>
      <c r="D53" s="110" t="s">
        <v>746</v>
      </c>
      <c r="E53" s="110" t="s">
        <v>742</v>
      </c>
      <c r="F53" s="110" t="s">
        <v>747</v>
      </c>
      <c r="G53" s="332" t="s">
        <v>721</v>
      </c>
    </row>
    <row r="54" spans="1:7">
      <c r="A54" s="105" t="s">
        <v>778</v>
      </c>
      <c r="B54" s="332" t="s">
        <v>205</v>
      </c>
      <c r="C54" s="110" t="s">
        <v>741</v>
      </c>
      <c r="D54" s="110" t="s">
        <v>742</v>
      </c>
      <c r="E54" s="110" t="s">
        <v>764</v>
      </c>
      <c r="F54" s="110" t="s">
        <v>743</v>
      </c>
      <c r="G54" s="332" t="s">
        <v>412</v>
      </c>
    </row>
    <row r="55" spans="1:7">
      <c r="A55" s="105" t="s">
        <v>779</v>
      </c>
      <c r="B55" s="332" t="s">
        <v>205</v>
      </c>
      <c r="C55" s="110" t="s">
        <v>751</v>
      </c>
      <c r="D55" s="110" t="s">
        <v>746</v>
      </c>
      <c r="E55" s="110" t="s">
        <v>742</v>
      </c>
      <c r="F55" s="110" t="s">
        <v>747</v>
      </c>
      <c r="G55" s="332" t="s">
        <v>724</v>
      </c>
    </row>
    <row r="56" spans="1:7">
      <c r="A56" s="105" t="s">
        <v>780</v>
      </c>
      <c r="B56" s="332" t="s">
        <v>205</v>
      </c>
      <c r="C56" s="110" t="s">
        <v>751</v>
      </c>
      <c r="D56" s="110" t="s">
        <v>746</v>
      </c>
      <c r="E56" s="110" t="s">
        <v>742</v>
      </c>
      <c r="F56" s="110" t="s">
        <v>747</v>
      </c>
      <c r="G56" s="332" t="s">
        <v>724</v>
      </c>
    </row>
    <row r="57" spans="1:7">
      <c r="A57" s="105" t="s">
        <v>781</v>
      </c>
      <c r="B57" s="332" t="s">
        <v>205</v>
      </c>
      <c r="C57" s="110" t="s">
        <v>399</v>
      </c>
      <c r="D57" s="110" t="s">
        <v>746</v>
      </c>
      <c r="E57" s="110" t="s">
        <v>742</v>
      </c>
      <c r="F57" s="110" t="s">
        <v>747</v>
      </c>
      <c r="G57" s="332" t="s">
        <v>715</v>
      </c>
    </row>
    <row r="58" spans="1:7">
      <c r="A58" s="105" t="s">
        <v>782</v>
      </c>
      <c r="B58" s="332" t="s">
        <v>205</v>
      </c>
      <c r="C58" s="110" t="s">
        <v>741</v>
      </c>
      <c r="D58" s="110" t="s">
        <v>742</v>
      </c>
      <c r="E58" s="110" t="s">
        <v>742</v>
      </c>
      <c r="F58" s="110" t="s">
        <v>747</v>
      </c>
      <c r="G58" s="332" t="s">
        <v>783</v>
      </c>
    </row>
    <row r="59" spans="1:7">
      <c r="A59" s="105" t="s">
        <v>784</v>
      </c>
      <c r="B59" s="332" t="s">
        <v>205</v>
      </c>
      <c r="C59" s="110" t="s">
        <v>749</v>
      </c>
      <c r="D59" s="110" t="s">
        <v>746</v>
      </c>
      <c r="E59" s="110" t="s">
        <v>742</v>
      </c>
      <c r="F59" s="110" t="s">
        <v>742</v>
      </c>
      <c r="G59" s="332" t="s">
        <v>729</v>
      </c>
    </row>
    <row r="60" spans="1:7">
      <c r="A60" s="105" t="s">
        <v>785</v>
      </c>
      <c r="B60" s="332" t="s">
        <v>205</v>
      </c>
      <c r="C60" s="110" t="s">
        <v>749</v>
      </c>
      <c r="D60" s="110" t="s">
        <v>746</v>
      </c>
      <c r="E60" s="110" t="s">
        <v>742</v>
      </c>
      <c r="F60" s="110" t="s">
        <v>747</v>
      </c>
      <c r="G60" s="332" t="s">
        <v>713</v>
      </c>
    </row>
    <row r="61" spans="1:7">
      <c r="A61" s="105" t="s">
        <v>786</v>
      </c>
      <c r="B61" s="332" t="s">
        <v>205</v>
      </c>
      <c r="C61" s="110" t="s">
        <v>745</v>
      </c>
      <c r="D61" s="110" t="s">
        <v>746</v>
      </c>
      <c r="E61" s="110" t="s">
        <v>742</v>
      </c>
      <c r="F61" s="110" t="s">
        <v>747</v>
      </c>
      <c r="G61" s="332" t="s">
        <v>724</v>
      </c>
    </row>
    <row r="62" spans="1:7">
      <c r="A62" s="105" t="s">
        <v>787</v>
      </c>
      <c r="B62" s="332" t="s">
        <v>205</v>
      </c>
      <c r="C62" s="110" t="s">
        <v>399</v>
      </c>
      <c r="D62" s="110" t="s">
        <v>746</v>
      </c>
      <c r="E62" s="110" t="s">
        <v>742</v>
      </c>
      <c r="F62" s="110" t="s">
        <v>742</v>
      </c>
      <c r="G62" s="332" t="s">
        <v>788</v>
      </c>
    </row>
    <row r="63" spans="1:7">
      <c r="A63" s="105" t="s">
        <v>789</v>
      </c>
      <c r="B63" s="332" t="s">
        <v>205</v>
      </c>
      <c r="C63" s="110" t="s">
        <v>399</v>
      </c>
      <c r="D63" s="110" t="s">
        <v>746</v>
      </c>
      <c r="E63" s="110" t="s">
        <v>742</v>
      </c>
      <c r="F63" s="110" t="s">
        <v>743</v>
      </c>
      <c r="G63" s="332" t="s">
        <v>788</v>
      </c>
    </row>
    <row r="64" spans="1:7">
      <c r="A64" s="105" t="s">
        <v>790</v>
      </c>
      <c r="B64" s="332" t="s">
        <v>205</v>
      </c>
      <c r="C64" s="110" t="s">
        <v>741</v>
      </c>
      <c r="D64" s="110" t="s">
        <v>742</v>
      </c>
      <c r="E64" s="110" t="s">
        <v>742</v>
      </c>
      <c r="F64" s="110" t="s">
        <v>747</v>
      </c>
      <c r="G64" s="332" t="s">
        <v>729</v>
      </c>
    </row>
    <row r="65" spans="1:7">
      <c r="A65" s="105" t="s">
        <v>791</v>
      </c>
      <c r="B65" s="332" t="s">
        <v>205</v>
      </c>
      <c r="C65" s="110" t="s">
        <v>741</v>
      </c>
      <c r="D65" s="110" t="s">
        <v>742</v>
      </c>
      <c r="E65" s="110" t="s">
        <v>742</v>
      </c>
      <c r="F65" s="110" t="s">
        <v>747</v>
      </c>
      <c r="G65" s="332" t="s">
        <v>713</v>
      </c>
    </row>
    <row r="66" spans="1:7">
      <c r="A66" s="105" t="s">
        <v>792</v>
      </c>
      <c r="B66" s="332" t="s">
        <v>205</v>
      </c>
      <c r="C66" s="110" t="s">
        <v>741</v>
      </c>
      <c r="D66" s="110" t="s">
        <v>742</v>
      </c>
      <c r="E66" s="110" t="s">
        <v>742</v>
      </c>
      <c r="F66" s="110" t="s">
        <v>747</v>
      </c>
      <c r="G66" s="332" t="s">
        <v>729</v>
      </c>
    </row>
    <row r="67" spans="1:7">
      <c r="A67" s="105" t="s">
        <v>793</v>
      </c>
      <c r="B67" s="332" t="s">
        <v>794</v>
      </c>
      <c r="C67" s="110" t="s">
        <v>745</v>
      </c>
      <c r="D67" s="110" t="s">
        <v>746</v>
      </c>
      <c r="E67" s="110" t="s">
        <v>742</v>
      </c>
      <c r="F67" s="110" t="s">
        <v>747</v>
      </c>
      <c r="G67" s="332" t="s">
        <v>783</v>
      </c>
    </row>
    <row r="68" spans="1:7">
      <c r="A68" s="105" t="s">
        <v>795</v>
      </c>
      <c r="B68" s="332" t="s">
        <v>205</v>
      </c>
      <c r="C68" s="110" t="s">
        <v>751</v>
      </c>
      <c r="D68" s="110" t="s">
        <v>746</v>
      </c>
      <c r="E68" s="110" t="s">
        <v>742</v>
      </c>
      <c r="F68" s="110" t="s">
        <v>796</v>
      </c>
      <c r="G68" s="332" t="s">
        <v>412</v>
      </c>
    </row>
    <row r="69" spans="1:7">
      <c r="A69" s="105" t="s">
        <v>797</v>
      </c>
      <c r="B69" s="332" t="s">
        <v>205</v>
      </c>
      <c r="C69" s="110" t="s">
        <v>751</v>
      </c>
      <c r="D69" s="110" t="s">
        <v>746</v>
      </c>
      <c r="E69" s="110" t="s">
        <v>742</v>
      </c>
      <c r="F69" s="110" t="s">
        <v>747</v>
      </c>
      <c r="G69" s="332" t="s">
        <v>713</v>
      </c>
    </row>
    <row r="70" spans="1:7">
      <c r="A70" s="105" t="s">
        <v>798</v>
      </c>
      <c r="B70" s="332" t="s">
        <v>205</v>
      </c>
      <c r="C70" s="110" t="s">
        <v>749</v>
      </c>
      <c r="D70" s="110" t="s">
        <v>746</v>
      </c>
      <c r="E70" s="110" t="s">
        <v>742</v>
      </c>
      <c r="F70" s="110" t="s">
        <v>747</v>
      </c>
      <c r="G70" s="332" t="s">
        <v>713</v>
      </c>
    </row>
    <row r="71" spans="1:7">
      <c r="A71" s="105" t="s">
        <v>799</v>
      </c>
      <c r="B71" s="332" t="s">
        <v>205</v>
      </c>
      <c r="C71" s="110" t="s">
        <v>399</v>
      </c>
      <c r="D71" s="110" t="s">
        <v>746</v>
      </c>
      <c r="E71" s="110" t="s">
        <v>742</v>
      </c>
      <c r="F71" s="110" t="s">
        <v>742</v>
      </c>
      <c r="G71" s="332" t="s">
        <v>715</v>
      </c>
    </row>
    <row r="72" spans="1:7">
      <c r="A72" s="105" t="s">
        <v>800</v>
      </c>
      <c r="B72" s="332" t="s">
        <v>205</v>
      </c>
      <c r="C72" s="110" t="s">
        <v>399</v>
      </c>
      <c r="D72" s="110" t="s">
        <v>746</v>
      </c>
      <c r="E72" s="110" t="s">
        <v>742</v>
      </c>
      <c r="F72" s="110" t="s">
        <v>743</v>
      </c>
      <c r="G72" s="332" t="s">
        <v>715</v>
      </c>
    </row>
    <row r="73" spans="1:7">
      <c r="A73" s="105" t="s">
        <v>801</v>
      </c>
      <c r="B73" s="332" t="s">
        <v>205</v>
      </c>
      <c r="C73" s="110" t="s">
        <v>745</v>
      </c>
      <c r="D73" s="110" t="s">
        <v>746</v>
      </c>
      <c r="E73" s="110" t="s">
        <v>742</v>
      </c>
      <c r="F73" s="110" t="s">
        <v>747</v>
      </c>
      <c r="G73" s="332" t="s">
        <v>721</v>
      </c>
    </row>
    <row r="74" spans="1:7">
      <c r="A74" s="105" t="s">
        <v>802</v>
      </c>
      <c r="B74" s="332" t="s">
        <v>205</v>
      </c>
      <c r="C74" s="110" t="s">
        <v>745</v>
      </c>
      <c r="D74" s="110" t="s">
        <v>746</v>
      </c>
      <c r="E74" s="110" t="s">
        <v>742</v>
      </c>
      <c r="F74" s="110" t="s">
        <v>747</v>
      </c>
      <c r="G74" s="332" t="s">
        <v>724</v>
      </c>
    </row>
    <row r="75" spans="1:7">
      <c r="A75" s="105" t="s">
        <v>803</v>
      </c>
      <c r="B75" s="332" t="s">
        <v>205</v>
      </c>
      <c r="C75" s="110" t="s">
        <v>741</v>
      </c>
      <c r="D75" s="110" t="s">
        <v>742</v>
      </c>
      <c r="E75" s="110" t="s">
        <v>742</v>
      </c>
      <c r="F75" s="110" t="s">
        <v>743</v>
      </c>
      <c r="G75" s="332" t="s">
        <v>724</v>
      </c>
    </row>
    <row r="76" spans="1:7">
      <c r="A76" s="105" t="s">
        <v>804</v>
      </c>
      <c r="B76" s="332" t="s">
        <v>205</v>
      </c>
      <c r="C76" s="110" t="s">
        <v>741</v>
      </c>
      <c r="D76" s="110" t="s">
        <v>742</v>
      </c>
      <c r="E76" s="110" t="s">
        <v>742</v>
      </c>
      <c r="F76" s="110" t="s">
        <v>747</v>
      </c>
      <c r="G76" s="332" t="s">
        <v>788</v>
      </c>
    </row>
    <row r="77" spans="1:7">
      <c r="A77" s="105" t="s">
        <v>805</v>
      </c>
      <c r="B77" s="332" t="s">
        <v>205</v>
      </c>
      <c r="C77" s="110" t="s">
        <v>741</v>
      </c>
      <c r="D77" s="110" t="s">
        <v>742</v>
      </c>
      <c r="E77" s="110" t="s">
        <v>742</v>
      </c>
      <c r="F77" s="110" t="s">
        <v>747</v>
      </c>
      <c r="G77" s="332" t="s">
        <v>729</v>
      </c>
    </row>
    <row r="78" spans="1:7">
      <c r="A78" s="105" t="s">
        <v>806</v>
      </c>
      <c r="B78" s="332" t="s">
        <v>205</v>
      </c>
      <c r="C78" s="110" t="s">
        <v>741</v>
      </c>
      <c r="D78" s="110" t="s">
        <v>742</v>
      </c>
      <c r="E78" s="110" t="s">
        <v>742</v>
      </c>
      <c r="F78" s="110" t="s">
        <v>747</v>
      </c>
      <c r="G78" s="332" t="s">
        <v>729</v>
      </c>
    </row>
    <row r="79" spans="1:7">
      <c r="A79" s="105" t="s">
        <v>807</v>
      </c>
      <c r="B79" s="332" t="s">
        <v>205</v>
      </c>
      <c r="C79" s="110" t="s">
        <v>745</v>
      </c>
      <c r="D79" s="110" t="s">
        <v>746</v>
      </c>
      <c r="E79" s="110" t="s">
        <v>742</v>
      </c>
      <c r="F79" s="110" t="s">
        <v>747</v>
      </c>
      <c r="G79" s="332" t="s">
        <v>721</v>
      </c>
    </row>
    <row r="80" spans="1:7">
      <c r="A80" s="105" t="s">
        <v>808</v>
      </c>
      <c r="B80" s="332" t="s">
        <v>205</v>
      </c>
      <c r="C80" s="110" t="s">
        <v>749</v>
      </c>
      <c r="D80" s="110" t="s">
        <v>746</v>
      </c>
      <c r="E80" s="110" t="s">
        <v>742</v>
      </c>
      <c r="F80" s="110" t="s">
        <v>742</v>
      </c>
      <c r="G80" s="332" t="s">
        <v>724</v>
      </c>
    </row>
    <row r="81" spans="1:7">
      <c r="A81" s="105" t="s">
        <v>809</v>
      </c>
      <c r="B81" s="332" t="s">
        <v>205</v>
      </c>
      <c r="C81" s="110" t="s">
        <v>399</v>
      </c>
      <c r="D81" s="110" t="s">
        <v>746</v>
      </c>
      <c r="E81" s="110" t="s">
        <v>742</v>
      </c>
      <c r="F81" s="110" t="s">
        <v>747</v>
      </c>
      <c r="G81" s="332" t="s">
        <v>788</v>
      </c>
    </row>
    <row r="82" spans="1:7">
      <c r="A82" s="105" t="s">
        <v>810</v>
      </c>
      <c r="B82" s="332" t="s">
        <v>205</v>
      </c>
      <c r="C82" s="110" t="s">
        <v>749</v>
      </c>
      <c r="D82" s="110" t="s">
        <v>746</v>
      </c>
      <c r="E82" s="110" t="s">
        <v>742</v>
      </c>
      <c r="F82" s="110" t="s">
        <v>747</v>
      </c>
      <c r="G82" s="332" t="s">
        <v>724</v>
      </c>
    </row>
    <row r="83" spans="1:7">
      <c r="A83" s="105" t="s">
        <v>811</v>
      </c>
      <c r="B83" s="332" t="s">
        <v>205</v>
      </c>
      <c r="C83" s="110" t="s">
        <v>749</v>
      </c>
      <c r="D83" s="110" t="s">
        <v>746</v>
      </c>
      <c r="E83" s="110" t="s">
        <v>742</v>
      </c>
      <c r="F83" s="110" t="s">
        <v>742</v>
      </c>
      <c r="G83" s="332" t="s">
        <v>412</v>
      </c>
    </row>
    <row r="84" spans="1:7">
      <c r="A84" s="105" t="s">
        <v>812</v>
      </c>
      <c r="B84" s="332" t="s">
        <v>205</v>
      </c>
      <c r="C84" s="110" t="s">
        <v>745</v>
      </c>
      <c r="D84" s="110" t="s">
        <v>746</v>
      </c>
      <c r="E84" s="110" t="s">
        <v>742</v>
      </c>
      <c r="F84" s="110" t="s">
        <v>747</v>
      </c>
      <c r="G84" s="332" t="s">
        <v>724</v>
      </c>
    </row>
    <row r="85" spans="1:7">
      <c r="A85" s="105" t="s">
        <v>813</v>
      </c>
      <c r="B85" s="332" t="s">
        <v>205</v>
      </c>
      <c r="C85" s="110" t="s">
        <v>741</v>
      </c>
      <c r="D85" s="110" t="s">
        <v>742</v>
      </c>
      <c r="E85" s="110" t="s">
        <v>742</v>
      </c>
      <c r="F85" s="110" t="s">
        <v>747</v>
      </c>
      <c r="G85" s="332" t="s">
        <v>713</v>
      </c>
    </row>
    <row r="86" spans="1:7">
      <c r="A86" s="105" t="s">
        <v>814</v>
      </c>
      <c r="B86" s="332" t="s">
        <v>205</v>
      </c>
      <c r="C86" s="110" t="s">
        <v>745</v>
      </c>
      <c r="D86" s="110" t="s">
        <v>746</v>
      </c>
      <c r="E86" s="110" t="s">
        <v>742</v>
      </c>
      <c r="F86" s="110" t="s">
        <v>747</v>
      </c>
      <c r="G86" s="332" t="s">
        <v>721</v>
      </c>
    </row>
  </sheetData>
  <sheetProtection algorithmName="SHA-512" hashValue="E2Y+MBzH6zVqEMPE9ThDmCt6JMvRAcXacy7ykQ4mr0OlzDgUen4CsUOZ8mGtCJZSY9CInsRDd0iGDc/ZzFuTYw==" saltValue="IJ57+LCewbIdrLXc5ZeuCw==" spinCount="100000" sheet="1" objects="1" scenarios="1" formatCells="0" formatColumns="0" formatRows="0"/>
  <autoFilter ref="A1:I1" xr:uid="{73F83B0E-10DB-473D-91B5-075E5341D15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A68A7-6937-46B4-885A-4B175232798A}">
  <dimension ref="A1:P31"/>
  <sheetViews>
    <sheetView workbookViewId="0">
      <selection activeCell="H19" sqref="H19"/>
    </sheetView>
  </sheetViews>
  <sheetFormatPr defaultColWidth="8.9140625" defaultRowHeight="14"/>
  <cols>
    <col min="1" max="1" width="20.08203125" style="48" customWidth="1"/>
    <col min="2" max="2" width="13.08203125" style="48" customWidth="1"/>
    <col min="3" max="3" width="12" style="48" customWidth="1"/>
    <col min="4" max="4" width="10.58203125" style="48" customWidth="1"/>
    <col min="5" max="5" width="11.25" style="48" customWidth="1"/>
    <col min="6" max="6" width="11.6640625" style="48" customWidth="1"/>
    <col min="7" max="8" width="8" style="48" bestFit="1" customWidth="1"/>
    <col min="9" max="9" width="9.6640625" style="48" customWidth="1"/>
    <col min="10" max="10" width="8.4140625" style="48" customWidth="1"/>
    <col min="11" max="11" width="10.25" style="48" customWidth="1"/>
    <col min="12" max="12" width="10.6640625" style="48" customWidth="1"/>
    <col min="13" max="14" width="8" style="48" bestFit="1" customWidth="1"/>
    <col min="15" max="15" width="8.08203125" style="48" bestFit="1" customWidth="1"/>
    <col min="16" max="16" width="8.33203125" style="48" bestFit="1" customWidth="1"/>
    <col min="17" max="16384" width="8.9140625" style="48"/>
  </cols>
  <sheetData>
    <row r="1" spans="1:16" s="37" customFormat="1">
      <c r="A1" s="331" t="s">
        <v>815</v>
      </c>
      <c r="B1" s="331" t="s">
        <v>816</v>
      </c>
      <c r="C1" s="331" t="s">
        <v>817</v>
      </c>
      <c r="D1" s="331" t="s">
        <v>818</v>
      </c>
      <c r="E1" s="331" t="s">
        <v>819</v>
      </c>
      <c r="F1" s="331" t="s">
        <v>820</v>
      </c>
      <c r="G1" s="331" t="s">
        <v>821</v>
      </c>
      <c r="H1" s="331" t="s">
        <v>822</v>
      </c>
      <c r="I1" s="331" t="s">
        <v>823</v>
      </c>
      <c r="J1" s="331" t="s">
        <v>824</v>
      </c>
      <c r="K1" s="331" t="s">
        <v>825</v>
      </c>
      <c r="L1" s="331" t="s">
        <v>826</v>
      </c>
      <c r="M1" s="331" t="s">
        <v>827</v>
      </c>
      <c r="N1" s="331" t="s">
        <v>828</v>
      </c>
      <c r="O1" s="331" t="s">
        <v>829</v>
      </c>
      <c r="P1" s="331" t="s">
        <v>830</v>
      </c>
    </row>
    <row r="2" spans="1:16">
      <c r="A2" s="104" t="s">
        <v>831</v>
      </c>
      <c r="B2" s="104">
        <v>492</v>
      </c>
      <c r="C2" s="104">
        <v>492</v>
      </c>
      <c r="D2" s="104">
        <v>0</v>
      </c>
      <c r="E2" s="104">
        <v>0.45</v>
      </c>
      <c r="F2" s="104">
        <v>0.45</v>
      </c>
      <c r="G2" s="104">
        <v>1.0000000000000001E-30</v>
      </c>
      <c r="H2" s="104">
        <v>1023.36</v>
      </c>
      <c r="I2" s="104"/>
      <c r="J2" s="104"/>
      <c r="K2" s="104">
        <v>402</v>
      </c>
      <c r="L2" s="104">
        <v>0</v>
      </c>
      <c r="M2" s="104">
        <v>0</v>
      </c>
      <c r="N2" s="104">
        <v>0</v>
      </c>
      <c r="O2" s="104"/>
      <c r="P2" s="104"/>
    </row>
    <row r="3" spans="1:16">
      <c r="A3" s="104" t="s">
        <v>532</v>
      </c>
      <c r="B3" s="104">
        <v>492</v>
      </c>
      <c r="C3" s="104">
        <v>36</v>
      </c>
      <c r="D3" s="104">
        <v>0</v>
      </c>
      <c r="E3" s="104">
        <v>0.45</v>
      </c>
      <c r="F3" s="104">
        <v>0.45</v>
      </c>
      <c r="G3" s="104">
        <v>107.01</v>
      </c>
      <c r="H3" s="104">
        <v>74.88</v>
      </c>
      <c r="I3" s="104"/>
      <c r="J3" s="104"/>
      <c r="K3" s="104">
        <v>402</v>
      </c>
      <c r="L3" s="104">
        <v>0</v>
      </c>
      <c r="M3" s="104">
        <v>0</v>
      </c>
      <c r="N3" s="104">
        <v>0</v>
      </c>
      <c r="O3" s="104"/>
      <c r="P3" s="104"/>
    </row>
    <row r="4" spans="1:16">
      <c r="A4" s="104" t="s">
        <v>263</v>
      </c>
      <c r="B4" s="104">
        <v>492</v>
      </c>
      <c r="C4" s="104">
        <v>24</v>
      </c>
      <c r="D4" s="104">
        <v>0</v>
      </c>
      <c r="E4" s="104">
        <v>0.45</v>
      </c>
      <c r="F4" s="104">
        <v>0.45</v>
      </c>
      <c r="G4" s="104">
        <v>108.97799999999999</v>
      </c>
      <c r="H4" s="104">
        <v>49.92</v>
      </c>
      <c r="I4" s="104"/>
      <c r="J4" s="104"/>
      <c r="K4" s="104">
        <v>402</v>
      </c>
      <c r="L4" s="104">
        <v>0</v>
      </c>
      <c r="M4" s="104">
        <v>0</v>
      </c>
      <c r="N4" s="104">
        <v>0</v>
      </c>
      <c r="O4" s="104"/>
      <c r="P4" s="104"/>
    </row>
    <row r="5" spans="1:16">
      <c r="A5" s="104" t="s">
        <v>228</v>
      </c>
      <c r="B5" s="104">
        <v>492</v>
      </c>
      <c r="C5" s="104">
        <v>15</v>
      </c>
      <c r="D5" s="104">
        <v>0</v>
      </c>
      <c r="E5" s="104">
        <v>0.45</v>
      </c>
      <c r="F5" s="104">
        <v>0.45</v>
      </c>
      <c r="G5" s="104">
        <v>107.01</v>
      </c>
      <c r="H5" s="104">
        <v>31.2</v>
      </c>
      <c r="I5" s="104"/>
      <c r="J5" s="104"/>
      <c r="K5" s="104">
        <v>402</v>
      </c>
      <c r="L5" s="104">
        <v>0</v>
      </c>
      <c r="M5" s="104">
        <v>0</v>
      </c>
      <c r="N5" s="104">
        <v>0</v>
      </c>
      <c r="O5" s="104"/>
      <c r="P5" s="104"/>
    </row>
    <row r="6" spans="1:16">
      <c r="A6" s="104" t="s">
        <v>832</v>
      </c>
      <c r="B6" s="104">
        <v>492</v>
      </c>
      <c r="C6" s="104">
        <v>50</v>
      </c>
      <c r="D6" s="104">
        <v>0</v>
      </c>
      <c r="E6" s="104">
        <v>0.45</v>
      </c>
      <c r="F6" s="104">
        <v>0.45</v>
      </c>
      <c r="G6" s="104">
        <v>108.97799999999999</v>
      </c>
      <c r="H6" s="104">
        <v>104</v>
      </c>
      <c r="I6" s="104"/>
      <c r="J6" s="104"/>
      <c r="K6" s="104">
        <v>402</v>
      </c>
      <c r="L6" s="104">
        <v>0</v>
      </c>
      <c r="M6" s="104">
        <v>0</v>
      </c>
      <c r="N6" s="104">
        <v>0</v>
      </c>
      <c r="O6" s="104"/>
      <c r="P6" s="104"/>
    </row>
    <row r="7" spans="1:16">
      <c r="A7" s="104" t="s">
        <v>411</v>
      </c>
      <c r="B7" s="104">
        <v>492</v>
      </c>
      <c r="C7" s="104">
        <v>8</v>
      </c>
      <c r="D7" s="104">
        <v>0</v>
      </c>
      <c r="E7" s="104">
        <v>0.45</v>
      </c>
      <c r="F7" s="104">
        <v>0.45</v>
      </c>
      <c r="G7" s="104">
        <v>107.01</v>
      </c>
      <c r="H7" s="104">
        <v>16.64</v>
      </c>
      <c r="I7" s="104"/>
      <c r="J7" s="104"/>
      <c r="K7" s="104">
        <v>402</v>
      </c>
      <c r="L7" s="104">
        <v>0</v>
      </c>
      <c r="M7" s="104">
        <v>0</v>
      </c>
      <c r="N7" s="104">
        <v>0</v>
      </c>
      <c r="O7" s="104"/>
      <c r="P7" s="104"/>
    </row>
    <row r="8" spans="1:16">
      <c r="A8" s="104" t="s">
        <v>313</v>
      </c>
      <c r="B8" s="104">
        <v>492</v>
      </c>
      <c r="C8" s="104">
        <v>20</v>
      </c>
      <c r="D8" s="104">
        <v>0</v>
      </c>
      <c r="E8" s="104">
        <v>0.45</v>
      </c>
      <c r="F8" s="104">
        <v>0.45</v>
      </c>
      <c r="G8" s="104">
        <v>107.01</v>
      </c>
      <c r="H8" s="104">
        <v>41.6</v>
      </c>
      <c r="I8" s="104"/>
      <c r="J8" s="104"/>
      <c r="K8" s="104">
        <v>402</v>
      </c>
      <c r="L8" s="104">
        <v>0</v>
      </c>
      <c r="M8" s="104">
        <v>0</v>
      </c>
      <c r="N8" s="104">
        <v>0</v>
      </c>
      <c r="O8" s="104"/>
      <c r="P8" s="104"/>
    </row>
    <row r="9" spans="1:16">
      <c r="A9" s="104" t="s">
        <v>267</v>
      </c>
      <c r="B9" s="104">
        <v>492</v>
      </c>
      <c r="C9" s="104">
        <v>90</v>
      </c>
      <c r="D9" s="104">
        <v>0</v>
      </c>
      <c r="E9" s="104">
        <v>0.45</v>
      </c>
      <c r="F9" s="104">
        <v>0.45</v>
      </c>
      <c r="G9" s="104">
        <v>108.97799999999999</v>
      </c>
      <c r="H9" s="104">
        <v>187.2</v>
      </c>
      <c r="I9" s="104"/>
      <c r="J9" s="104"/>
      <c r="K9" s="104">
        <v>402</v>
      </c>
      <c r="L9" s="104">
        <v>0</v>
      </c>
      <c r="M9" s="104">
        <v>0</v>
      </c>
      <c r="N9" s="104">
        <v>0</v>
      </c>
      <c r="O9" s="104"/>
      <c r="P9" s="104"/>
    </row>
    <row r="10" spans="1:16">
      <c r="A10" s="104" t="s">
        <v>783</v>
      </c>
      <c r="B10" s="104">
        <v>1400</v>
      </c>
      <c r="C10" s="104">
        <v>50</v>
      </c>
      <c r="D10" s="104">
        <v>0</v>
      </c>
      <c r="E10" s="104">
        <v>1.5</v>
      </c>
      <c r="F10" s="104">
        <v>1.5</v>
      </c>
      <c r="G10" s="104">
        <v>883.4</v>
      </c>
      <c r="H10" s="104">
        <v>104</v>
      </c>
      <c r="I10" s="104"/>
      <c r="J10" s="104"/>
      <c r="K10" s="104">
        <v>402</v>
      </c>
      <c r="L10" s="104">
        <v>0</v>
      </c>
      <c r="M10" s="104">
        <v>0</v>
      </c>
      <c r="N10" s="104">
        <v>0</v>
      </c>
      <c r="O10" s="104"/>
      <c r="P10" s="104"/>
    </row>
    <row r="11" spans="1:16">
      <c r="A11" s="104" t="s">
        <v>833</v>
      </c>
      <c r="B11" s="104">
        <v>2800</v>
      </c>
      <c r="C11" s="104">
        <v>50</v>
      </c>
      <c r="D11" s="104">
        <v>0</v>
      </c>
      <c r="E11" s="104">
        <v>1.5</v>
      </c>
      <c r="F11" s="104">
        <v>1.5</v>
      </c>
      <c r="G11" s="104">
        <v>0</v>
      </c>
      <c r="H11" s="104">
        <v>104</v>
      </c>
      <c r="I11" s="104"/>
      <c r="J11" s="104"/>
      <c r="K11" s="104">
        <v>402</v>
      </c>
      <c r="L11" s="104">
        <v>0</v>
      </c>
      <c r="M11" s="104">
        <v>0</v>
      </c>
      <c r="N11" s="104">
        <v>0</v>
      </c>
      <c r="O11" s="104"/>
      <c r="P11" s="104"/>
    </row>
    <row r="12" spans="1:16">
      <c r="A12" s="104" t="s">
        <v>834</v>
      </c>
      <c r="B12" s="104">
        <v>2.4</v>
      </c>
      <c r="C12" s="104">
        <v>2.4</v>
      </c>
      <c r="D12" s="104">
        <v>0</v>
      </c>
      <c r="E12" s="104">
        <v>12.5</v>
      </c>
      <c r="F12" s="104">
        <v>12.5</v>
      </c>
      <c r="G12" s="104">
        <v>9.4871999999999996</v>
      </c>
      <c r="H12" s="104">
        <v>4.992</v>
      </c>
      <c r="I12" s="104"/>
      <c r="J12" s="104"/>
      <c r="K12" s="104">
        <v>402</v>
      </c>
      <c r="L12" s="104">
        <v>0</v>
      </c>
      <c r="M12" s="104">
        <v>0</v>
      </c>
      <c r="N12" s="104">
        <v>0</v>
      </c>
      <c r="O12" s="104"/>
      <c r="P12" s="104"/>
    </row>
    <row r="13" spans="1:16">
      <c r="A13" s="104" t="s">
        <v>412</v>
      </c>
      <c r="B13" s="104">
        <v>1E+100</v>
      </c>
      <c r="C13" s="104">
        <v>492</v>
      </c>
      <c r="D13" s="104">
        <v>1327</v>
      </c>
      <c r="E13" s="104">
        <v>0.45</v>
      </c>
      <c r="F13" s="104">
        <v>0</v>
      </c>
      <c r="G13" s="104">
        <v>1.0000000000000001E-30</v>
      </c>
      <c r="H13" s="104">
        <v>1023.36</v>
      </c>
      <c r="I13" s="104"/>
      <c r="J13" s="104"/>
      <c r="K13" s="104">
        <v>402</v>
      </c>
      <c r="L13" s="104">
        <v>1.4999999999999999E-2</v>
      </c>
      <c r="M13" s="104">
        <v>2600</v>
      </c>
      <c r="N13" s="104">
        <v>0.2</v>
      </c>
      <c r="O13" s="104"/>
      <c r="P13" s="104"/>
    </row>
    <row r="16" spans="1:16">
      <c r="B16" s="37"/>
      <c r="C16" s="74"/>
      <c r="D16" s="74"/>
      <c r="E16" s="74"/>
      <c r="F16" s="74"/>
      <c r="G16" s="74"/>
      <c r="H16" s="74"/>
      <c r="I16" s="74"/>
      <c r="J16" s="74"/>
      <c r="K16" s="74"/>
      <c r="L16" s="74"/>
      <c r="M16" s="74"/>
      <c r="N16" s="74"/>
    </row>
    <row r="17" spans="2:2">
      <c r="B17" s="37"/>
    </row>
    <row r="18" spans="2:2">
      <c r="B18" s="37"/>
    </row>
    <row r="19" spans="2:2">
      <c r="B19" s="37"/>
    </row>
    <row r="20" spans="2:2">
      <c r="B20" s="37"/>
    </row>
    <row r="21" spans="2:2">
      <c r="B21" s="37"/>
    </row>
    <row r="22" spans="2:2">
      <c r="B22" s="37"/>
    </row>
    <row r="23" spans="2:2">
      <c r="B23" s="37"/>
    </row>
    <row r="24" spans="2:2">
      <c r="B24" s="37"/>
    </row>
    <row r="25" spans="2:2">
      <c r="B25" s="37"/>
    </row>
    <row r="26" spans="2:2">
      <c r="B26" s="37"/>
    </row>
    <row r="27" spans="2:2">
      <c r="B27" s="37"/>
    </row>
    <row r="28" spans="2:2">
      <c r="B28" s="37"/>
    </row>
    <row r="29" spans="2:2">
      <c r="B29" s="37"/>
    </row>
    <row r="30" spans="2:2">
      <c r="B30" s="37"/>
    </row>
    <row r="31" spans="2:2">
      <c r="B31" s="37"/>
    </row>
  </sheetData>
  <sheetProtection algorithmName="SHA-512" hashValue="lkSaFDOMwzIaZGZZkxyteZ9oGHBa5/kVABv3B8dCizsZlrFwkwflCbzzmqSU8E7Lmms4j47fuRb/wiRT5dgmJA==" saltValue="nbPpDAaYR8Y6QXnWJ6aBCw==" spinCount="100000" sheet="1" objects="1" scenarios="1" formatCells="0" formatColumns="0" formatRow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81A45-20CB-4B88-B89E-69B284A4BFF8}">
  <dimension ref="A1:H26"/>
  <sheetViews>
    <sheetView zoomScale="80" zoomScaleNormal="80" workbookViewId="0">
      <selection activeCell="Q11" sqref="Q11"/>
    </sheetView>
  </sheetViews>
  <sheetFormatPr defaultColWidth="9.08203125" defaultRowHeight="15.5"/>
  <cols>
    <col min="1" max="1" width="26" style="66" customWidth="1"/>
    <col min="2" max="2" width="19.4140625" style="66" customWidth="1"/>
    <col min="3" max="16384" width="9.08203125" style="66"/>
  </cols>
  <sheetData>
    <row r="1" spans="1:8" ht="17.5">
      <c r="A1" s="602" t="s">
        <v>4</v>
      </c>
      <c r="B1" s="602"/>
    </row>
    <row r="2" spans="1:8" s="71" customFormat="1">
      <c r="A2" s="72" t="s">
        <v>5</v>
      </c>
      <c r="B2" s="604" t="s">
        <v>836</v>
      </c>
      <c r="C2" s="605"/>
      <c r="D2" s="605"/>
      <c r="E2" s="605"/>
      <c r="F2" s="605"/>
      <c r="G2" s="605"/>
      <c r="H2" s="606"/>
    </row>
    <row r="3" spans="1:8" s="71" customFormat="1" ht="46.75" customHeight="1">
      <c r="A3" s="73" t="s">
        <v>6</v>
      </c>
      <c r="B3" s="603" t="s">
        <v>7</v>
      </c>
      <c r="C3" s="603"/>
      <c r="D3" s="603"/>
      <c r="E3" s="603"/>
      <c r="F3" s="603"/>
      <c r="G3" s="603"/>
      <c r="H3" s="603"/>
    </row>
    <row r="4" spans="1:8" s="71" customFormat="1" ht="31.25" customHeight="1">
      <c r="A4" s="73" t="s">
        <v>8</v>
      </c>
      <c r="B4" s="607" t="s">
        <v>9</v>
      </c>
      <c r="C4" s="607"/>
      <c r="D4" s="607"/>
      <c r="E4" s="607"/>
      <c r="F4" s="607"/>
      <c r="G4" s="607"/>
      <c r="H4" s="607"/>
    </row>
    <row r="5" spans="1:8" s="71" customFormat="1">
      <c r="A5" s="73" t="s">
        <v>10</v>
      </c>
      <c r="B5" s="599" t="s">
        <v>11</v>
      </c>
      <c r="C5" s="599"/>
      <c r="D5" s="599"/>
      <c r="E5" s="599"/>
      <c r="F5" s="599"/>
      <c r="G5" s="599"/>
      <c r="H5" s="599"/>
    </row>
    <row r="6" spans="1:8" s="71" customFormat="1">
      <c r="A6" s="73" t="s">
        <v>12</v>
      </c>
      <c r="B6" s="599" t="s">
        <v>13</v>
      </c>
      <c r="C6" s="599"/>
      <c r="D6" s="599"/>
      <c r="E6" s="599"/>
      <c r="F6" s="599"/>
      <c r="G6" s="599"/>
      <c r="H6" s="599"/>
    </row>
    <row r="7" spans="1:8" s="71" customFormat="1">
      <c r="A7" s="73" t="s">
        <v>14</v>
      </c>
      <c r="B7" s="599" t="s">
        <v>15</v>
      </c>
      <c r="C7" s="599"/>
      <c r="D7" s="599"/>
      <c r="E7" s="599"/>
      <c r="F7" s="599"/>
      <c r="G7" s="599"/>
      <c r="H7" s="599"/>
    </row>
    <row r="8" spans="1:8" s="71" customFormat="1">
      <c r="A8" s="73" t="s">
        <v>837</v>
      </c>
      <c r="B8" s="599" t="s">
        <v>16</v>
      </c>
      <c r="C8" s="599"/>
      <c r="D8" s="599"/>
      <c r="E8" s="599"/>
      <c r="F8" s="599"/>
      <c r="G8" s="599"/>
      <c r="H8" s="599"/>
    </row>
    <row r="9" spans="1:8" s="71" customFormat="1" ht="30" customHeight="1">
      <c r="A9" s="73" t="s">
        <v>17</v>
      </c>
      <c r="B9" s="608" t="s">
        <v>18</v>
      </c>
      <c r="C9" s="609"/>
      <c r="D9" s="609"/>
      <c r="E9" s="609"/>
      <c r="F9" s="609"/>
      <c r="G9" s="609"/>
      <c r="H9" s="610"/>
    </row>
    <row r="10" spans="1:8" s="71" customFormat="1" ht="30" customHeight="1">
      <c r="A10" s="73" t="s">
        <v>19</v>
      </c>
      <c r="B10" s="608" t="s">
        <v>20</v>
      </c>
      <c r="C10" s="609"/>
      <c r="D10" s="609"/>
      <c r="E10" s="609"/>
      <c r="F10" s="609"/>
      <c r="G10" s="609"/>
      <c r="H10" s="610"/>
    </row>
    <row r="11" spans="1:8" s="71" customFormat="1" ht="30" customHeight="1">
      <c r="A11" s="73" t="s">
        <v>21</v>
      </c>
      <c r="B11" s="608" t="s">
        <v>22</v>
      </c>
      <c r="C11" s="609"/>
      <c r="D11" s="609"/>
      <c r="E11" s="609"/>
      <c r="F11" s="609"/>
      <c r="G11" s="609"/>
      <c r="H11" s="610"/>
    </row>
    <row r="13" spans="1:8" ht="17.5">
      <c r="A13" s="601" t="s">
        <v>835</v>
      </c>
      <c r="B13" s="601"/>
      <c r="C13" s="71"/>
      <c r="D13" s="71"/>
    </row>
    <row r="14" spans="1:8">
      <c r="A14" s="79" t="s">
        <v>202</v>
      </c>
      <c r="B14" s="611" t="s">
        <v>23</v>
      </c>
      <c r="C14" s="611"/>
      <c r="D14" s="611"/>
      <c r="E14" s="611"/>
      <c r="F14" s="611"/>
      <c r="G14" s="611"/>
      <c r="H14" s="611"/>
    </row>
    <row r="15" spans="1:8">
      <c r="A15" s="80" t="s">
        <v>24</v>
      </c>
      <c r="B15" s="599" t="s">
        <v>25</v>
      </c>
      <c r="C15" s="599"/>
      <c r="D15" s="599"/>
      <c r="E15" s="599"/>
      <c r="F15" s="599"/>
      <c r="G15" s="599"/>
      <c r="H15" s="599"/>
    </row>
    <row r="16" spans="1:8">
      <c r="A16" s="80" t="s">
        <v>26</v>
      </c>
      <c r="B16" s="598" t="s">
        <v>27</v>
      </c>
      <c r="C16" s="598"/>
      <c r="D16" s="598"/>
      <c r="E16" s="598"/>
      <c r="F16" s="598"/>
      <c r="G16" s="598"/>
      <c r="H16" s="598"/>
    </row>
    <row r="17" spans="1:8">
      <c r="A17" s="600" t="s">
        <v>28</v>
      </c>
      <c r="B17" s="599" t="s">
        <v>29</v>
      </c>
      <c r="C17" s="599"/>
      <c r="D17" s="599"/>
      <c r="E17" s="599"/>
      <c r="F17" s="599"/>
      <c r="G17" s="599"/>
      <c r="H17" s="599"/>
    </row>
    <row r="18" spans="1:8">
      <c r="A18" s="600"/>
      <c r="B18" s="599" t="s">
        <v>30</v>
      </c>
      <c r="C18" s="599"/>
      <c r="D18" s="599"/>
      <c r="E18" s="599"/>
      <c r="F18" s="599"/>
      <c r="G18" s="599"/>
      <c r="H18" s="599"/>
    </row>
    <row r="19" spans="1:8">
      <c r="A19" s="600"/>
      <c r="B19" s="598" t="s">
        <v>31</v>
      </c>
      <c r="C19" s="598"/>
      <c r="D19" s="598"/>
      <c r="E19" s="598"/>
      <c r="F19" s="598"/>
      <c r="G19" s="598"/>
      <c r="H19" s="598"/>
    </row>
    <row r="20" spans="1:8">
      <c r="A20" s="80" t="s">
        <v>32</v>
      </c>
      <c r="B20" s="598" t="s">
        <v>33</v>
      </c>
      <c r="C20" s="598"/>
      <c r="D20" s="598"/>
      <c r="E20" s="598"/>
      <c r="F20" s="598"/>
      <c r="G20" s="598"/>
      <c r="H20" s="598"/>
    </row>
    <row r="21" spans="1:8">
      <c r="A21" s="600" t="s">
        <v>34</v>
      </c>
      <c r="B21" s="598" t="s">
        <v>35</v>
      </c>
      <c r="C21" s="598"/>
      <c r="D21" s="598"/>
      <c r="E21" s="598"/>
      <c r="F21" s="598"/>
      <c r="G21" s="598"/>
      <c r="H21" s="598"/>
    </row>
    <row r="22" spans="1:8">
      <c r="A22" s="600"/>
      <c r="B22" s="598" t="s">
        <v>36</v>
      </c>
      <c r="C22" s="598"/>
      <c r="D22" s="598"/>
      <c r="E22" s="598"/>
      <c r="F22" s="598"/>
      <c r="G22" s="598"/>
      <c r="H22" s="598"/>
    </row>
    <row r="23" spans="1:8">
      <c r="A23" s="600"/>
      <c r="B23" s="598" t="s">
        <v>37</v>
      </c>
      <c r="C23" s="598"/>
      <c r="D23" s="598"/>
      <c r="E23" s="598"/>
      <c r="F23" s="598"/>
      <c r="G23" s="598"/>
      <c r="H23" s="598"/>
    </row>
    <row r="24" spans="1:8">
      <c r="A24" s="600"/>
      <c r="B24" s="598" t="s">
        <v>38</v>
      </c>
      <c r="C24" s="598"/>
      <c r="D24" s="598"/>
      <c r="E24" s="598"/>
      <c r="F24" s="598"/>
      <c r="G24" s="598"/>
      <c r="H24" s="598"/>
    </row>
    <row r="25" spans="1:8">
      <c r="A25" s="80" t="s">
        <v>39</v>
      </c>
      <c r="B25" s="598" t="s">
        <v>40</v>
      </c>
      <c r="C25" s="598"/>
      <c r="D25" s="598"/>
      <c r="E25" s="598"/>
      <c r="F25" s="598"/>
      <c r="G25" s="598"/>
      <c r="H25" s="598"/>
    </row>
    <row r="26" spans="1:8">
      <c r="A26" s="80" t="s">
        <v>853</v>
      </c>
      <c r="B26" s="598" t="s">
        <v>853</v>
      </c>
      <c r="C26" s="598"/>
      <c r="D26" s="598"/>
      <c r="E26" s="598"/>
      <c r="F26" s="598"/>
      <c r="G26" s="598"/>
      <c r="H26" s="598"/>
    </row>
  </sheetData>
  <sheetProtection algorithmName="SHA-512" hashValue="7bL7iV9SR+tnt3Xh+eVaRkV0b7K8SPZN/7YabCV5bjBzfgvnx7N4VYrXY+MiQ1PFQklgja+siwTs1cHWNiyErQ==" saltValue="0BfCQvTz1tsJEapBThGYQA==" spinCount="100000" sheet="1" objects="1" scenarios="1" formatCells="0" formatColumns="0" formatRows="0"/>
  <mergeCells count="27">
    <mergeCell ref="A17:A19"/>
    <mergeCell ref="A21:A24"/>
    <mergeCell ref="A13:B13"/>
    <mergeCell ref="A1:B1"/>
    <mergeCell ref="B3:H3"/>
    <mergeCell ref="B2:H2"/>
    <mergeCell ref="B4:H4"/>
    <mergeCell ref="B5:H5"/>
    <mergeCell ref="B6:H6"/>
    <mergeCell ref="B7:H7"/>
    <mergeCell ref="B8:H8"/>
    <mergeCell ref="B11:H11"/>
    <mergeCell ref="B10:H10"/>
    <mergeCell ref="B9:H9"/>
    <mergeCell ref="B14:H14"/>
    <mergeCell ref="B18:H18"/>
    <mergeCell ref="B17:H17"/>
    <mergeCell ref="B16:H16"/>
    <mergeCell ref="B15:H15"/>
    <mergeCell ref="B20:H20"/>
    <mergeCell ref="B19:H19"/>
    <mergeCell ref="B21:H21"/>
    <mergeCell ref="B24:H24"/>
    <mergeCell ref="B25:H25"/>
    <mergeCell ref="B26:H26"/>
    <mergeCell ref="B23:H23"/>
    <mergeCell ref="B22:H22"/>
  </mergeCells>
  <hyperlinks>
    <hyperlink ref="A3" location="'P-Chem'!A1" display="P-Chem" xr:uid="{9FBE353A-219F-442C-9133-353F890B2228}"/>
    <hyperlink ref="A4" location="Article_Data!A1" display="Article_Data" xr:uid="{822B391C-EBC5-468B-B1CD-D9557807EA6C}"/>
    <hyperlink ref="A5" location="Product_Inputs!A1" display="Product_Inputs" xr:uid="{301E48CC-A9A2-427F-AF1D-BE010B259FEC}"/>
    <hyperlink ref="A6" location="Article_Inputs!A1" display="Article_Inputs" xr:uid="{F36BDB23-2115-4E61-A444-D4366AC2E433}"/>
    <hyperlink ref="A7" location="'Dermal Calcs'!A1" display="Dermal Calcs" xr:uid="{21E5A225-176A-4362-9CE4-8EAAC247BD03}"/>
    <hyperlink ref="A8" location="'Mouthing Calcs'!A1" display="Mouthing calcs" xr:uid="{A5B4E0A4-BA06-48B0-9A2D-CFFF224ECA96}"/>
    <hyperlink ref="A9" location="'Product WF and Use'!A1" display="Product WF and Use" xr:uid="{58E30B8D-F211-40DD-BA17-2920B63D698D}"/>
    <hyperlink ref="A10" location="CEM_Models!A1" display="CEM_Models" xr:uid="{E66BA988-9147-40B3-88A0-FA8915B18637}"/>
    <hyperlink ref="A11" location="CEM_ENV!A1" display="CEM_ENV" xr:uid="{E2494AA4-1395-4E2D-B1BE-A0DD1D01326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2F248-A0D9-46A6-9C72-93FCD4F3DA53}">
  <dimension ref="A1:V96"/>
  <sheetViews>
    <sheetView zoomScale="85" zoomScaleNormal="85" workbookViewId="0">
      <selection activeCell="G89" sqref="G89"/>
    </sheetView>
  </sheetViews>
  <sheetFormatPr defaultColWidth="8.6640625" defaultRowHeight="14"/>
  <cols>
    <col min="1" max="1" width="36.4140625" style="85" customWidth="1"/>
    <col min="2" max="2" width="25.08203125" style="85" customWidth="1"/>
    <col min="3" max="3" width="19.75" style="85" customWidth="1"/>
    <col min="4" max="4" width="15.58203125" style="85" customWidth="1"/>
    <col min="5" max="5" width="10.58203125" style="85" customWidth="1"/>
    <col min="6" max="6" width="4.58203125" style="85" customWidth="1"/>
    <col min="7" max="7" width="36.4140625" style="85" customWidth="1"/>
    <col min="8" max="9" width="11.9140625" style="85" bestFit="1" customWidth="1"/>
    <col min="10" max="10" width="11.58203125" style="85" customWidth="1"/>
    <col min="11" max="12" width="8.6640625" style="85"/>
    <col min="13" max="13" width="4.4140625" style="85" customWidth="1"/>
    <col min="14" max="14" width="52.08203125" style="85" customWidth="1"/>
    <col min="15" max="15" width="13.9140625" style="85" customWidth="1"/>
    <col min="16" max="16" width="9.33203125" style="85" bestFit="1" customWidth="1"/>
    <col min="17" max="17" width="15.58203125" style="85" customWidth="1"/>
    <col min="18" max="16384" width="8.6640625" style="85"/>
  </cols>
  <sheetData>
    <row r="1" spans="1:22" s="82" customFormat="1" ht="34.75" customHeight="1">
      <c r="A1" s="81" t="s">
        <v>41</v>
      </c>
      <c r="G1" s="584" t="s">
        <v>42</v>
      </c>
      <c r="H1" s="584" t="s">
        <v>968</v>
      </c>
      <c r="I1" s="585" t="s">
        <v>43</v>
      </c>
      <c r="J1" s="641" t="s">
        <v>44</v>
      </c>
      <c r="K1" s="642"/>
      <c r="L1" s="573"/>
      <c r="M1" s="573"/>
      <c r="O1" s="83"/>
      <c r="P1" s="83"/>
      <c r="Q1" s="83"/>
      <c r="R1" s="83"/>
      <c r="S1" s="83"/>
    </row>
    <row r="2" spans="1:22" ht="13.75">
      <c r="A2" s="84" t="s">
        <v>45</v>
      </c>
      <c r="B2" s="48"/>
      <c r="C2" s="48"/>
      <c r="D2" s="48"/>
      <c r="E2" s="48"/>
      <c r="G2" s="86" t="s">
        <v>46</v>
      </c>
      <c r="H2" s="575">
        <f>D32*3600</f>
        <v>5.792189220882754E-10</v>
      </c>
      <c r="I2" s="276">
        <f>I39</f>
        <v>89964.935118982612</v>
      </c>
      <c r="J2" s="643">
        <f>SUM(P32:R32)</f>
        <v>-3.1970087298023331</v>
      </c>
      <c r="K2" s="644"/>
      <c r="L2" s="571"/>
      <c r="M2" s="571"/>
      <c r="N2" s="83"/>
      <c r="O2" s="83"/>
      <c r="P2" s="83"/>
      <c r="Q2" s="83"/>
      <c r="R2" s="83"/>
      <c r="S2" s="83"/>
    </row>
    <row r="3" spans="1:22" ht="13.75">
      <c r="A3" s="586" t="s">
        <v>47</v>
      </c>
      <c r="B3" s="587" t="s">
        <v>48</v>
      </c>
      <c r="C3" s="586" t="s">
        <v>49</v>
      </c>
      <c r="E3" s="88"/>
      <c r="G3" s="89" t="s">
        <v>50</v>
      </c>
      <c r="H3" s="576">
        <f>D32*3600</f>
        <v>5.792189220882754E-10</v>
      </c>
      <c r="I3" s="588">
        <f>I57</f>
        <v>9005.0463645952877</v>
      </c>
      <c r="J3" s="639">
        <f>SUM(P32:R32)</f>
        <v>-3.1970087298023331</v>
      </c>
      <c r="K3" s="640"/>
      <c r="L3" s="571"/>
      <c r="M3" s="571"/>
      <c r="N3" s="83"/>
      <c r="O3" s="83"/>
      <c r="P3" s="83"/>
      <c r="Q3" s="83"/>
      <c r="R3" s="83"/>
      <c r="S3" s="83"/>
    </row>
    <row r="4" spans="1:22" ht="13.75">
      <c r="A4" s="90" t="s">
        <v>51</v>
      </c>
      <c r="B4" s="91">
        <v>296.61</v>
      </c>
      <c r="C4" s="92" t="s">
        <v>52</v>
      </c>
      <c r="E4" s="93"/>
      <c r="G4" s="86" t="s">
        <v>53</v>
      </c>
      <c r="H4" s="575">
        <f>D35*3600</f>
        <v>1.4110727406346514E-11</v>
      </c>
      <c r="I4" s="276">
        <f>I43</f>
        <v>3072922.4170627482</v>
      </c>
      <c r="J4" s="637">
        <f>SUM(P35:R35)</f>
        <v>-4.5723115287222571</v>
      </c>
      <c r="K4" s="638"/>
      <c r="L4" s="571"/>
      <c r="M4" s="571"/>
      <c r="N4" s="94"/>
      <c r="O4" s="94"/>
      <c r="P4" s="94"/>
      <c r="Q4" s="94"/>
      <c r="R4" s="83"/>
      <c r="S4" s="83"/>
    </row>
    <row r="5" spans="1:22">
      <c r="A5" s="90" t="s">
        <v>54</v>
      </c>
      <c r="B5" s="95">
        <v>0.93379999999999996</v>
      </c>
      <c r="C5" s="92" t="s">
        <v>55</v>
      </c>
      <c r="E5" s="93"/>
      <c r="G5" s="86" t="s">
        <v>56</v>
      </c>
      <c r="H5" s="575">
        <f>D49*3600</f>
        <v>1.0498325482482816E-13</v>
      </c>
      <c r="I5" s="276">
        <f>I50</f>
        <v>518858.23801430786</v>
      </c>
      <c r="J5" s="637">
        <f>SUM(P49:R49)</f>
        <v>-5.9284663065574952</v>
      </c>
      <c r="K5" s="638"/>
      <c r="L5" s="571"/>
      <c r="M5" s="571"/>
      <c r="N5" s="94"/>
      <c r="O5" s="94"/>
      <c r="P5" s="94"/>
      <c r="Q5" s="94"/>
      <c r="R5" s="83"/>
      <c r="S5" s="83"/>
    </row>
    <row r="6" spans="1:22">
      <c r="A6" s="90" t="s">
        <v>57</v>
      </c>
      <c r="B6" s="96">
        <v>5.6000000000000001E-2</v>
      </c>
      <c r="C6" s="92" t="s">
        <v>58</v>
      </c>
      <c r="E6" s="93"/>
      <c r="G6" s="86" t="s">
        <v>59</v>
      </c>
      <c r="H6" s="575">
        <f>D40*3600</f>
        <v>1.0188789256346268E-11</v>
      </c>
      <c r="I6" s="276">
        <f>I52</f>
        <v>111349.37137920996</v>
      </c>
      <c r="J6" s="637">
        <f>SUM(P40:R40)</f>
        <v>-4.196025584014512</v>
      </c>
      <c r="K6" s="638"/>
      <c r="L6" s="571"/>
      <c r="M6" s="571"/>
      <c r="N6" s="94"/>
      <c r="O6" s="94"/>
      <c r="P6" s="94"/>
      <c r="Q6" s="94"/>
    </row>
    <row r="7" spans="1:22" s="105" customFormat="1" ht="15" customHeight="1">
      <c r="A7" s="578" t="s">
        <v>60</v>
      </c>
      <c r="B7" s="579">
        <v>6.98</v>
      </c>
      <c r="C7" s="580" t="s">
        <v>61</v>
      </c>
      <c r="E7" s="581"/>
      <c r="G7" s="582" t="s">
        <v>62</v>
      </c>
      <c r="H7" s="576">
        <f>D59*3600</f>
        <v>5.4213903901084656E-9</v>
      </c>
      <c r="I7" s="588">
        <f>I43</f>
        <v>3072922.4170627482</v>
      </c>
      <c r="J7" s="639">
        <f>SUM(P59:R59)</f>
        <v>-2.6855817947211276</v>
      </c>
      <c r="K7" s="640"/>
      <c r="L7" s="583"/>
      <c r="M7" s="583"/>
    </row>
    <row r="8" spans="1:22" ht="15" customHeight="1">
      <c r="A8" s="90" t="s">
        <v>63</v>
      </c>
      <c r="B8" s="97">
        <v>11.8</v>
      </c>
      <c r="C8" s="92" t="s">
        <v>64</v>
      </c>
      <c r="E8" s="93"/>
      <c r="G8" s="86" t="s">
        <v>65</v>
      </c>
      <c r="H8" s="575">
        <f>D55*3600</f>
        <v>2.0765776120275831E-10</v>
      </c>
      <c r="I8" s="276">
        <f>I53</f>
        <v>115683.17354034419</v>
      </c>
      <c r="J8" s="637">
        <f>SUM(P55:R55)</f>
        <v>-3.7198184300301329</v>
      </c>
      <c r="K8" s="638"/>
      <c r="L8" s="571"/>
      <c r="M8" s="571"/>
      <c r="Q8" s="98"/>
    </row>
    <row r="9" spans="1:22" ht="16.5" customHeight="1">
      <c r="A9" s="90" t="s">
        <v>838</v>
      </c>
      <c r="B9" s="104">
        <v>5.2110000000000003</v>
      </c>
      <c r="C9" s="92" t="s">
        <v>61</v>
      </c>
      <c r="E9" s="93"/>
      <c r="G9" s="86" t="s">
        <v>66</v>
      </c>
      <c r="H9" s="575">
        <f>D54*3600</f>
        <v>2.185759124289867E-11</v>
      </c>
      <c r="I9" s="276">
        <f>I54</f>
        <v>187.12963581767889</v>
      </c>
      <c r="J9" s="637">
        <f>SUM(P54:R54)</f>
        <v>-4.4335729133039559</v>
      </c>
      <c r="K9" s="638"/>
      <c r="L9" s="571"/>
      <c r="M9" s="571"/>
      <c r="O9" s="68"/>
      <c r="Q9" s="98"/>
    </row>
    <row r="10" spans="1:22" ht="13.75">
      <c r="G10" s="86" t="s">
        <v>67</v>
      </c>
      <c r="H10" s="575">
        <f>D45*3600</f>
        <v>8.8194671666858262E-10</v>
      </c>
      <c r="I10" s="276">
        <f>I60</f>
        <v>99706.844167701536</v>
      </c>
      <c r="J10" s="637">
        <f>SUM(P45:R45)</f>
        <v>-3.26130967843002</v>
      </c>
      <c r="K10" s="638"/>
      <c r="L10" s="571"/>
      <c r="M10" s="571"/>
      <c r="N10" s="99"/>
      <c r="O10" s="68"/>
      <c r="Q10" s="98"/>
    </row>
    <row r="11" spans="1:22" ht="16.5" customHeight="1">
      <c r="A11" s="100" t="s">
        <v>68</v>
      </c>
      <c r="C11" s="85">
        <f>5.103*10^-4</f>
        <v>5.1029999999999999E-4</v>
      </c>
      <c r="D11" s="85">
        <f>C11*B4</f>
        <v>0.15136008300000001</v>
      </c>
      <c r="E11" s="85">
        <f>D11+0.05616*B7</f>
        <v>0.54335688300000007</v>
      </c>
      <c r="G11" s="86" t="s">
        <v>69</v>
      </c>
      <c r="H11" s="575">
        <f>D47*3600</f>
        <v>1.1320946047725544E-8</v>
      </c>
      <c r="I11" s="276">
        <f>I48</f>
        <v>22493.909389746794</v>
      </c>
      <c r="J11" s="637">
        <f>SUM(P47:R47)</f>
        <v>-2.4521482062028954</v>
      </c>
      <c r="K11" s="638"/>
      <c r="L11" s="571"/>
      <c r="M11" s="571"/>
      <c r="N11" s="101"/>
      <c r="O11" s="102"/>
      <c r="P11" s="87"/>
      <c r="Q11" s="103"/>
      <c r="S11" s="102"/>
      <c r="V11" s="48"/>
    </row>
    <row r="12" spans="1:22">
      <c r="C12" s="85">
        <f>-C11</f>
        <v>-5.1029999999999999E-4</v>
      </c>
      <c r="D12" s="85">
        <f>C12*B4</f>
        <v>-0.15136008300000001</v>
      </c>
      <c r="E12" s="85">
        <f>D12+0.05616*B8</f>
        <v>0.51132791700000002</v>
      </c>
      <c r="G12" s="86" t="s">
        <v>70</v>
      </c>
      <c r="H12" s="575">
        <f>D46*3600</f>
        <v>1.3451330831367776E-11</v>
      </c>
      <c r="I12" s="276">
        <f>I47</f>
        <v>1355.4864247762766</v>
      </c>
      <c r="J12" s="637">
        <f>SUM(P46:R46)</f>
        <v>-4.5874839567616226</v>
      </c>
      <c r="K12" s="638"/>
      <c r="L12" s="571"/>
      <c r="M12" s="571"/>
      <c r="N12" s="101"/>
      <c r="O12" s="102"/>
      <c r="Q12" s="103"/>
      <c r="S12" s="102"/>
      <c r="V12" s="48"/>
    </row>
    <row r="13" spans="1:22">
      <c r="G13" s="86" t="s">
        <v>71</v>
      </c>
      <c r="H13" s="575">
        <f>D39*3600</f>
        <v>7.8114607590898514E-9</v>
      </c>
      <c r="I13" s="276">
        <f>I45</f>
        <v>18442.707563083262</v>
      </c>
      <c r="J13" s="637">
        <f>SUM(P39:R39)</f>
        <v>-2.5697880458392741</v>
      </c>
      <c r="K13" s="638"/>
      <c r="L13" s="571" t="s">
        <v>72</v>
      </c>
      <c r="M13" s="571"/>
      <c r="O13" s="102"/>
      <c r="Q13" s="103"/>
      <c r="S13" s="102"/>
      <c r="V13" s="48"/>
    </row>
    <row r="14" spans="1:22">
      <c r="G14" s="572" t="s">
        <v>73</v>
      </c>
      <c r="H14" s="577">
        <f>0.00000000003/((B4/292)^6.5)</f>
        <v>2.7095811443359284E-11</v>
      </c>
      <c r="I14" s="589">
        <f>EXP(8.86-0.785*LOG(B5))</f>
        <v>7210.911993536597</v>
      </c>
      <c r="J14" s="645" t="s">
        <v>74</v>
      </c>
      <c r="K14" s="646"/>
      <c r="L14" s="574">
        <f>46.8*(3.3/((2.5+B4^(1/3))^2))</f>
        <v>1.8370208440031106</v>
      </c>
      <c r="M14" s="571"/>
    </row>
    <row r="15" spans="1:22" s="48" customFormat="1"/>
    <row r="16" spans="1:22" ht="14.5" thickBot="1">
      <c r="A16" s="85" t="s">
        <v>75</v>
      </c>
      <c r="H16" s="87"/>
    </row>
    <row r="17" spans="1:21" s="48" customFormat="1">
      <c r="A17" s="528" t="s">
        <v>76</v>
      </c>
      <c r="B17" s="506"/>
      <c r="C17" s="506"/>
      <c r="D17" s="506"/>
      <c r="E17" s="529"/>
      <c r="F17" s="85"/>
      <c r="G17" s="528" t="s">
        <v>77</v>
      </c>
      <c r="H17" s="506"/>
      <c r="I17" s="506"/>
      <c r="J17" s="506"/>
      <c r="K17" s="506"/>
      <c r="L17" s="529"/>
      <c r="N17" s="528" t="s">
        <v>78</v>
      </c>
      <c r="O17" s="506"/>
      <c r="P17" s="506"/>
      <c r="Q17" s="506"/>
      <c r="R17" s="529"/>
    </row>
    <row r="18" spans="1:21" s="48" customFormat="1">
      <c r="A18" s="530" t="s">
        <v>79</v>
      </c>
      <c r="E18" s="531"/>
      <c r="F18" s="85"/>
      <c r="G18" s="532" t="s">
        <v>80</v>
      </c>
      <c r="L18" s="531"/>
      <c r="N18" s="530" t="s">
        <v>81</v>
      </c>
      <c r="R18" s="531"/>
      <c r="U18" s="85"/>
    </row>
    <row r="19" spans="1:21" s="48" customFormat="1">
      <c r="A19" s="532" t="s">
        <v>82</v>
      </c>
      <c r="E19" s="531"/>
      <c r="F19" s="85"/>
      <c r="G19" s="532"/>
      <c r="L19" s="531"/>
      <c r="N19" s="532"/>
      <c r="R19" s="531"/>
      <c r="U19" s="85"/>
    </row>
    <row r="20" spans="1:21" s="48" customFormat="1">
      <c r="A20" s="532"/>
      <c r="E20" s="531"/>
      <c r="F20" s="85"/>
      <c r="G20" s="532" t="s">
        <v>83</v>
      </c>
      <c r="L20" s="531"/>
      <c r="N20" s="532"/>
      <c r="R20" s="531"/>
      <c r="U20" s="85"/>
    </row>
    <row r="21" spans="1:21" s="48" customFormat="1">
      <c r="A21" s="532"/>
      <c r="E21" s="531"/>
      <c r="F21" s="85"/>
      <c r="G21" s="532"/>
      <c r="L21" s="531"/>
      <c r="N21" s="532"/>
      <c r="R21" s="531"/>
    </row>
    <row r="22" spans="1:21" s="48" customFormat="1">
      <c r="A22" s="532"/>
      <c r="E22" s="531"/>
      <c r="F22" s="85"/>
      <c r="G22" s="532"/>
      <c r="L22" s="531"/>
      <c r="N22" s="612" t="s">
        <v>951</v>
      </c>
      <c r="O22" s="613"/>
      <c r="P22" s="613"/>
      <c r="Q22" s="613"/>
      <c r="R22" s="614"/>
    </row>
    <row r="23" spans="1:21" s="48" customFormat="1">
      <c r="A23" s="532"/>
      <c r="E23" s="531"/>
      <c r="F23" s="85"/>
      <c r="G23" s="532"/>
      <c r="L23" s="531"/>
      <c r="N23" s="615"/>
      <c r="O23" s="613"/>
      <c r="P23" s="613"/>
      <c r="Q23" s="613"/>
      <c r="R23" s="614"/>
    </row>
    <row r="24" spans="1:21" s="48" customFormat="1" ht="15.9" customHeight="1">
      <c r="A24" s="624" t="s">
        <v>84</v>
      </c>
      <c r="B24" s="625"/>
      <c r="D24" s="533" t="s">
        <v>967</v>
      </c>
      <c r="E24" s="531">
        <f>LOG10(B4)</f>
        <v>2.4721857888758039</v>
      </c>
      <c r="F24" s="85"/>
      <c r="G24" s="532"/>
      <c r="L24" s="531"/>
      <c r="N24" s="534"/>
      <c r="R24" s="531"/>
    </row>
    <row r="25" spans="1:21" s="48" customFormat="1">
      <c r="A25" s="624"/>
      <c r="B25" s="625"/>
      <c r="C25" s="35"/>
      <c r="E25" s="531"/>
      <c r="F25" s="85"/>
      <c r="G25" s="616" t="s">
        <v>85</v>
      </c>
      <c r="H25" s="613"/>
      <c r="I25" s="613"/>
      <c r="J25" s="613"/>
      <c r="K25" s="613"/>
      <c r="L25" s="535"/>
      <c r="M25" s="85"/>
      <c r="N25" s="534"/>
      <c r="O25" s="85"/>
      <c r="P25" s="85"/>
      <c r="Q25" s="85"/>
      <c r="R25" s="536"/>
      <c r="S25" s="85"/>
      <c r="T25" s="85"/>
    </row>
    <row r="26" spans="1:21" s="48" customFormat="1">
      <c r="A26" s="624"/>
      <c r="B26" s="625"/>
      <c r="C26" s="35"/>
      <c r="E26" s="531"/>
      <c r="F26" s="85"/>
      <c r="G26" s="615"/>
      <c r="H26" s="613"/>
      <c r="I26" s="613"/>
      <c r="J26" s="613"/>
      <c r="K26" s="613"/>
      <c r="L26" s="535"/>
      <c r="M26" s="85"/>
      <c r="N26" s="534"/>
      <c r="O26" s="85"/>
      <c r="P26" s="85"/>
      <c r="Q26" s="85"/>
      <c r="R26" s="536"/>
      <c r="S26" s="85"/>
      <c r="T26" s="85"/>
    </row>
    <row r="27" spans="1:21" s="48" customFormat="1">
      <c r="A27" s="570"/>
      <c r="B27" s="35"/>
      <c r="C27" s="35"/>
      <c r="E27" s="537"/>
      <c r="F27" s="85"/>
      <c r="G27" s="615"/>
      <c r="H27" s="613"/>
      <c r="I27" s="613"/>
      <c r="J27" s="613"/>
      <c r="K27" s="613"/>
      <c r="L27" s="535"/>
      <c r="M27" s="85"/>
      <c r="N27" s="534"/>
      <c r="O27" s="85"/>
      <c r="P27" s="85"/>
      <c r="Q27" s="85"/>
      <c r="R27" s="536"/>
      <c r="S27" s="85"/>
      <c r="T27" s="85"/>
    </row>
    <row r="28" spans="1:21" s="48" customFormat="1">
      <c r="A28" s="538" t="s">
        <v>86</v>
      </c>
      <c r="D28" s="3" t="s">
        <v>87</v>
      </c>
      <c r="E28" s="3" t="s">
        <v>87</v>
      </c>
      <c r="F28" s="85"/>
      <c r="G28" s="615"/>
      <c r="H28" s="613"/>
      <c r="I28" s="613"/>
      <c r="J28" s="613"/>
      <c r="K28" s="613"/>
      <c r="L28" s="531"/>
      <c r="N28" s="534"/>
      <c r="O28" s="85"/>
      <c r="P28" s="85"/>
      <c r="Q28" s="85"/>
      <c r="R28" s="531"/>
    </row>
    <row r="29" spans="1:21" s="48" customFormat="1">
      <c r="A29" s="538"/>
      <c r="D29" s="471">
        <v>295.39999999999998</v>
      </c>
      <c r="E29" s="471">
        <v>310.2</v>
      </c>
      <c r="F29" s="85"/>
      <c r="G29" s="532"/>
      <c r="L29" s="531"/>
      <c r="N29" s="534"/>
      <c r="O29" s="85"/>
      <c r="P29" s="85"/>
      <c r="Q29" s="85"/>
      <c r="R29" s="531"/>
    </row>
    <row r="30" spans="1:21" s="48" customFormat="1" ht="16.5">
      <c r="A30" s="539" t="s">
        <v>88</v>
      </c>
      <c r="B30" s="540" t="s">
        <v>89</v>
      </c>
      <c r="C30" s="540" t="s">
        <v>90</v>
      </c>
      <c r="D30" s="104" t="s">
        <v>952</v>
      </c>
      <c r="E30" s="104" t="s">
        <v>953</v>
      </c>
      <c r="F30" s="85"/>
      <c r="G30" s="534"/>
      <c r="H30" s="541" t="s">
        <v>91</v>
      </c>
      <c r="I30" s="85"/>
      <c r="L30" s="531"/>
      <c r="N30" s="542" t="s">
        <v>88</v>
      </c>
      <c r="O30" s="543" t="s">
        <v>954</v>
      </c>
      <c r="P30" s="543" t="s">
        <v>92</v>
      </c>
      <c r="Q30" s="543" t="s">
        <v>93</v>
      </c>
      <c r="R30" s="544" t="s">
        <v>94</v>
      </c>
    </row>
    <row r="31" spans="1:21" s="48" customFormat="1">
      <c r="A31" s="545" t="s">
        <v>95</v>
      </c>
      <c r="B31" s="560">
        <v>1.1672793116863847</v>
      </c>
      <c r="C31" s="561">
        <v>0</v>
      </c>
      <c r="D31" s="54">
        <f t="shared" ref="D31:D61" si="0">10^(6.39 + (($C31-3486)/$D$29)-(2.49*$E$24)+$B31)</f>
        <v>3.9864730282963846E-11</v>
      </c>
      <c r="E31" s="515">
        <f t="shared" ref="E31:E61" si="1">10^(6.39 + (($C31-3486)/$E$29)-(2.49*$E$24)+$B31)</f>
        <v>1.4575574185997681E-10</v>
      </c>
      <c r="F31" s="85"/>
      <c r="G31" s="534"/>
      <c r="H31" s="85"/>
      <c r="I31" s="85"/>
      <c r="L31" s="531"/>
      <c r="N31" s="545" t="s">
        <v>95</v>
      </c>
      <c r="O31" s="546">
        <f t="shared" ref="O31:O61" si="2">LOG10(E31*10000)</f>
        <v>-5.8363743277594393</v>
      </c>
      <c r="P31" s="547">
        <f>3.23</f>
        <v>3.23</v>
      </c>
      <c r="Q31" s="308">
        <f t="shared" ref="Q31:Q61" si="3">0.73*O31</f>
        <v>-4.2605532592643902</v>
      </c>
      <c r="R31" s="548">
        <f t="shared" ref="R31:R61" si="4">-0.06*$B$7</f>
        <v>-0.41880000000000001</v>
      </c>
    </row>
    <row r="32" spans="1:21" s="48" customFormat="1">
      <c r="A32" s="545" t="s">
        <v>46</v>
      </c>
      <c r="B32" s="560">
        <v>-1.2267692780916208</v>
      </c>
      <c r="C32" s="561">
        <v>0</v>
      </c>
      <c r="D32" s="54">
        <f t="shared" si="0"/>
        <v>1.6089414502452094E-13</v>
      </c>
      <c r="E32" s="515">
        <f t="shared" si="1"/>
        <v>5.8827051638168525E-13</v>
      </c>
      <c r="F32" s="85"/>
      <c r="G32" s="549" t="s">
        <v>96</v>
      </c>
      <c r="H32" s="85"/>
      <c r="I32" s="85"/>
      <c r="L32" s="531"/>
      <c r="N32" s="545" t="s">
        <v>46</v>
      </c>
      <c r="O32" s="546">
        <f t="shared" si="2"/>
        <v>-8.2304229175374424</v>
      </c>
      <c r="P32" s="547">
        <f t="shared" ref="P32:P61" si="5">3.23</f>
        <v>3.23</v>
      </c>
      <c r="Q32" s="308">
        <f t="shared" si="3"/>
        <v>-6.008208729802333</v>
      </c>
      <c r="R32" s="548">
        <f t="shared" si="4"/>
        <v>-0.41880000000000001</v>
      </c>
    </row>
    <row r="33" spans="1:18" s="48" customFormat="1">
      <c r="A33" s="545" t="s">
        <v>97</v>
      </c>
      <c r="B33" s="560">
        <v>0.32957171828715098</v>
      </c>
      <c r="C33" s="561">
        <v>0</v>
      </c>
      <c r="D33" s="54">
        <f t="shared" si="0"/>
        <v>5.7927026599375957E-12</v>
      </c>
      <c r="E33" s="515">
        <f t="shared" si="1"/>
        <v>2.1179615855429091E-11</v>
      </c>
      <c r="F33" s="85"/>
      <c r="G33" s="530" t="s">
        <v>98</v>
      </c>
      <c r="H33" s="346"/>
      <c r="I33" s="346"/>
      <c r="L33" s="531"/>
      <c r="N33" s="545" t="s">
        <v>97</v>
      </c>
      <c r="O33" s="546">
        <f t="shared" si="2"/>
        <v>-6.674081921158673</v>
      </c>
      <c r="P33" s="547">
        <f t="shared" si="5"/>
        <v>3.23</v>
      </c>
      <c r="Q33" s="308">
        <f t="shared" si="3"/>
        <v>-4.8720798024458309</v>
      </c>
      <c r="R33" s="548">
        <f t="shared" si="4"/>
        <v>-0.41880000000000001</v>
      </c>
    </row>
    <row r="34" spans="1:18" s="48" customFormat="1">
      <c r="A34" s="545" t="s">
        <v>99</v>
      </c>
      <c r="B34" s="560">
        <v>-6.3227435094369584</v>
      </c>
      <c r="C34" s="561">
        <v>1675.913916901716</v>
      </c>
      <c r="D34" s="54">
        <f t="shared" si="0"/>
        <v>6.0804738777351297E-13</v>
      </c>
      <c r="E34" s="515">
        <f t="shared" si="1"/>
        <v>1.1920409399172568E-12</v>
      </c>
      <c r="F34" s="85"/>
      <c r="G34" s="534"/>
      <c r="H34" s="101" t="s">
        <v>100</v>
      </c>
      <c r="I34" s="550">
        <f>39.4*1000</f>
        <v>39400</v>
      </c>
      <c r="K34" s="533" t="s">
        <v>101</v>
      </c>
      <c r="L34" s="551">
        <f>((1.37*I34)-14)/(2.303*8.314)</f>
        <v>2818.3840700612141</v>
      </c>
      <c r="N34" s="545" t="s">
        <v>99</v>
      </c>
      <c r="O34" s="546">
        <f t="shared" si="2"/>
        <v>-7.9237088287611943</v>
      </c>
      <c r="P34" s="547">
        <f t="shared" si="5"/>
        <v>3.23</v>
      </c>
      <c r="Q34" s="308">
        <f t="shared" si="3"/>
        <v>-5.7843074449956715</v>
      </c>
      <c r="R34" s="548">
        <f t="shared" si="4"/>
        <v>-0.41880000000000001</v>
      </c>
    </row>
    <row r="35" spans="1:18" s="48" customFormat="1">
      <c r="A35" s="545" t="s">
        <v>102</v>
      </c>
      <c r="B35" s="560">
        <v>-8.5134340350898139</v>
      </c>
      <c r="C35" s="561">
        <v>1675.913916901716</v>
      </c>
      <c r="D35" s="54">
        <f t="shared" si="0"/>
        <v>3.9196465017629207E-15</v>
      </c>
      <c r="E35" s="515">
        <f t="shared" si="1"/>
        <v>7.6842351337347417E-15</v>
      </c>
      <c r="F35" s="85"/>
      <c r="G35" s="549"/>
      <c r="H35" s="85"/>
      <c r="I35" s="85">
        <f>I34/1000</f>
        <v>39.4</v>
      </c>
      <c r="J35" s="85"/>
      <c r="K35" s="85"/>
      <c r="L35" s="536"/>
      <c r="N35" s="545" t="s">
        <v>102</v>
      </c>
      <c r="O35" s="546">
        <f t="shared" si="2"/>
        <v>-10.114399354414051</v>
      </c>
      <c r="P35" s="547">
        <f t="shared" si="5"/>
        <v>3.23</v>
      </c>
      <c r="Q35" s="308">
        <f t="shared" si="3"/>
        <v>-7.3835115287222566</v>
      </c>
      <c r="R35" s="548">
        <f t="shared" si="4"/>
        <v>-0.41880000000000001</v>
      </c>
    </row>
    <row r="36" spans="1:18" s="48" customFormat="1">
      <c r="A36" s="545" t="s">
        <v>103</v>
      </c>
      <c r="B36" s="560">
        <v>2.0357586846114133</v>
      </c>
      <c r="C36" s="561">
        <v>-2391.1523629446024</v>
      </c>
      <c r="D36" s="54">
        <f t="shared" si="0"/>
        <v>2.3683328343171784E-18</v>
      </c>
      <c r="E36" s="515">
        <f t="shared" si="1"/>
        <v>2.1070920143643553E-17</v>
      </c>
      <c r="F36" s="85"/>
      <c r="G36" s="534"/>
      <c r="H36" s="85"/>
      <c r="I36" s="552" t="s">
        <v>87</v>
      </c>
      <c r="L36" s="531"/>
      <c r="N36" s="545" t="s">
        <v>103</v>
      </c>
      <c r="O36" s="546">
        <f t="shared" si="2"/>
        <v>-12.676316498820874</v>
      </c>
      <c r="P36" s="547">
        <f t="shared" si="5"/>
        <v>3.23</v>
      </c>
      <c r="Q36" s="308">
        <f t="shared" si="3"/>
        <v>-9.2537110441392372</v>
      </c>
      <c r="R36" s="548">
        <f t="shared" si="4"/>
        <v>-0.41880000000000001</v>
      </c>
    </row>
    <row r="37" spans="1:18" s="48" customFormat="1">
      <c r="A37" s="545" t="s">
        <v>104</v>
      </c>
      <c r="B37" s="560">
        <v>-8.5702143619254709</v>
      </c>
      <c r="C37" s="561">
        <v>0</v>
      </c>
      <c r="D37" s="54">
        <f t="shared" si="0"/>
        <v>7.2961735619616615E-21</v>
      </c>
      <c r="E37" s="515">
        <f t="shared" si="1"/>
        <v>2.6676693476020923E-20</v>
      </c>
      <c r="F37" s="85"/>
      <c r="G37" s="534"/>
      <c r="H37" s="85"/>
      <c r="I37" s="471">
        <v>295.39999999999998</v>
      </c>
      <c r="L37" s="531"/>
      <c r="N37" s="545" t="s">
        <v>104</v>
      </c>
      <c r="O37" s="546">
        <f t="shared" si="2"/>
        <v>-15.573868001371295</v>
      </c>
      <c r="P37" s="547">
        <f t="shared" si="5"/>
        <v>3.23</v>
      </c>
      <c r="Q37" s="308">
        <f t="shared" si="3"/>
        <v>-11.368923641001045</v>
      </c>
      <c r="R37" s="548">
        <f t="shared" si="4"/>
        <v>-0.41880000000000001</v>
      </c>
    </row>
    <row r="38" spans="1:18" s="48" customFormat="1">
      <c r="A38" s="545" t="s">
        <v>105</v>
      </c>
      <c r="B38" s="560">
        <v>-1.2379363896405635</v>
      </c>
      <c r="C38" s="561">
        <v>1675.913916901716</v>
      </c>
      <c r="D38" s="54">
        <f t="shared" si="0"/>
        <v>7.3917036520961312E-8</v>
      </c>
      <c r="E38" s="515">
        <f t="shared" si="1"/>
        <v>1.4490997817289339E-7</v>
      </c>
      <c r="F38" s="85"/>
      <c r="G38" s="542" t="s">
        <v>88</v>
      </c>
      <c r="H38" s="540" t="s">
        <v>89</v>
      </c>
      <c r="I38" s="553" t="s">
        <v>43</v>
      </c>
      <c r="L38" s="531"/>
      <c r="N38" s="545" t="s">
        <v>105</v>
      </c>
      <c r="O38" s="546">
        <f t="shared" si="2"/>
        <v>-2.8389017089647997</v>
      </c>
      <c r="P38" s="547">
        <f t="shared" si="5"/>
        <v>3.23</v>
      </c>
      <c r="Q38" s="308">
        <f t="shared" si="3"/>
        <v>-2.0723982475443039</v>
      </c>
      <c r="R38" s="548">
        <f t="shared" si="4"/>
        <v>-0.41880000000000001</v>
      </c>
    </row>
    <row r="39" spans="1:18" s="48" customFormat="1">
      <c r="A39" s="545" t="s">
        <v>106</v>
      </c>
      <c r="B39" s="560">
        <v>-5.7702511818254534</v>
      </c>
      <c r="C39" s="561">
        <v>1675.913916901716</v>
      </c>
      <c r="D39" s="54">
        <f t="shared" si="0"/>
        <v>2.1698502108582919E-12</v>
      </c>
      <c r="E39" s="515">
        <f t="shared" si="1"/>
        <v>4.2538629995637821E-12</v>
      </c>
      <c r="F39" s="85"/>
      <c r="G39" s="545" t="s">
        <v>46</v>
      </c>
      <c r="H39" s="560">
        <v>1.9666623193803938</v>
      </c>
      <c r="I39" s="590">
        <f t="shared" ref="I39:I60" si="6">10^(-0.38+(0.63*$B$9)+0.96*$L$34*((1/$I$37)-(1/298.15))+H39)</f>
        <v>89964.935118982612</v>
      </c>
      <c r="L39" s="531"/>
      <c r="N39" s="545" t="s">
        <v>106</v>
      </c>
      <c r="O39" s="546">
        <f t="shared" si="2"/>
        <v>-7.3712165011496902</v>
      </c>
      <c r="P39" s="547">
        <f t="shared" si="5"/>
        <v>3.23</v>
      </c>
      <c r="Q39" s="308">
        <f t="shared" si="3"/>
        <v>-5.380988045839274</v>
      </c>
      <c r="R39" s="548">
        <f t="shared" si="4"/>
        <v>-0.41880000000000001</v>
      </c>
    </row>
    <row r="40" spans="1:18" s="48" customFormat="1">
      <c r="A40" s="545" t="s">
        <v>107</v>
      </c>
      <c r="B40" s="560">
        <v>5.1131360272480242</v>
      </c>
      <c r="C40" s="561">
        <v>-2391.1523629446024</v>
      </c>
      <c r="D40" s="54">
        <f t="shared" si="0"/>
        <v>2.8302192378739633E-15</v>
      </c>
      <c r="E40" s="515">
        <f t="shared" si="1"/>
        <v>2.518029674128951E-14</v>
      </c>
      <c r="F40" s="85"/>
      <c r="G40" s="545" t="s">
        <v>108</v>
      </c>
      <c r="H40" s="560">
        <v>0.72316939780052036</v>
      </c>
      <c r="I40" s="590">
        <f t="shared" si="6"/>
        <v>5135.4718088857935</v>
      </c>
      <c r="L40" s="531"/>
      <c r="N40" s="545" t="s">
        <v>107</v>
      </c>
      <c r="O40" s="546">
        <f t="shared" si="2"/>
        <v>-9.5989391561842634</v>
      </c>
      <c r="P40" s="547">
        <f t="shared" si="5"/>
        <v>3.23</v>
      </c>
      <c r="Q40" s="308">
        <f t="shared" si="3"/>
        <v>-7.0072255840145123</v>
      </c>
      <c r="R40" s="548">
        <f t="shared" si="4"/>
        <v>-0.41880000000000001</v>
      </c>
    </row>
    <row r="41" spans="1:18" s="48" customFormat="1">
      <c r="A41" s="545" t="s">
        <v>109</v>
      </c>
      <c r="B41" s="560">
        <v>-7.1128757073081221</v>
      </c>
      <c r="C41" s="561">
        <v>0</v>
      </c>
      <c r="D41" s="54">
        <f t="shared" si="0"/>
        <v>2.0913841441750421E-19</v>
      </c>
      <c r="E41" s="515">
        <f t="shared" si="1"/>
        <v>7.6466401574700779E-19</v>
      </c>
      <c r="F41" s="85"/>
      <c r="G41" s="545" t="s">
        <v>110</v>
      </c>
      <c r="H41" s="560">
        <v>1.1096573129739258</v>
      </c>
      <c r="I41" s="590">
        <f t="shared" si="6"/>
        <v>12504.555679248342</v>
      </c>
      <c r="L41" s="531"/>
      <c r="N41" s="545" t="s">
        <v>109</v>
      </c>
      <c r="O41" s="546">
        <f t="shared" si="2"/>
        <v>-14.116529346753946</v>
      </c>
      <c r="P41" s="547">
        <f t="shared" si="5"/>
        <v>3.23</v>
      </c>
      <c r="Q41" s="308">
        <f t="shared" si="3"/>
        <v>-10.305066423130381</v>
      </c>
      <c r="R41" s="548">
        <f t="shared" si="4"/>
        <v>-0.41880000000000001</v>
      </c>
    </row>
    <row r="42" spans="1:18" s="48" customFormat="1">
      <c r="A42" s="545" t="s">
        <v>111</v>
      </c>
      <c r="B42" s="560">
        <v>-7.7256651673126164</v>
      </c>
      <c r="C42" s="561">
        <v>0</v>
      </c>
      <c r="D42" s="54">
        <f t="shared" si="0"/>
        <v>5.1008711249446633E-20</v>
      </c>
      <c r="E42" s="515">
        <f t="shared" si="1"/>
        <v>1.8650101221584517E-19</v>
      </c>
      <c r="F42" s="85"/>
      <c r="G42" s="545" t="s">
        <v>112</v>
      </c>
      <c r="H42" s="560">
        <v>2.2011639114007218</v>
      </c>
      <c r="I42" s="590">
        <f t="shared" si="6"/>
        <v>154374.25086790789</v>
      </c>
      <c r="L42" s="531"/>
      <c r="N42" s="545" t="s">
        <v>111</v>
      </c>
      <c r="O42" s="546">
        <f t="shared" si="2"/>
        <v>-14.729318806758441</v>
      </c>
      <c r="P42" s="547">
        <f t="shared" si="5"/>
        <v>3.23</v>
      </c>
      <c r="Q42" s="308">
        <f t="shared" si="3"/>
        <v>-10.752402728933662</v>
      </c>
      <c r="R42" s="548">
        <f t="shared" si="4"/>
        <v>-0.41880000000000001</v>
      </c>
    </row>
    <row r="43" spans="1:18" s="48" customFormat="1">
      <c r="A43" s="545" t="s">
        <v>113</v>
      </c>
      <c r="B43" s="560">
        <v>-7.8449683830502401</v>
      </c>
      <c r="C43" s="561">
        <v>0</v>
      </c>
      <c r="D43" s="54">
        <f t="shared" si="0"/>
        <v>3.8756195265791271E-20</v>
      </c>
      <c r="E43" s="515">
        <f t="shared" si="1"/>
        <v>1.4170265175604652E-19</v>
      </c>
      <c r="F43" s="85"/>
      <c r="G43" s="545" t="s">
        <v>114</v>
      </c>
      <c r="H43" s="560">
        <v>3.5001406439329217</v>
      </c>
      <c r="I43" s="590">
        <f t="shared" si="6"/>
        <v>3072922.4170627482</v>
      </c>
      <c r="L43" s="531"/>
      <c r="N43" s="545" t="s">
        <v>113</v>
      </c>
      <c r="O43" s="546">
        <f t="shared" si="2"/>
        <v>-14.848622022496064</v>
      </c>
      <c r="P43" s="547">
        <f t="shared" si="5"/>
        <v>3.23</v>
      </c>
      <c r="Q43" s="308">
        <f t="shared" si="3"/>
        <v>-10.839494076422127</v>
      </c>
      <c r="R43" s="548">
        <f t="shared" si="4"/>
        <v>-0.41880000000000001</v>
      </c>
    </row>
    <row r="44" spans="1:18" s="48" customFormat="1">
      <c r="A44" s="545" t="s">
        <v>115</v>
      </c>
      <c r="B44" s="560">
        <v>-3.5990444885487189</v>
      </c>
      <c r="C44" s="561">
        <v>1675.913916901716</v>
      </c>
      <c r="D44" s="54">
        <f t="shared" si="0"/>
        <v>3.2183735320580524E-10</v>
      </c>
      <c r="E44" s="515">
        <f t="shared" si="1"/>
        <v>6.3094309543983988E-10</v>
      </c>
      <c r="F44" s="85"/>
      <c r="G44" s="545" t="s">
        <v>116</v>
      </c>
      <c r="H44" s="560">
        <v>1.1142586217886847</v>
      </c>
      <c r="I44" s="590">
        <f t="shared" si="6"/>
        <v>12637.744575768989</v>
      </c>
      <c r="L44" s="531"/>
      <c r="N44" s="545" t="s">
        <v>115</v>
      </c>
      <c r="O44" s="546">
        <f t="shared" si="2"/>
        <v>-5.2000098078729549</v>
      </c>
      <c r="P44" s="547">
        <f t="shared" si="5"/>
        <v>3.23</v>
      </c>
      <c r="Q44" s="308">
        <f t="shared" si="3"/>
        <v>-3.7960071597472571</v>
      </c>
      <c r="R44" s="548">
        <f t="shared" si="4"/>
        <v>-0.41880000000000001</v>
      </c>
    </row>
    <row r="45" spans="1:18" s="48" customFormat="1">
      <c r="A45" s="545" t="s">
        <v>117</v>
      </c>
      <c r="B45" s="560">
        <v>-6.7175410894840102</v>
      </c>
      <c r="C45" s="561">
        <v>1675.913916901716</v>
      </c>
      <c r="D45" s="54">
        <f t="shared" si="0"/>
        <v>2.4498519907460629E-13</v>
      </c>
      <c r="E45" s="515">
        <f t="shared" si="1"/>
        <v>4.8027899279370951E-13</v>
      </c>
      <c r="F45" s="85"/>
      <c r="G45" s="545" t="s">
        <v>106</v>
      </c>
      <c r="H45" s="560">
        <v>1.2784137282096428</v>
      </c>
      <c r="I45" s="590">
        <f t="shared" si="6"/>
        <v>18442.707563083262</v>
      </c>
      <c r="L45" s="531"/>
      <c r="N45" s="545" t="s">
        <v>117</v>
      </c>
      <c r="O45" s="546">
        <f t="shared" si="2"/>
        <v>-8.318506408808247</v>
      </c>
      <c r="P45" s="547">
        <f t="shared" si="5"/>
        <v>3.23</v>
      </c>
      <c r="Q45" s="308">
        <f t="shared" si="3"/>
        <v>-6.0725096784300199</v>
      </c>
      <c r="R45" s="548">
        <f t="shared" si="4"/>
        <v>-0.41880000000000001</v>
      </c>
    </row>
    <row r="46" spans="1:18" s="48" customFormat="1">
      <c r="A46" s="545" t="s">
        <v>70</v>
      </c>
      <c r="B46" s="560">
        <v>-8.5342181830889476</v>
      </c>
      <c r="C46" s="561">
        <v>1675.913916901716</v>
      </c>
      <c r="D46" s="54">
        <f t="shared" si="0"/>
        <v>3.7364807864910491E-15</v>
      </c>
      <c r="E46" s="515">
        <f t="shared" si="1"/>
        <v>7.3251495825365061E-15</v>
      </c>
      <c r="F46" s="85"/>
      <c r="G46" s="545" t="s">
        <v>118</v>
      </c>
      <c r="H46" s="560">
        <v>2.9205029589320466</v>
      </c>
      <c r="I46" s="590">
        <f t="shared" si="6"/>
        <v>808935.52954750613</v>
      </c>
      <c r="L46" s="531"/>
      <c r="N46" s="545" t="s">
        <v>70</v>
      </c>
      <c r="O46" s="546">
        <f t="shared" si="2"/>
        <v>-10.135183502413183</v>
      </c>
      <c r="P46" s="547">
        <f t="shared" si="5"/>
        <v>3.23</v>
      </c>
      <c r="Q46" s="308">
        <f t="shared" si="3"/>
        <v>-7.3986839567616229</v>
      </c>
      <c r="R46" s="548">
        <f t="shared" si="4"/>
        <v>-0.41880000000000001</v>
      </c>
    </row>
    <row r="47" spans="1:18" s="48" customFormat="1">
      <c r="A47" s="545" t="s">
        <v>119</v>
      </c>
      <c r="B47" s="560">
        <v>-5.6091007165701416</v>
      </c>
      <c r="C47" s="561">
        <v>1675.913916901716</v>
      </c>
      <c r="D47" s="54">
        <f t="shared" si="0"/>
        <v>3.144707235479318E-12</v>
      </c>
      <c r="E47" s="515">
        <f t="shared" si="1"/>
        <v>6.1650125370519E-12</v>
      </c>
      <c r="F47" s="85"/>
      <c r="G47" s="545" t="s">
        <v>70</v>
      </c>
      <c r="H47" s="560">
        <v>0.14468422076350301</v>
      </c>
      <c r="I47" s="590">
        <f t="shared" si="6"/>
        <v>1355.4864247762766</v>
      </c>
      <c r="L47" s="531"/>
      <c r="N47" s="545" t="s">
        <v>119</v>
      </c>
      <c r="O47" s="546">
        <f t="shared" si="2"/>
        <v>-7.2100660358943776</v>
      </c>
      <c r="P47" s="547">
        <f t="shared" si="5"/>
        <v>3.23</v>
      </c>
      <c r="Q47" s="308">
        <f t="shared" si="3"/>
        <v>-5.2633482062028953</v>
      </c>
      <c r="R47" s="548">
        <f t="shared" si="4"/>
        <v>-0.41880000000000001</v>
      </c>
    </row>
    <row r="48" spans="1:18" s="48" customFormat="1">
      <c r="A48" s="545" t="s">
        <v>120</v>
      </c>
      <c r="B48" s="560">
        <v>-5.3961963060869476</v>
      </c>
      <c r="C48" s="561">
        <v>0</v>
      </c>
      <c r="D48" s="54">
        <f t="shared" si="0"/>
        <v>1.0892139937058578E-17</v>
      </c>
      <c r="E48" s="515">
        <f t="shared" si="1"/>
        <v>3.9824474559335366E-17</v>
      </c>
      <c r="F48" s="85"/>
      <c r="G48" s="545" t="s">
        <v>119</v>
      </c>
      <c r="H48" s="560">
        <v>1.3646539896713006</v>
      </c>
      <c r="I48" s="590">
        <f t="shared" si="6"/>
        <v>22493.909389746794</v>
      </c>
      <c r="L48" s="531"/>
      <c r="N48" s="545" t="s">
        <v>120</v>
      </c>
      <c r="O48" s="546">
        <f t="shared" si="2"/>
        <v>-12.399849945532772</v>
      </c>
      <c r="P48" s="547">
        <f t="shared" si="5"/>
        <v>3.23</v>
      </c>
      <c r="Q48" s="308">
        <f t="shared" si="3"/>
        <v>-9.0518904602389227</v>
      </c>
      <c r="R48" s="548">
        <f t="shared" si="4"/>
        <v>-0.41880000000000001</v>
      </c>
    </row>
    <row r="49" spans="1:18" s="48" customFormat="1">
      <c r="A49" s="545" t="s">
        <v>121</v>
      </c>
      <c r="B49" s="560">
        <v>-4.9684919859754029</v>
      </c>
      <c r="C49" s="561">
        <v>0</v>
      </c>
      <c r="D49" s="54">
        <f t="shared" si="0"/>
        <v>2.9162015229118934E-17</v>
      </c>
      <c r="E49" s="515">
        <f t="shared" si="1"/>
        <v>1.0662385355880979E-16</v>
      </c>
      <c r="F49" s="85"/>
      <c r="G49" s="545" t="s">
        <v>122</v>
      </c>
      <c r="H49" s="560">
        <v>0.60213654329802435</v>
      </c>
      <c r="I49" s="590">
        <f t="shared" si="6"/>
        <v>3886.3999780200897</v>
      </c>
      <c r="L49" s="531"/>
      <c r="N49" s="545" t="s">
        <v>121</v>
      </c>
      <c r="O49" s="546">
        <f t="shared" si="2"/>
        <v>-11.972145625421227</v>
      </c>
      <c r="P49" s="547">
        <f t="shared" si="5"/>
        <v>3.23</v>
      </c>
      <c r="Q49" s="308">
        <f t="shared" si="3"/>
        <v>-8.7396663065574955</v>
      </c>
      <c r="R49" s="548">
        <f t="shared" si="4"/>
        <v>-0.41880000000000001</v>
      </c>
    </row>
    <row r="50" spans="1:18" s="48" customFormat="1">
      <c r="A50" s="545" t="s">
        <v>123</v>
      </c>
      <c r="B50" s="560">
        <v>-6.3141682579095706</v>
      </c>
      <c r="C50" s="561">
        <v>1675.913916901716</v>
      </c>
      <c r="D50" s="54">
        <f t="shared" si="0"/>
        <v>6.2017274839997859E-13</v>
      </c>
      <c r="E50" s="515">
        <f t="shared" si="1"/>
        <v>1.2158119922540305E-12</v>
      </c>
      <c r="F50" s="85"/>
      <c r="G50" s="545" t="s">
        <v>124</v>
      </c>
      <c r="H50" s="560">
        <v>2.7276377647968642</v>
      </c>
      <c r="I50" s="590">
        <f t="shared" si="6"/>
        <v>518858.23801430786</v>
      </c>
      <c r="L50" s="531"/>
      <c r="N50" s="545" t="s">
        <v>123</v>
      </c>
      <c r="O50" s="546">
        <f t="shared" si="2"/>
        <v>-7.9151335772338074</v>
      </c>
      <c r="P50" s="547">
        <f t="shared" si="5"/>
        <v>3.23</v>
      </c>
      <c r="Q50" s="308">
        <f t="shared" si="3"/>
        <v>-5.7780475113806791</v>
      </c>
      <c r="R50" s="548">
        <f t="shared" si="4"/>
        <v>-0.41880000000000001</v>
      </c>
    </row>
    <row r="51" spans="1:18" s="48" customFormat="1">
      <c r="A51" s="545" t="s">
        <v>125</v>
      </c>
      <c r="B51" s="560">
        <v>-1.6482969179337801</v>
      </c>
      <c r="C51" s="561">
        <v>0</v>
      </c>
      <c r="D51" s="54">
        <f t="shared" si="0"/>
        <v>6.0955458238522732E-14</v>
      </c>
      <c r="E51" s="515">
        <f t="shared" si="1"/>
        <v>2.2286888617850615E-13</v>
      </c>
      <c r="F51" s="85"/>
      <c r="G51" s="545" t="s">
        <v>126</v>
      </c>
      <c r="H51" s="560">
        <v>2.4493551811584453</v>
      </c>
      <c r="I51" s="590">
        <f t="shared" si="6"/>
        <v>273379.61834096594</v>
      </c>
      <c r="L51" s="531"/>
      <c r="N51" s="545" t="s">
        <v>125</v>
      </c>
      <c r="O51" s="546">
        <f t="shared" si="2"/>
        <v>-8.6519505573796049</v>
      </c>
      <c r="P51" s="547">
        <f t="shared" si="5"/>
        <v>3.23</v>
      </c>
      <c r="Q51" s="308">
        <f t="shared" si="3"/>
        <v>-6.3159239068871118</v>
      </c>
      <c r="R51" s="548">
        <f t="shared" si="4"/>
        <v>-0.41880000000000001</v>
      </c>
    </row>
    <row r="52" spans="1:18" s="48" customFormat="1">
      <c r="A52" s="545" t="s">
        <v>127</v>
      </c>
      <c r="B52" s="560">
        <v>-1.1634082618724917</v>
      </c>
      <c r="C52" s="561">
        <v>-2391.1523629446024</v>
      </c>
      <c r="D52" s="54">
        <f t="shared" si="0"/>
        <v>1.4971861107470949E-21</v>
      </c>
      <c r="E52" s="515">
        <f t="shared" si="1"/>
        <v>1.3320378167547446E-20</v>
      </c>
      <c r="F52" s="85"/>
      <c r="G52" s="545" t="s">
        <v>128</v>
      </c>
      <c r="H52" s="560">
        <v>2.0592768178687799</v>
      </c>
      <c r="I52" s="590">
        <f t="shared" si="6"/>
        <v>111349.37137920996</v>
      </c>
      <c r="L52" s="531"/>
      <c r="N52" s="545" t="s">
        <v>127</v>
      </c>
      <c r="O52" s="546">
        <f t="shared" si="2"/>
        <v>-15.875483445304777</v>
      </c>
      <c r="P52" s="547">
        <f t="shared" si="5"/>
        <v>3.23</v>
      </c>
      <c r="Q52" s="308">
        <f t="shared" si="3"/>
        <v>-11.589102915072488</v>
      </c>
      <c r="R52" s="548">
        <f t="shared" si="4"/>
        <v>-0.41880000000000001</v>
      </c>
    </row>
    <row r="53" spans="1:18" s="48" customFormat="1">
      <c r="A53" s="545" t="s">
        <v>129</v>
      </c>
      <c r="B53" s="560">
        <v>0</v>
      </c>
      <c r="C53" s="561">
        <v>-2391.1523629446024</v>
      </c>
      <c r="D53" s="54">
        <f t="shared" si="0"/>
        <v>2.1811425566216051E-20</v>
      </c>
      <c r="E53" s="515">
        <f t="shared" si="1"/>
        <v>1.9405499077888918E-19</v>
      </c>
      <c r="F53" s="85"/>
      <c r="G53" s="545" t="s">
        <v>130</v>
      </c>
      <c r="H53" s="560">
        <v>2.0758592424219944</v>
      </c>
      <c r="I53" s="590">
        <f t="shared" si="6"/>
        <v>115683.17354034419</v>
      </c>
      <c r="L53" s="531"/>
      <c r="N53" s="545" t="s">
        <v>129</v>
      </c>
      <c r="O53" s="546">
        <f t="shared" si="2"/>
        <v>-14.71207518343229</v>
      </c>
      <c r="P53" s="547">
        <f t="shared" si="5"/>
        <v>3.23</v>
      </c>
      <c r="Q53" s="308">
        <f t="shared" si="3"/>
        <v>-10.739814883905572</v>
      </c>
      <c r="R53" s="548">
        <f t="shared" si="4"/>
        <v>-0.41880000000000001</v>
      </c>
    </row>
    <row r="54" spans="1:18" s="48" customFormat="1">
      <c r="A54" s="545" t="s">
        <v>131</v>
      </c>
      <c r="B54" s="560">
        <v>-8.3233811372565256</v>
      </c>
      <c r="C54" s="561">
        <v>1675.913916901716</v>
      </c>
      <c r="D54" s="54">
        <f t="shared" si="0"/>
        <v>6.0715531230274084E-15</v>
      </c>
      <c r="E54" s="515">
        <f t="shared" si="1"/>
        <v>1.1902920787198589E-14</v>
      </c>
      <c r="F54" s="85"/>
      <c r="G54" s="545" t="s">
        <v>132</v>
      </c>
      <c r="H54" s="560">
        <v>-0.71526837931712417</v>
      </c>
      <c r="I54" s="590">
        <f t="shared" si="6"/>
        <v>187.12963581767889</v>
      </c>
      <c r="L54" s="531"/>
      <c r="N54" s="545" t="s">
        <v>131</v>
      </c>
      <c r="O54" s="546">
        <f t="shared" si="2"/>
        <v>-9.9243464565807624</v>
      </c>
      <c r="P54" s="547">
        <f t="shared" si="5"/>
        <v>3.23</v>
      </c>
      <c r="Q54" s="308">
        <f t="shared" si="3"/>
        <v>-7.2447729133039562</v>
      </c>
      <c r="R54" s="548">
        <f t="shared" si="4"/>
        <v>-0.41880000000000001</v>
      </c>
    </row>
    <row r="55" spans="1:18" s="48" customFormat="1">
      <c r="A55" s="545" t="s">
        <v>133</v>
      </c>
      <c r="B55" s="560">
        <v>-7.3456352697581382</v>
      </c>
      <c r="C55" s="561">
        <v>1675.913916901716</v>
      </c>
      <c r="D55" s="54">
        <f t="shared" si="0"/>
        <v>5.7682711445210639E-14</v>
      </c>
      <c r="E55" s="515">
        <f t="shared" si="1"/>
        <v>1.1308354406373465E-13</v>
      </c>
      <c r="F55" s="85"/>
      <c r="G55" s="545" t="s">
        <v>134</v>
      </c>
      <c r="H55" s="591">
        <v>0</v>
      </c>
      <c r="I55" s="590">
        <f t="shared" si="6"/>
        <v>971.42874816877941</v>
      </c>
      <c r="L55" s="531"/>
      <c r="N55" s="545" t="s">
        <v>133</v>
      </c>
      <c r="O55" s="546">
        <f t="shared" si="2"/>
        <v>-8.9466005890823741</v>
      </c>
      <c r="P55" s="547">
        <f t="shared" si="5"/>
        <v>3.23</v>
      </c>
      <c r="Q55" s="308">
        <f t="shared" si="3"/>
        <v>-6.5310184300301328</v>
      </c>
      <c r="R55" s="548">
        <f t="shared" si="4"/>
        <v>-0.41880000000000001</v>
      </c>
    </row>
    <row r="56" spans="1:18" s="48" customFormat="1">
      <c r="A56" s="545" t="s">
        <v>135</v>
      </c>
      <c r="B56" s="560">
        <v>4.790627826020228</v>
      </c>
      <c r="C56" s="561">
        <v>-2391.1523629446024</v>
      </c>
      <c r="D56" s="54">
        <f t="shared" si="0"/>
        <v>1.346827196271286E-15</v>
      </c>
      <c r="E56" s="515">
        <f t="shared" si="1"/>
        <v>1.1982643608495008E-14</v>
      </c>
      <c r="F56" s="85"/>
      <c r="G56" s="545" t="s">
        <v>136</v>
      </c>
      <c r="H56" s="560">
        <v>1.0641316954688826</v>
      </c>
      <c r="I56" s="590">
        <f t="shared" si="6"/>
        <v>11260.110363435182</v>
      </c>
      <c r="L56" s="531"/>
      <c r="N56" s="545" t="s">
        <v>135</v>
      </c>
      <c r="O56" s="546">
        <f t="shared" si="2"/>
        <v>-9.9214473574120596</v>
      </c>
      <c r="P56" s="547">
        <f t="shared" si="5"/>
        <v>3.23</v>
      </c>
      <c r="Q56" s="308">
        <f t="shared" si="3"/>
        <v>-7.2426565709108033</v>
      </c>
      <c r="R56" s="548">
        <f t="shared" si="4"/>
        <v>-0.41880000000000001</v>
      </c>
    </row>
    <row r="57" spans="1:18" s="48" customFormat="1">
      <c r="A57" s="545" t="s">
        <v>137</v>
      </c>
      <c r="B57" s="560">
        <v>4.5281560541558319</v>
      </c>
      <c r="C57" s="561">
        <v>-2391.1523629446024</v>
      </c>
      <c r="D57" s="54">
        <f t="shared" si="0"/>
        <v>7.3593609764530167E-16</v>
      </c>
      <c r="E57" s="515">
        <f t="shared" si="1"/>
        <v>6.5475808634724833E-15</v>
      </c>
      <c r="F57" s="85"/>
      <c r="G57" s="545" t="s">
        <v>138</v>
      </c>
      <c r="H57" s="560">
        <v>0.96707500152156955</v>
      </c>
      <c r="I57" s="590">
        <f t="shared" si="6"/>
        <v>9005.0463645952877</v>
      </c>
      <c r="L57" s="531"/>
      <c r="N57" s="545" t="s">
        <v>137</v>
      </c>
      <c r="O57" s="546">
        <f t="shared" si="2"/>
        <v>-10.183919129276457</v>
      </c>
      <c r="P57" s="547">
        <f t="shared" si="5"/>
        <v>3.23</v>
      </c>
      <c r="Q57" s="308">
        <f t="shared" si="3"/>
        <v>-7.4342609643718136</v>
      </c>
      <c r="R57" s="548">
        <f t="shared" si="4"/>
        <v>-0.41880000000000001</v>
      </c>
    </row>
    <row r="58" spans="1:18" s="48" customFormat="1">
      <c r="A58" s="545" t="s">
        <v>139</v>
      </c>
      <c r="B58" s="560">
        <v>-11.944357782475985</v>
      </c>
      <c r="C58" s="561">
        <v>1675.913916901716</v>
      </c>
      <c r="D58" s="54">
        <f t="shared" si="0"/>
        <v>1.4531925208361751E-18</v>
      </c>
      <c r="E58" s="515">
        <f t="shared" si="1"/>
        <v>2.8488979859962962E-18</v>
      </c>
      <c r="F58" s="85"/>
      <c r="G58" s="545" t="s">
        <v>140</v>
      </c>
      <c r="H58" s="560">
        <v>2.0658582536438961</v>
      </c>
      <c r="I58" s="590">
        <f t="shared" si="6"/>
        <v>113049.64563632569</v>
      </c>
      <c r="L58" s="531"/>
      <c r="N58" s="545" t="s">
        <v>139</v>
      </c>
      <c r="O58" s="546">
        <f t="shared" si="2"/>
        <v>-13.545323101800221</v>
      </c>
      <c r="P58" s="547">
        <f t="shared" si="5"/>
        <v>3.23</v>
      </c>
      <c r="Q58" s="308">
        <f t="shared" si="3"/>
        <v>-9.8880858643141618</v>
      </c>
      <c r="R58" s="548">
        <f t="shared" si="4"/>
        <v>-0.41880000000000001</v>
      </c>
    </row>
    <row r="59" spans="1:18" s="48" customFormat="1">
      <c r="A59" s="545" t="s">
        <v>141</v>
      </c>
      <c r="B59" s="560">
        <v>-5.9288727556362133</v>
      </c>
      <c r="C59" s="561">
        <v>1675.913916901716</v>
      </c>
      <c r="D59" s="54">
        <f t="shared" si="0"/>
        <v>1.5059417750301292E-12</v>
      </c>
      <c r="E59" s="515">
        <f t="shared" si="1"/>
        <v>2.9523097789151778E-12</v>
      </c>
      <c r="F59" s="85"/>
      <c r="G59" s="545" t="s">
        <v>142</v>
      </c>
      <c r="H59" s="560">
        <v>2.263842822177458</v>
      </c>
      <c r="I59" s="590">
        <f t="shared" si="6"/>
        <v>178342.05798161158</v>
      </c>
      <c r="L59" s="531"/>
      <c r="N59" s="545" t="s">
        <v>141</v>
      </c>
      <c r="O59" s="546">
        <f t="shared" si="2"/>
        <v>-7.5298380749604492</v>
      </c>
      <c r="P59" s="547">
        <f t="shared" si="5"/>
        <v>3.23</v>
      </c>
      <c r="Q59" s="308">
        <f t="shared" si="3"/>
        <v>-5.4967817947211275</v>
      </c>
      <c r="R59" s="548">
        <f t="shared" si="4"/>
        <v>-0.41880000000000001</v>
      </c>
    </row>
    <row r="60" spans="1:18" s="48" customFormat="1" ht="14.5" thickBot="1">
      <c r="A60" s="545" t="s">
        <v>143</v>
      </c>
      <c r="B60" s="560">
        <v>-0.45923375149611695</v>
      </c>
      <c r="C60" s="561">
        <v>0</v>
      </c>
      <c r="D60" s="54">
        <f t="shared" si="0"/>
        <v>9.4205393267624139E-13</v>
      </c>
      <c r="E60" s="515">
        <f t="shared" si="1"/>
        <v>3.4443922950110344E-12</v>
      </c>
      <c r="F60" s="85"/>
      <c r="G60" s="554" t="s">
        <v>144</v>
      </c>
      <c r="H60" s="562">
        <v>2.0113140188640672</v>
      </c>
      <c r="I60" s="592">
        <f t="shared" si="6"/>
        <v>99706.844167701536</v>
      </c>
      <c r="J60" s="518"/>
      <c r="K60" s="518"/>
      <c r="L60" s="555"/>
      <c r="N60" s="545" t="s">
        <v>143</v>
      </c>
      <c r="O60" s="546">
        <f t="shared" si="2"/>
        <v>-7.4628873909419404</v>
      </c>
      <c r="P60" s="547">
        <f t="shared" si="5"/>
        <v>3.23</v>
      </c>
      <c r="Q60" s="308">
        <f t="shared" si="3"/>
        <v>-5.447907795387616</v>
      </c>
      <c r="R60" s="548">
        <f t="shared" si="4"/>
        <v>-0.41880000000000001</v>
      </c>
    </row>
    <row r="61" spans="1:18" s="48" customFormat="1" ht="14.5" thickBot="1">
      <c r="A61" s="554" t="s">
        <v>142</v>
      </c>
      <c r="B61" s="562">
        <v>-6.7747861134850726</v>
      </c>
      <c r="C61" s="563">
        <v>1675.913916901716</v>
      </c>
      <c r="D61" s="569">
        <f t="shared" si="0"/>
        <v>2.1473103776843935E-13</v>
      </c>
      <c r="E61" s="519">
        <f t="shared" si="1"/>
        <v>4.2096749897763101E-13</v>
      </c>
      <c r="F61" s="85"/>
      <c r="N61" s="554" t="s">
        <v>142</v>
      </c>
      <c r="O61" s="556">
        <f t="shared" si="2"/>
        <v>-8.3757514328093094</v>
      </c>
      <c r="P61" s="557">
        <f t="shared" si="5"/>
        <v>3.23</v>
      </c>
      <c r="Q61" s="558">
        <f t="shared" si="3"/>
        <v>-6.1142985459507955</v>
      </c>
      <c r="R61" s="559">
        <f t="shared" si="4"/>
        <v>-0.41880000000000001</v>
      </c>
    </row>
    <row r="64" spans="1:18" ht="15">
      <c r="A64" s="51" t="s">
        <v>145</v>
      </c>
      <c r="C64" s="85" t="s">
        <v>146</v>
      </c>
    </row>
    <row r="65" spans="1:4" ht="31" thickBot="1">
      <c r="A65" s="568" t="s">
        <v>147</v>
      </c>
      <c r="B65" s="568" t="s">
        <v>955</v>
      </c>
      <c r="C65" s="568" t="s">
        <v>148</v>
      </c>
      <c r="D65" s="568" t="s">
        <v>956</v>
      </c>
    </row>
    <row r="66" spans="1:4" ht="17.5" thickTop="1">
      <c r="A66" s="567" t="s">
        <v>149</v>
      </c>
      <c r="B66" s="567" t="s">
        <v>957</v>
      </c>
      <c r="C66" s="567"/>
      <c r="D66" s="567"/>
    </row>
    <row r="67" spans="1:4">
      <c r="A67" s="290" t="s">
        <v>150</v>
      </c>
      <c r="B67" s="290" t="s">
        <v>151</v>
      </c>
      <c r="C67" s="290"/>
      <c r="D67" s="290"/>
    </row>
    <row r="68" spans="1:4" ht="70">
      <c r="A68" s="290" t="s">
        <v>152</v>
      </c>
      <c r="B68" s="564" t="s">
        <v>153</v>
      </c>
      <c r="C68" s="290" t="s">
        <v>154</v>
      </c>
      <c r="D68" s="124" t="s">
        <v>155</v>
      </c>
    </row>
    <row r="69" spans="1:4" ht="56">
      <c r="A69" s="290" t="s">
        <v>156</v>
      </c>
      <c r="B69" s="564" t="s">
        <v>157</v>
      </c>
      <c r="C69" s="290" t="s">
        <v>158</v>
      </c>
      <c r="D69" s="124" t="s">
        <v>155</v>
      </c>
    </row>
    <row r="70" spans="1:4" ht="56">
      <c r="A70" s="290" t="s">
        <v>159</v>
      </c>
      <c r="B70" s="564" t="s">
        <v>160</v>
      </c>
      <c r="C70" s="290" t="s">
        <v>161</v>
      </c>
      <c r="D70" s="124" t="s">
        <v>155</v>
      </c>
    </row>
    <row r="71" spans="1:4" ht="16">
      <c r="A71" s="290" t="s">
        <v>162</v>
      </c>
      <c r="B71" s="564" t="s">
        <v>958</v>
      </c>
      <c r="C71" s="290" t="s">
        <v>163</v>
      </c>
      <c r="D71" s="124" t="s">
        <v>155</v>
      </c>
    </row>
    <row r="72" spans="1:4">
      <c r="A72" s="290" t="s">
        <v>164</v>
      </c>
      <c r="B72" s="564" t="s">
        <v>165</v>
      </c>
      <c r="C72" s="290" t="s">
        <v>166</v>
      </c>
      <c r="D72" s="124" t="s">
        <v>155</v>
      </c>
    </row>
    <row r="73" spans="1:4">
      <c r="A73" s="67" t="s">
        <v>167</v>
      </c>
      <c r="B73" s="621" t="s">
        <v>168</v>
      </c>
      <c r="C73" s="622"/>
      <c r="D73" s="623"/>
    </row>
    <row r="74" spans="1:4" ht="56">
      <c r="A74" s="290" t="s">
        <v>169</v>
      </c>
      <c r="B74" s="565" t="s">
        <v>170</v>
      </c>
      <c r="C74" s="564" t="s">
        <v>171</v>
      </c>
      <c r="D74" s="164" t="s">
        <v>155</v>
      </c>
    </row>
    <row r="75" spans="1:4">
      <c r="A75" s="620" t="s">
        <v>959</v>
      </c>
      <c r="B75" s="566" t="s">
        <v>172</v>
      </c>
      <c r="C75" s="620" t="s">
        <v>173</v>
      </c>
      <c r="D75" s="617" t="s">
        <v>155</v>
      </c>
    </row>
    <row r="76" spans="1:4">
      <c r="A76" s="620"/>
      <c r="B76" s="566" t="s">
        <v>174</v>
      </c>
      <c r="C76" s="620"/>
      <c r="D76" s="618"/>
    </row>
    <row r="77" spans="1:4">
      <c r="A77" s="620"/>
      <c r="B77" s="119" t="s">
        <v>175</v>
      </c>
      <c r="C77" s="620"/>
      <c r="D77" s="618"/>
    </row>
    <row r="78" spans="1:4">
      <c r="A78" s="620"/>
      <c r="B78" s="566" t="s">
        <v>176</v>
      </c>
      <c r="C78" s="620" t="s">
        <v>177</v>
      </c>
      <c r="D78" s="618"/>
    </row>
    <row r="79" spans="1:4">
      <c r="A79" s="620"/>
      <c r="B79" s="567" t="s">
        <v>178</v>
      </c>
      <c r="C79" s="620"/>
      <c r="D79" s="619"/>
    </row>
    <row r="80" spans="1:4">
      <c r="A80" s="620" t="s">
        <v>960</v>
      </c>
      <c r="B80" s="566" t="s">
        <v>179</v>
      </c>
      <c r="C80" s="636" t="s">
        <v>180</v>
      </c>
      <c r="D80" s="618" t="s">
        <v>155</v>
      </c>
    </row>
    <row r="81" spans="1:4">
      <c r="A81" s="620"/>
      <c r="B81" s="119" t="s">
        <v>181</v>
      </c>
      <c r="C81" s="636"/>
      <c r="D81" s="618"/>
    </row>
    <row r="82" spans="1:4">
      <c r="A82" s="620"/>
      <c r="B82" s="566" t="s">
        <v>182</v>
      </c>
      <c r="C82" s="626" t="s">
        <v>183</v>
      </c>
      <c r="D82" s="618"/>
    </row>
    <row r="83" spans="1:4">
      <c r="A83" s="620"/>
      <c r="B83" s="566" t="s">
        <v>184</v>
      </c>
      <c r="C83" s="627"/>
      <c r="D83" s="618"/>
    </row>
    <row r="84" spans="1:4">
      <c r="A84" s="620"/>
      <c r="B84" s="566" t="s">
        <v>185</v>
      </c>
      <c r="C84" s="628"/>
      <c r="D84" s="619"/>
    </row>
    <row r="85" spans="1:4" ht="16">
      <c r="A85" s="620" t="s">
        <v>186</v>
      </c>
      <c r="B85" s="290" t="s">
        <v>961</v>
      </c>
      <c r="C85" s="620" t="s">
        <v>173</v>
      </c>
      <c r="D85" s="632" t="s">
        <v>155</v>
      </c>
    </row>
    <row r="86" spans="1:4" ht="16">
      <c r="A86" s="620"/>
      <c r="B86" s="290" t="s">
        <v>962</v>
      </c>
      <c r="C86" s="620"/>
      <c r="D86" s="632"/>
    </row>
    <row r="87" spans="1:4" ht="16">
      <c r="A87" s="620"/>
      <c r="B87" s="290" t="s">
        <v>964</v>
      </c>
      <c r="C87" s="620"/>
      <c r="D87" s="632"/>
    </row>
    <row r="88" spans="1:4" ht="16">
      <c r="A88" s="620"/>
      <c r="B88" s="290" t="s">
        <v>963</v>
      </c>
      <c r="C88" s="620"/>
      <c r="D88" s="632"/>
    </row>
    <row r="89" spans="1:4" ht="42">
      <c r="A89" s="290" t="s">
        <v>187</v>
      </c>
      <c r="B89" s="564" t="s">
        <v>188</v>
      </c>
      <c r="C89" s="290" t="s">
        <v>189</v>
      </c>
      <c r="D89" s="124" t="s">
        <v>155</v>
      </c>
    </row>
    <row r="90" spans="1:4">
      <c r="A90" s="290" t="s">
        <v>190</v>
      </c>
      <c r="B90" s="290" t="s">
        <v>168</v>
      </c>
      <c r="C90" s="290"/>
      <c r="D90" s="124"/>
    </row>
    <row r="91" spans="1:4" ht="28">
      <c r="A91" s="620" t="s">
        <v>191</v>
      </c>
      <c r="B91" s="564" t="s">
        <v>192</v>
      </c>
      <c r="C91" s="290" t="s">
        <v>193</v>
      </c>
      <c r="D91" s="632" t="s">
        <v>155</v>
      </c>
    </row>
    <row r="92" spans="1:4">
      <c r="A92" s="620"/>
      <c r="B92" s="564" t="s">
        <v>194</v>
      </c>
      <c r="C92" s="290" t="s">
        <v>195</v>
      </c>
      <c r="D92" s="632"/>
    </row>
    <row r="93" spans="1:4">
      <c r="A93" s="290" t="s">
        <v>196</v>
      </c>
      <c r="B93" s="564" t="s">
        <v>197</v>
      </c>
      <c r="C93" s="290" t="s">
        <v>163</v>
      </c>
      <c r="D93" s="124" t="s">
        <v>155</v>
      </c>
    </row>
    <row r="94" spans="1:4" ht="28">
      <c r="A94" s="290" t="s">
        <v>966</v>
      </c>
      <c r="B94" s="564" t="s">
        <v>965</v>
      </c>
      <c r="C94" s="290" t="s">
        <v>198</v>
      </c>
      <c r="D94" s="124" t="s">
        <v>155</v>
      </c>
    </row>
    <row r="95" spans="1:4" ht="16">
      <c r="A95" s="633" t="s">
        <v>199</v>
      </c>
      <c r="B95" s="634"/>
      <c r="C95" s="634"/>
      <c r="D95" s="635"/>
    </row>
    <row r="96" spans="1:4" ht="16">
      <c r="A96" s="629" t="s">
        <v>200</v>
      </c>
      <c r="B96" s="630"/>
      <c r="C96" s="630"/>
      <c r="D96" s="631"/>
    </row>
  </sheetData>
  <sheetProtection algorithmName="SHA-512" hashValue="GpK12gp3uHkFBV9ut9XFghD22XpGe93BxyGZdcxqUnZ+CbC3JveHSPXynganNcKOsuCFRv11aZnsFgLxX2l0qg==" saltValue="sguGrvKoVzZd6gyX0gHqUA==" spinCount="100000" sheet="1" objects="1" scenarios="1" formatCells="0" formatColumns="0" formatRows="0"/>
  <mergeCells count="33">
    <mergeCell ref="J14:K14"/>
    <mergeCell ref="J13:K13"/>
    <mergeCell ref="J12:K12"/>
    <mergeCell ref="J11:K11"/>
    <mergeCell ref="J10:K10"/>
    <mergeCell ref="J9:K9"/>
    <mergeCell ref="J8:K8"/>
    <mergeCell ref="J7:K7"/>
    <mergeCell ref="J1:K1"/>
    <mergeCell ref="J2:K2"/>
    <mergeCell ref="J6:K6"/>
    <mergeCell ref="J5:K5"/>
    <mergeCell ref="J4:K4"/>
    <mergeCell ref="J3:K3"/>
    <mergeCell ref="D80:D84"/>
    <mergeCell ref="C82:C84"/>
    <mergeCell ref="A96:D96"/>
    <mergeCell ref="A91:A92"/>
    <mergeCell ref="D91:D92"/>
    <mergeCell ref="A95:D95"/>
    <mergeCell ref="A85:A88"/>
    <mergeCell ref="C85:C88"/>
    <mergeCell ref="D85:D88"/>
    <mergeCell ref="A80:A84"/>
    <mergeCell ref="C80:C81"/>
    <mergeCell ref="N22:R23"/>
    <mergeCell ref="G25:K28"/>
    <mergeCell ref="D75:D79"/>
    <mergeCell ref="C78:C79"/>
    <mergeCell ref="A75:A79"/>
    <mergeCell ref="C75:C77"/>
    <mergeCell ref="B73:D73"/>
    <mergeCell ref="A24:B26"/>
  </mergeCells>
  <dataValidations disablePrompts="1" count="1">
    <dataValidation type="list" allowBlank="1" showInputMessage="1" showErrorMessage="1" sqref="P7" xr:uid="{81C98F07-4D51-45D8-826A-DA473B91BD3D}">
      <formula1>$G$2:$G$13</formula1>
    </dataValidation>
  </dataValidations>
  <hyperlinks>
    <hyperlink ref="A18" r:id="rId1" xr:uid="{6EB26BCA-7585-4C10-BD60-37C427731E91}"/>
    <hyperlink ref="N18" r:id="rId2" display="https://doi.org/10.1038%2Fs41370-021-00354-0" xr:uid="{011722E9-7BFC-4982-B594-988D5D84E6A7}"/>
    <hyperlink ref="G33" r:id="rId3" xr:uid="{1B0441E6-8173-4106-87E6-D46FAD7B6685}"/>
  </hyperlinks>
  <pageMargins left="0.7" right="0.7" top="0.75" bottom="0.75" header="0.3" footer="0.3"/>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DFF9D-0D0F-4D92-B9AC-0438CB643CB2}">
  <dimension ref="A1:AJ31"/>
  <sheetViews>
    <sheetView zoomScale="80" zoomScaleNormal="80" workbookViewId="0">
      <selection activeCell="C13" sqref="C13"/>
    </sheetView>
  </sheetViews>
  <sheetFormatPr defaultColWidth="8.6640625" defaultRowHeight="14"/>
  <cols>
    <col min="1" max="1" width="22.4140625" style="48" customWidth="1"/>
    <col min="2" max="2" width="18" style="48" customWidth="1"/>
    <col min="3" max="3" width="14.6640625" style="48" customWidth="1"/>
    <col min="4" max="4" width="14.9140625" style="48" customWidth="1"/>
    <col min="5" max="5" width="16" style="48" customWidth="1"/>
    <col min="6" max="6" width="15.6640625" style="48" customWidth="1"/>
    <col min="7" max="7" width="13.9140625" style="48" customWidth="1"/>
    <col min="8" max="8" width="14.33203125" style="48" customWidth="1"/>
    <col min="9" max="9" width="11.9140625" style="48" customWidth="1"/>
    <col min="10" max="10" width="20.25" style="48" customWidth="1"/>
    <col min="11" max="11" width="13.08203125" style="48" customWidth="1"/>
    <col min="12" max="12" width="18.9140625" style="48" customWidth="1"/>
    <col min="13" max="13" width="13.08203125" style="48" customWidth="1"/>
    <col min="14" max="14" width="15.08203125" style="48" customWidth="1"/>
    <col min="15" max="15" width="9.9140625" style="48" customWidth="1"/>
    <col min="16" max="17" width="8.6640625" style="48"/>
    <col min="18" max="18" width="11.4140625" style="48" customWidth="1"/>
    <col min="19" max="16384" width="8.6640625" style="48"/>
  </cols>
  <sheetData>
    <row r="1" spans="1:36" s="49" customFormat="1" ht="15" customHeight="1">
      <c r="A1" s="343" t="s">
        <v>336</v>
      </c>
    </row>
    <row r="2" spans="1:36">
      <c r="A2" s="352"/>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row>
    <row r="3" spans="1:36" s="83" customFormat="1" ht="33" customHeight="1">
      <c r="A3" s="650" t="s">
        <v>873</v>
      </c>
      <c r="B3" s="650"/>
      <c r="C3" s="650"/>
      <c r="D3" s="650"/>
      <c r="E3" s="650"/>
      <c r="F3" s="650"/>
      <c r="G3" s="650" t="s">
        <v>337</v>
      </c>
      <c r="H3" s="650"/>
      <c r="I3" s="650"/>
      <c r="J3" s="352"/>
      <c r="K3" s="353"/>
      <c r="L3" s="353"/>
      <c r="M3" s="353"/>
      <c r="N3" s="354"/>
      <c r="O3" s="352"/>
      <c r="P3" s="354"/>
      <c r="Q3" s="354"/>
      <c r="R3" s="354"/>
      <c r="S3" s="354"/>
      <c r="T3" s="354"/>
      <c r="U3" s="354"/>
      <c r="V3" s="354"/>
      <c r="W3" s="354"/>
      <c r="X3" s="354"/>
      <c r="Y3" s="354"/>
      <c r="Z3" s="354"/>
      <c r="AA3" s="354"/>
      <c r="AB3" s="354"/>
      <c r="AC3" s="354"/>
      <c r="AD3" s="354"/>
      <c r="AE3" s="354"/>
      <c r="AF3" s="354"/>
      <c r="AG3" s="354"/>
      <c r="AH3" s="354"/>
      <c r="AI3" s="354"/>
      <c r="AJ3" s="354"/>
    </row>
    <row r="4" spans="1:36" s="83" customFormat="1">
      <c r="A4" s="651" t="s">
        <v>338</v>
      </c>
      <c r="B4" s="653" t="s">
        <v>339</v>
      </c>
      <c r="C4" s="655" t="s">
        <v>340</v>
      </c>
      <c r="D4" s="656"/>
      <c r="E4" s="656"/>
      <c r="F4" s="657"/>
      <c r="G4" s="647" t="s">
        <v>341</v>
      </c>
      <c r="H4" s="648"/>
      <c r="I4" s="649"/>
      <c r="J4" s="352"/>
      <c r="K4" s="353"/>
      <c r="L4" s="353"/>
      <c r="M4" s="353"/>
      <c r="N4" s="354"/>
      <c r="O4" s="352"/>
      <c r="P4" s="354"/>
      <c r="Q4" s="354"/>
      <c r="R4" s="354"/>
      <c r="S4" s="354"/>
      <c r="T4" s="354"/>
      <c r="U4" s="354"/>
      <c r="V4" s="354"/>
      <c r="W4" s="354"/>
      <c r="X4" s="354"/>
      <c r="Y4" s="354"/>
      <c r="Z4" s="354"/>
      <c r="AA4" s="354"/>
      <c r="AB4" s="354"/>
      <c r="AC4" s="354"/>
      <c r="AD4" s="354"/>
      <c r="AE4" s="354"/>
      <c r="AF4" s="354"/>
      <c r="AG4" s="354"/>
      <c r="AH4" s="354"/>
      <c r="AI4" s="354"/>
      <c r="AJ4" s="354"/>
    </row>
    <row r="5" spans="1:36" s="83" customFormat="1" ht="18" customHeight="1" thickBot="1">
      <c r="A5" s="652"/>
      <c r="B5" s="654"/>
      <c r="C5" s="361" t="s">
        <v>857</v>
      </c>
      <c r="D5" s="361" t="s">
        <v>858</v>
      </c>
      <c r="E5" s="361" t="s">
        <v>859</v>
      </c>
      <c r="F5" s="361" t="s">
        <v>860</v>
      </c>
      <c r="G5" s="362" t="s">
        <v>342</v>
      </c>
      <c r="H5" s="362" t="s">
        <v>343</v>
      </c>
      <c r="I5" s="362" t="s">
        <v>344</v>
      </c>
      <c r="J5" s="352"/>
      <c r="K5" s="353"/>
      <c r="L5" s="353"/>
      <c r="M5" s="353"/>
      <c r="N5" s="354"/>
      <c r="O5" s="352"/>
      <c r="P5" s="354"/>
      <c r="Q5" s="354"/>
      <c r="R5" s="354"/>
      <c r="S5" s="354"/>
      <c r="T5" s="354"/>
      <c r="U5" s="354"/>
      <c r="V5" s="354"/>
      <c r="W5" s="354"/>
      <c r="X5" s="354"/>
      <c r="Y5" s="354"/>
      <c r="Z5" s="354"/>
      <c r="AA5" s="354"/>
      <c r="AB5" s="354"/>
      <c r="AC5" s="354"/>
      <c r="AD5" s="354"/>
      <c r="AE5" s="354"/>
      <c r="AF5" s="354"/>
      <c r="AG5" s="354"/>
      <c r="AH5" s="354"/>
      <c r="AI5" s="354"/>
      <c r="AJ5" s="354"/>
    </row>
    <row r="6" spans="1:36" s="83" customFormat="1" ht="14.5" thickTop="1">
      <c r="A6" s="358" t="s">
        <v>345</v>
      </c>
      <c r="B6" s="359" t="s">
        <v>346</v>
      </c>
      <c r="C6" s="359">
        <v>1</v>
      </c>
      <c r="D6" s="359">
        <f>28+(20/60)</f>
        <v>28.333333333333332</v>
      </c>
      <c r="E6" s="359">
        <f>39+10/60</f>
        <v>39.166666666666664</v>
      </c>
      <c r="F6" s="359">
        <f>23+(4/60)</f>
        <v>23.066666666666666</v>
      </c>
      <c r="G6" s="360">
        <f>MAX(C6:F6)</f>
        <v>39.166666666666664</v>
      </c>
      <c r="H6" s="360">
        <f>AVERAGE(C6:F6)</f>
        <v>22.891666666666666</v>
      </c>
      <c r="I6" s="360">
        <f>MIN(C6:F6)</f>
        <v>1</v>
      </c>
      <c r="J6" s="352"/>
      <c r="K6" s="353"/>
      <c r="L6" s="353"/>
      <c r="M6" s="353"/>
      <c r="N6" s="354"/>
      <c r="O6" s="352"/>
      <c r="P6" s="354"/>
      <c r="Q6" s="354"/>
      <c r="R6" s="354"/>
      <c r="S6" s="354"/>
      <c r="T6" s="354"/>
      <c r="U6" s="354"/>
      <c r="V6" s="354"/>
      <c r="W6" s="354"/>
      <c r="X6" s="354"/>
      <c r="Y6" s="354"/>
      <c r="Z6" s="354"/>
      <c r="AA6" s="354"/>
      <c r="AB6" s="354"/>
      <c r="AC6" s="354"/>
      <c r="AD6" s="354"/>
      <c r="AE6" s="354"/>
      <c r="AF6" s="354"/>
      <c r="AG6" s="354"/>
      <c r="AH6" s="354"/>
      <c r="AI6" s="354"/>
      <c r="AJ6" s="354"/>
    </row>
    <row r="7" spans="1:36" s="83" customFormat="1">
      <c r="A7" s="349" t="s">
        <v>871</v>
      </c>
      <c r="B7" s="148" t="s">
        <v>346</v>
      </c>
      <c r="C7" s="148">
        <f>5+(14/60)</f>
        <v>5.2333333333333334</v>
      </c>
      <c r="D7" s="148">
        <f>12+(29/60)</f>
        <v>12.483333333333333</v>
      </c>
      <c r="E7" s="148">
        <f>24+(30/60)</f>
        <v>24.5</v>
      </c>
      <c r="F7" s="148">
        <f>16+25/60</f>
        <v>16.416666666666668</v>
      </c>
      <c r="G7" s="350">
        <f>MAX(C7:F7)</f>
        <v>24.5</v>
      </c>
      <c r="H7" s="350">
        <f>AVERAGE(C7:F7)</f>
        <v>14.658333333333335</v>
      </c>
      <c r="I7" s="148">
        <f>MIN(C7:F7)</f>
        <v>5.2333333333333334</v>
      </c>
      <c r="J7" s="352"/>
      <c r="K7" s="353"/>
      <c r="L7" s="353"/>
      <c r="M7" s="353"/>
      <c r="N7" s="354"/>
      <c r="O7" s="352"/>
      <c r="P7" s="354"/>
      <c r="Q7" s="354"/>
      <c r="R7" s="354"/>
      <c r="S7" s="354"/>
      <c r="T7" s="354"/>
      <c r="U7" s="354"/>
      <c r="V7" s="354"/>
      <c r="W7" s="354"/>
      <c r="X7" s="354"/>
      <c r="Y7" s="354"/>
      <c r="Z7" s="354"/>
      <c r="AA7" s="354"/>
      <c r="AB7" s="354"/>
      <c r="AC7" s="354"/>
      <c r="AD7" s="354"/>
      <c r="AE7" s="354"/>
      <c r="AF7" s="354"/>
      <c r="AG7" s="354"/>
      <c r="AH7" s="354"/>
      <c r="AI7" s="354"/>
      <c r="AJ7" s="354"/>
    </row>
    <row r="8" spans="1:36" s="83" customFormat="1">
      <c r="A8" s="351" t="s">
        <v>872</v>
      </c>
      <c r="B8" s="148" t="s">
        <v>346</v>
      </c>
      <c r="C8" s="148">
        <f>47+13/60</f>
        <v>47.216666666666669</v>
      </c>
      <c r="D8" s="148">
        <f>27+45/60</f>
        <v>27.75</v>
      </c>
      <c r="E8" s="148">
        <f>14+36/60</f>
        <v>14.6</v>
      </c>
      <c r="F8" s="148">
        <f>41+39/12</f>
        <v>44.25</v>
      </c>
      <c r="G8" s="350">
        <f>MAX(C8:F8)</f>
        <v>47.216666666666669</v>
      </c>
      <c r="H8" s="350">
        <f>AVERAGE(C8:F8)</f>
        <v>33.454166666666666</v>
      </c>
      <c r="I8" s="148">
        <f>MIN(C8:F8)</f>
        <v>14.6</v>
      </c>
      <c r="J8" s="355"/>
      <c r="K8" s="353"/>
      <c r="L8" s="353"/>
      <c r="M8" s="353"/>
      <c r="N8" s="354"/>
      <c r="O8" s="352"/>
      <c r="P8" s="354"/>
      <c r="Q8" s="354"/>
      <c r="R8" s="354"/>
      <c r="S8" s="354"/>
      <c r="T8" s="354"/>
      <c r="U8" s="354"/>
      <c r="V8" s="354"/>
      <c r="W8" s="354"/>
      <c r="X8" s="354"/>
      <c r="Y8" s="354"/>
      <c r="Z8" s="354"/>
      <c r="AA8" s="354"/>
      <c r="AB8" s="354"/>
      <c r="AC8" s="354"/>
      <c r="AD8" s="354"/>
      <c r="AE8" s="354"/>
      <c r="AF8" s="354"/>
      <c r="AG8" s="354"/>
      <c r="AH8" s="354"/>
      <c r="AI8" s="354"/>
      <c r="AJ8" s="354"/>
    </row>
    <row r="9" spans="1:36" s="83" customFormat="1">
      <c r="A9" s="651" t="s">
        <v>338</v>
      </c>
      <c r="B9" s="653" t="s">
        <v>339</v>
      </c>
      <c r="C9" s="655" t="s">
        <v>340</v>
      </c>
      <c r="D9" s="656"/>
      <c r="E9" s="656"/>
      <c r="F9" s="657"/>
      <c r="G9" s="647" t="s">
        <v>869</v>
      </c>
      <c r="H9" s="648"/>
      <c r="I9" s="649"/>
      <c r="J9" s="355"/>
      <c r="K9" s="353"/>
      <c r="L9" s="353"/>
      <c r="M9" s="353"/>
      <c r="N9" s="354"/>
      <c r="O9" s="354"/>
      <c r="P9" s="354"/>
      <c r="Q9" s="354"/>
      <c r="R9" s="354"/>
      <c r="S9" s="354"/>
      <c r="T9" s="354"/>
      <c r="U9" s="354"/>
      <c r="V9" s="354"/>
      <c r="W9" s="354"/>
      <c r="X9" s="354"/>
      <c r="Y9" s="354"/>
      <c r="Z9" s="354"/>
      <c r="AA9" s="354"/>
      <c r="AB9" s="354"/>
      <c r="AC9" s="354"/>
      <c r="AD9" s="354"/>
      <c r="AE9" s="354"/>
      <c r="AF9" s="354"/>
      <c r="AG9" s="354"/>
      <c r="AH9" s="354"/>
      <c r="AI9" s="354"/>
      <c r="AJ9" s="354"/>
    </row>
    <row r="10" spans="1:36" s="83" customFormat="1">
      <c r="A10" s="658"/>
      <c r="B10" s="659"/>
      <c r="C10" s="347" t="s">
        <v>861</v>
      </c>
      <c r="D10" s="347" t="s">
        <v>862</v>
      </c>
      <c r="E10" s="347" t="s">
        <v>863</v>
      </c>
      <c r="F10" s="347" t="s">
        <v>864</v>
      </c>
      <c r="G10" s="348" t="s">
        <v>342</v>
      </c>
      <c r="H10" s="348" t="s">
        <v>343</v>
      </c>
      <c r="I10" s="348" t="s">
        <v>344</v>
      </c>
      <c r="J10" s="356"/>
      <c r="K10" s="353"/>
      <c r="L10" s="353"/>
      <c r="M10" s="353"/>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row>
    <row r="11" spans="1:36" s="83" customFormat="1">
      <c r="A11" s="349" t="s">
        <v>345</v>
      </c>
      <c r="B11" s="148" t="s">
        <v>346</v>
      </c>
      <c r="C11" s="148">
        <f>15+(18/60)</f>
        <v>15.3</v>
      </c>
      <c r="D11" s="148">
        <f>16+34/60</f>
        <v>16.566666666666666</v>
      </c>
      <c r="E11" s="148">
        <f>11+(7/60)</f>
        <v>11.116666666666667</v>
      </c>
      <c r="F11" s="148">
        <f>15+(46/60)</f>
        <v>15.766666666666667</v>
      </c>
      <c r="G11" s="350">
        <f>MAX(C11:F11)</f>
        <v>16.566666666666666</v>
      </c>
      <c r="H11" s="350">
        <f>AVERAGE(C11:F11)</f>
        <v>14.6875</v>
      </c>
      <c r="I11" s="350">
        <f>MIN(C11:F11)</f>
        <v>11.116666666666667</v>
      </c>
      <c r="J11" s="355"/>
      <c r="K11" s="353"/>
      <c r="L11" s="353"/>
      <c r="M11" s="353"/>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row>
    <row r="12" spans="1:36" s="83" customFormat="1">
      <c r="A12" s="349" t="s">
        <v>871</v>
      </c>
      <c r="B12" s="148" t="s">
        <v>346</v>
      </c>
      <c r="C12" s="148">
        <f>12+2/60</f>
        <v>12.033333333333333</v>
      </c>
      <c r="D12" s="148">
        <f>23+1/60</f>
        <v>23.016666666666666</v>
      </c>
      <c r="E12" s="148">
        <f>19+49/60</f>
        <v>19.816666666666666</v>
      </c>
      <c r="F12" s="148">
        <f>12+53/60</f>
        <v>12.883333333333333</v>
      </c>
      <c r="G12" s="350">
        <f>MAX(C12:F12)</f>
        <v>23.016666666666666</v>
      </c>
      <c r="H12" s="350">
        <f>AVERAGE(C12:F12)</f>
        <v>16.9375</v>
      </c>
      <c r="I12" s="148">
        <f>MIN(C12:F12)</f>
        <v>12.033333333333333</v>
      </c>
      <c r="J12" s="355"/>
      <c r="K12" s="353"/>
      <c r="L12" s="353"/>
      <c r="M12" s="353"/>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row>
    <row r="13" spans="1:36" s="83" customFormat="1">
      <c r="A13" s="351" t="s">
        <v>872</v>
      </c>
      <c r="B13" s="148" t="s">
        <v>346</v>
      </c>
      <c r="C13" s="148">
        <f>60+15/60</f>
        <v>60.25</v>
      </c>
      <c r="D13" s="148">
        <f>25+22/60</f>
        <v>25.366666666666667</v>
      </c>
      <c r="E13" s="148">
        <f>69+22/60</f>
        <v>69.36666666666666</v>
      </c>
      <c r="F13" s="148">
        <f>25+12/60</f>
        <v>25.2</v>
      </c>
      <c r="G13" s="350">
        <f>MAX(C13:F13)</f>
        <v>69.36666666666666</v>
      </c>
      <c r="H13" s="350">
        <f>AVERAGE(C13:F13)</f>
        <v>45.045833333333334</v>
      </c>
      <c r="I13" s="148">
        <f>MIN(C13:F13)</f>
        <v>25.2</v>
      </c>
      <c r="J13" s="356"/>
      <c r="K13" s="353"/>
      <c r="L13" s="353"/>
      <c r="M13" s="353"/>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row>
    <row r="14" spans="1:36" s="83" customFormat="1">
      <c r="A14" s="651" t="s">
        <v>338</v>
      </c>
      <c r="B14" s="653" t="s">
        <v>339</v>
      </c>
      <c r="C14" s="655" t="s">
        <v>340</v>
      </c>
      <c r="D14" s="656"/>
      <c r="E14" s="656"/>
      <c r="F14" s="657"/>
      <c r="G14" s="647" t="s">
        <v>870</v>
      </c>
      <c r="H14" s="648"/>
      <c r="I14" s="649"/>
      <c r="J14" s="355"/>
      <c r="K14" s="353"/>
      <c r="L14" s="353"/>
      <c r="M14" s="353"/>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row>
    <row r="15" spans="1:36" s="83" customFormat="1">
      <c r="A15" s="658"/>
      <c r="B15" s="659"/>
      <c r="C15" s="347" t="s">
        <v>865</v>
      </c>
      <c r="D15" s="333" t="s">
        <v>866</v>
      </c>
      <c r="E15" s="333" t="s">
        <v>867</v>
      </c>
      <c r="F15" s="333" t="s">
        <v>868</v>
      </c>
      <c r="G15" s="348" t="s">
        <v>342</v>
      </c>
      <c r="H15" s="348" t="s">
        <v>343</v>
      </c>
      <c r="I15" s="348" t="s">
        <v>344</v>
      </c>
      <c r="J15" s="355"/>
      <c r="K15" s="353"/>
      <c r="L15" s="353"/>
      <c r="M15" s="353"/>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row>
    <row r="16" spans="1:36" s="83" customFormat="1">
      <c r="A16" s="349" t="s">
        <v>345</v>
      </c>
      <c r="B16" s="148" t="s">
        <v>346</v>
      </c>
      <c r="C16" s="148">
        <f>12+(23/60)</f>
        <v>12.383333333333333</v>
      </c>
      <c r="D16" s="148">
        <f>11+37/60</f>
        <v>11.616666666666667</v>
      </c>
      <c r="E16" s="148">
        <f>3+11/60</f>
        <v>3.1833333333333331</v>
      </c>
      <c r="F16" s="148">
        <f>1+53/60</f>
        <v>1.8833333333333333</v>
      </c>
      <c r="G16" s="350">
        <f>MAX(C16:F16)</f>
        <v>12.383333333333333</v>
      </c>
      <c r="H16" s="350">
        <f>AVERAGE(C16:F16)</f>
        <v>7.2666666666666666</v>
      </c>
      <c r="I16" s="350">
        <f>MIN(C16:F16)</f>
        <v>1.8833333333333333</v>
      </c>
      <c r="J16" s="356"/>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row>
    <row r="17" spans="1:36" s="83" customFormat="1">
      <c r="A17" s="349" t="s">
        <v>871</v>
      </c>
      <c r="B17" s="148" t="s">
        <v>346</v>
      </c>
      <c r="C17" s="148">
        <f>21+46/60</f>
        <v>21.766666666666666</v>
      </c>
      <c r="D17" s="148">
        <f>15+16/60</f>
        <v>15.266666666666667</v>
      </c>
      <c r="E17" s="148">
        <f>10+44/60</f>
        <v>10.733333333333333</v>
      </c>
      <c r="F17" s="148">
        <f>10</f>
        <v>10</v>
      </c>
      <c r="G17" s="350">
        <f>MAX(C17:F17)</f>
        <v>21.766666666666666</v>
      </c>
      <c r="H17" s="350">
        <f>AVERAGE(C17:F17)</f>
        <v>14.441666666666666</v>
      </c>
      <c r="I17" s="148">
        <f>MIN(C17:F17)</f>
        <v>10</v>
      </c>
      <c r="J17" s="352"/>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4"/>
    </row>
    <row r="18" spans="1:36" s="83" customFormat="1">
      <c r="A18" s="351" t="s">
        <v>872</v>
      </c>
      <c r="B18" s="148" t="s">
        <v>346</v>
      </c>
      <c r="C18" s="148">
        <f>32+55/60</f>
        <v>32.916666666666664</v>
      </c>
      <c r="D18" s="148">
        <f>48+42/60</f>
        <v>48.7</v>
      </c>
      <c r="E18" s="148">
        <f>16+40/60</f>
        <v>16.666666666666668</v>
      </c>
      <c r="F18" s="148">
        <f>20/60</f>
        <v>0.33333333333333331</v>
      </c>
      <c r="G18" s="350">
        <f>MAX(C18:F18)</f>
        <v>48.7</v>
      </c>
      <c r="H18" s="350">
        <f>AVERAGE(C18:F18)</f>
        <v>24.654166666666669</v>
      </c>
      <c r="I18" s="350">
        <f>MIN(C18:F18)</f>
        <v>0.33333333333333331</v>
      </c>
      <c r="J18" s="352"/>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row>
    <row r="19" spans="1:36" s="83" customFormat="1">
      <c r="A19" s="357"/>
      <c r="B19" s="354"/>
      <c r="C19" s="354"/>
      <c r="D19" s="354"/>
      <c r="E19" s="354"/>
      <c r="F19" s="354"/>
      <c r="G19" s="354"/>
      <c r="H19" s="354"/>
      <c r="I19" s="354"/>
      <c r="J19" s="352"/>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row>
    <row r="20" spans="1:36" s="344" customFormat="1" ht="17.5">
      <c r="A20" s="343" t="s">
        <v>874</v>
      </c>
      <c r="G20" s="345"/>
      <c r="H20" s="345"/>
      <c r="I20" s="345"/>
      <c r="J20" s="345"/>
      <c r="K20" s="345"/>
      <c r="L20" s="345"/>
      <c r="M20" s="345"/>
      <c r="N20" s="345"/>
      <c r="O20" s="345"/>
      <c r="P20" s="345"/>
      <c r="Q20" s="345"/>
      <c r="R20" s="345"/>
    </row>
    <row r="21" spans="1:36" ht="22.25" customHeight="1" thickBot="1">
      <c r="A21" s="373" t="s">
        <v>88</v>
      </c>
      <c r="B21" s="373" t="s">
        <v>875</v>
      </c>
      <c r="C21" s="661" t="s">
        <v>347</v>
      </c>
      <c r="D21" s="661"/>
      <c r="E21" s="661"/>
      <c r="F21" s="661"/>
      <c r="G21" s="661"/>
      <c r="H21" s="346"/>
      <c r="I21" s="346"/>
      <c r="J21" s="367" t="s">
        <v>348</v>
      </c>
      <c r="K21" s="110"/>
      <c r="L21" s="105"/>
      <c r="M21" s="110"/>
      <c r="N21" s="110"/>
      <c r="O21" s="110"/>
      <c r="P21" s="77"/>
      <c r="Q21" s="77"/>
      <c r="R21" s="346"/>
    </row>
    <row r="22" spans="1:36" s="77" customFormat="1" ht="34.25" customHeight="1" thickTop="1" thickBot="1">
      <c r="A22" s="366" t="s">
        <v>53</v>
      </c>
      <c r="B22" s="360">
        <f>O27</f>
        <v>1.385</v>
      </c>
      <c r="C22" s="662" t="s">
        <v>876</v>
      </c>
      <c r="D22" s="662"/>
      <c r="E22" s="662"/>
      <c r="F22" s="662"/>
      <c r="G22" s="662"/>
      <c r="J22" s="376" t="s">
        <v>347</v>
      </c>
      <c r="K22" s="381" t="s">
        <v>88</v>
      </c>
      <c r="L22" s="382"/>
      <c r="M22" s="376" t="s">
        <v>350</v>
      </c>
      <c r="N22" s="376" t="s">
        <v>351</v>
      </c>
      <c r="O22" s="376" t="s">
        <v>352</v>
      </c>
    </row>
    <row r="23" spans="1:36" s="77" customFormat="1" ht="28.25" customHeight="1" thickTop="1">
      <c r="A23" s="285" t="s">
        <v>877</v>
      </c>
      <c r="B23" s="158">
        <v>1.06</v>
      </c>
      <c r="C23" s="663" t="s">
        <v>349</v>
      </c>
      <c r="D23" s="663"/>
      <c r="E23" s="663"/>
      <c r="F23" s="663"/>
      <c r="G23" s="663"/>
      <c r="J23" s="378" t="s">
        <v>353</v>
      </c>
      <c r="K23" s="666" t="s">
        <v>354</v>
      </c>
      <c r="L23" s="667"/>
      <c r="M23" s="250">
        <v>1.3</v>
      </c>
      <c r="N23" s="250">
        <v>1.6</v>
      </c>
      <c r="O23" s="250">
        <f>AVERAGE(M23:N23)</f>
        <v>1.4500000000000002</v>
      </c>
    </row>
    <row r="24" spans="1:36" s="77" customFormat="1" ht="28.25" customHeight="1">
      <c r="A24" s="368" t="s">
        <v>878</v>
      </c>
      <c r="B24" s="369">
        <v>1.35</v>
      </c>
      <c r="C24" s="663" t="s">
        <v>349</v>
      </c>
      <c r="D24" s="663"/>
      <c r="E24" s="663"/>
      <c r="F24" s="663"/>
      <c r="G24" s="663"/>
      <c r="H24" s="371"/>
      <c r="J24" s="379" t="s">
        <v>881</v>
      </c>
      <c r="K24" s="664" t="s">
        <v>357</v>
      </c>
      <c r="L24" s="665"/>
      <c r="M24" s="374" t="s">
        <v>358</v>
      </c>
      <c r="N24" s="374" t="s">
        <v>358</v>
      </c>
      <c r="O24" s="69">
        <v>1.3</v>
      </c>
    </row>
    <row r="25" spans="1:36" s="77" customFormat="1" ht="21.65" customHeight="1">
      <c r="A25" s="368" t="s">
        <v>355</v>
      </c>
      <c r="B25" s="369">
        <v>1.34</v>
      </c>
      <c r="C25" s="663" t="s">
        <v>356</v>
      </c>
      <c r="D25" s="663"/>
      <c r="E25" s="663"/>
      <c r="F25" s="663"/>
      <c r="G25" s="663"/>
      <c r="H25" s="371"/>
      <c r="J25" s="379" t="s">
        <v>360</v>
      </c>
      <c r="K25" s="668" t="s">
        <v>53</v>
      </c>
      <c r="L25" s="669"/>
      <c r="M25" s="374" t="s">
        <v>358</v>
      </c>
      <c r="N25" s="374" t="s">
        <v>358</v>
      </c>
      <c r="O25" s="375">
        <v>1.41</v>
      </c>
    </row>
    <row r="26" spans="1:36" s="77" customFormat="1" ht="43.75" customHeight="1">
      <c r="A26" s="368" t="s">
        <v>879</v>
      </c>
      <c r="B26" s="158">
        <v>0.75</v>
      </c>
      <c r="C26" s="663" t="s">
        <v>359</v>
      </c>
      <c r="D26" s="663"/>
      <c r="E26" s="663"/>
      <c r="F26" s="663"/>
      <c r="G26" s="663"/>
      <c r="H26" s="371"/>
      <c r="J26" s="380" t="s">
        <v>882</v>
      </c>
      <c r="K26" s="664" t="s">
        <v>884</v>
      </c>
      <c r="L26" s="665"/>
      <c r="M26" s="374" t="s">
        <v>358</v>
      </c>
      <c r="N26" s="374" t="s">
        <v>358</v>
      </c>
      <c r="O26" s="158">
        <v>1.38</v>
      </c>
    </row>
    <row r="27" spans="1:36" s="77" customFormat="1" ht="19.25" customHeight="1">
      <c r="A27" s="368" t="s">
        <v>880</v>
      </c>
      <c r="B27" s="158">
        <v>0.7</v>
      </c>
      <c r="C27" s="660" t="s">
        <v>361</v>
      </c>
      <c r="D27" s="660"/>
      <c r="E27" s="660"/>
      <c r="F27" s="660"/>
      <c r="G27" s="660"/>
      <c r="H27" s="371"/>
      <c r="J27" s="670" t="s">
        <v>883</v>
      </c>
      <c r="K27" s="671"/>
      <c r="L27" s="671"/>
      <c r="M27" s="671"/>
      <c r="N27" s="671"/>
      <c r="O27" s="350">
        <f>AVERAGE(O23:O26)</f>
        <v>1.385</v>
      </c>
      <c r="P27"/>
    </row>
    <row r="28" spans="1:36" s="77" customFormat="1" ht="45.65" customHeight="1">
      <c r="A28" s="368" t="s">
        <v>362</v>
      </c>
      <c r="B28" s="158">
        <v>1.55</v>
      </c>
      <c r="C28" s="660" t="s">
        <v>363</v>
      </c>
      <c r="D28" s="660"/>
      <c r="E28" s="660"/>
      <c r="F28" s="660"/>
      <c r="G28" s="660"/>
    </row>
    <row r="29" spans="1:36" s="77" customFormat="1" ht="30.65" customHeight="1">
      <c r="A29" s="368" t="s">
        <v>364</v>
      </c>
      <c r="B29" s="158">
        <v>0.75</v>
      </c>
      <c r="C29" s="660" t="s">
        <v>365</v>
      </c>
      <c r="D29" s="660"/>
      <c r="E29" s="660"/>
      <c r="F29" s="660"/>
      <c r="G29" s="660"/>
      <c r="L29" s="110"/>
    </row>
    <row r="30" spans="1:36" s="77" customFormat="1" ht="31.75" customHeight="1">
      <c r="A30" s="368" t="s">
        <v>366</v>
      </c>
      <c r="B30" s="158">
        <v>0.05</v>
      </c>
      <c r="C30" s="660" t="s">
        <v>367</v>
      </c>
      <c r="D30" s="660"/>
      <c r="E30" s="660"/>
      <c r="F30" s="660"/>
      <c r="G30" s="660"/>
      <c r="J30" s="377"/>
    </row>
    <row r="31" spans="1:36">
      <c r="B31" s="78"/>
    </row>
  </sheetData>
  <sheetProtection algorithmName="SHA-512" hashValue="hEMa81xtSE3bHkzy1WcGbpgxDY6KQplzcOcN464l0vwH0c1xBnC3ZCi/F/zIod/TuXJrDM2nFguzzVOFgB6A6g==" saltValue="6KmJFWBt2QCDuAXwgJ4Okg==" spinCount="100000" sheet="1" objects="1" scenarios="1" formatCells="0" formatColumns="0" formatRows="0"/>
  <mergeCells count="29">
    <mergeCell ref="K24:L24"/>
    <mergeCell ref="K23:L23"/>
    <mergeCell ref="K26:L26"/>
    <mergeCell ref="K25:L25"/>
    <mergeCell ref="J27:N27"/>
    <mergeCell ref="C30:G30"/>
    <mergeCell ref="C27:G27"/>
    <mergeCell ref="C28:G28"/>
    <mergeCell ref="C29:G29"/>
    <mergeCell ref="C21:G21"/>
    <mergeCell ref="C22:G22"/>
    <mergeCell ref="C23:G23"/>
    <mergeCell ref="C24:G24"/>
    <mergeCell ref="C25:G25"/>
    <mergeCell ref="C26:G26"/>
    <mergeCell ref="G14:I14"/>
    <mergeCell ref="A3:F3"/>
    <mergeCell ref="G3:I3"/>
    <mergeCell ref="A4:A5"/>
    <mergeCell ref="B4:B5"/>
    <mergeCell ref="C4:F4"/>
    <mergeCell ref="G4:I4"/>
    <mergeCell ref="A9:A10"/>
    <mergeCell ref="B9:B10"/>
    <mergeCell ref="C9:F9"/>
    <mergeCell ref="G9:I9"/>
    <mergeCell ref="A14:A15"/>
    <mergeCell ref="B14:B15"/>
    <mergeCell ref="C14:F14"/>
  </mergeCells>
  <hyperlinks>
    <hyperlink ref="C23" r:id="rId1" xr:uid="{2153D912-3AA0-41F4-9F38-082EDDBA44A0}"/>
    <hyperlink ref="C24" r:id="rId2" xr:uid="{57BC0CFF-4A5C-482E-AFE5-B53B001A0640}"/>
    <hyperlink ref="C25" r:id="rId3" xr:uid="{1A989591-6CAB-4529-BCF0-16225ED6F66E}"/>
    <hyperlink ref="C26" r:id="rId4" xr:uid="{20DD9E5A-BDDE-4E40-A218-DEA36F67B983}"/>
    <hyperlink ref="C27" r:id="rId5" xr:uid="{3E4F381E-18D5-4D7E-937D-D846D18B42B9}"/>
    <hyperlink ref="C28" r:id="rId6" location=":~:text=Cotton%20fibers%20have%20a%20density,the%20dyeability%20of%20the%20fabric." xr:uid="{7EE75CFE-DFFF-4328-9EDD-5F3DE39C2FFB}"/>
    <hyperlink ref="C29" r:id="rId7" xr:uid="{8BF65A0B-6110-44CE-AFC8-CCFD972AB60F}"/>
    <hyperlink ref="C30" r:id="rId8" xr:uid="{30F2A16A-0FBC-495D-9732-668D2FB3F546}"/>
    <hyperlink ref="J25" r:id="rId9" xr:uid="{B4408B32-070D-4BCC-BC94-DF1CE457665B}"/>
    <hyperlink ref="J24" r:id="rId10" xr:uid="{8260E0C9-3382-426B-9A0F-46A2141AC037}"/>
    <hyperlink ref="J23" r:id="rId11" xr:uid="{A779CC61-6F81-4F82-9C2C-54CE469DCAA2}"/>
    <hyperlink ref="J26" r:id="rId12" display="Li et. al (2018)" xr:uid="{AA431804-111F-404A-8771-56C2A258990F}"/>
  </hyperlinks>
  <pageMargins left="0.7" right="0.7" top="0.75" bottom="0.75" header="0.3" footer="0.3"/>
  <drawing r:id="rId1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15F47-B302-4723-A032-1E71F394D9F3}">
  <dimension ref="A1:L134"/>
  <sheetViews>
    <sheetView zoomScale="90" zoomScaleNormal="90" workbookViewId="0">
      <pane ySplit="1" topLeftCell="A2" activePane="bottomLeft" state="frozen"/>
      <selection pane="bottomLeft" activeCell="C24" sqref="C24"/>
    </sheetView>
  </sheetViews>
  <sheetFormatPr defaultColWidth="8.9140625" defaultRowHeight="14"/>
  <cols>
    <col min="1" max="1" width="35.6640625" style="77" customWidth="1"/>
    <col min="2" max="2" width="15.75" style="110" customWidth="1"/>
    <col min="3" max="3" width="8.9140625" style="77"/>
    <col min="4" max="6" width="21.58203125" style="77" customWidth="1"/>
    <col min="7" max="7" width="30.9140625" style="77" customWidth="1"/>
    <col min="8" max="8" width="27" style="77" customWidth="1"/>
    <col min="9" max="9" width="27.33203125" style="77" customWidth="1"/>
    <col min="10" max="10" width="17.9140625" style="77" customWidth="1"/>
    <col min="11" max="14" width="8.9140625" style="77"/>
    <col min="15" max="15" width="6.58203125" style="77" customWidth="1"/>
    <col min="16" max="16384" width="8.9140625" style="77"/>
  </cols>
  <sheetData>
    <row r="1" spans="1:11" ht="20.25" customHeight="1">
      <c r="A1" s="686" t="s">
        <v>205</v>
      </c>
      <c r="B1" s="687"/>
      <c r="C1" s="114"/>
      <c r="D1" s="115" t="s">
        <v>218</v>
      </c>
      <c r="E1" s="115" t="s">
        <v>368</v>
      </c>
      <c r="F1" s="115" t="s">
        <v>220</v>
      </c>
      <c r="G1" s="115" t="s">
        <v>369</v>
      </c>
      <c r="H1" s="115" t="s">
        <v>370</v>
      </c>
      <c r="I1" s="115" t="s">
        <v>371</v>
      </c>
      <c r="J1" s="115" t="s">
        <v>372</v>
      </c>
    </row>
    <row r="2" spans="1:11" ht="18" customHeight="1">
      <c r="A2" s="688" t="s">
        <v>373</v>
      </c>
      <c r="B2" s="689"/>
      <c r="C2" s="116"/>
      <c r="D2" s="116" t="s">
        <v>374</v>
      </c>
      <c r="E2" s="116" t="s">
        <v>374</v>
      </c>
      <c r="F2" s="116" t="s">
        <v>374</v>
      </c>
      <c r="G2" s="116" t="s">
        <v>375</v>
      </c>
      <c r="H2" s="116" t="s">
        <v>374</v>
      </c>
      <c r="I2" s="116" t="s">
        <v>374</v>
      </c>
      <c r="J2" s="116" t="s">
        <v>374</v>
      </c>
    </row>
    <row r="3" spans="1:11" ht="28">
      <c r="A3" s="117" t="s">
        <v>376</v>
      </c>
      <c r="B3" s="118" t="s">
        <v>377</v>
      </c>
      <c r="C3" s="118" t="s">
        <v>378</v>
      </c>
      <c r="D3" s="118" t="s">
        <v>379</v>
      </c>
      <c r="E3" s="118" t="s">
        <v>379</v>
      </c>
      <c r="F3" s="118" t="s">
        <v>379</v>
      </c>
      <c r="G3" s="118" t="s">
        <v>379</v>
      </c>
      <c r="H3" s="118" t="s">
        <v>379</v>
      </c>
      <c r="I3" s="118" t="s">
        <v>379</v>
      </c>
      <c r="J3" s="118" t="s">
        <v>379</v>
      </c>
      <c r="K3" s="387"/>
    </row>
    <row r="4" spans="1:11" ht="13.75" customHeight="1">
      <c r="A4" s="678" t="s">
        <v>380</v>
      </c>
      <c r="B4" s="679"/>
      <c r="C4" s="120"/>
      <c r="D4" s="121" t="s">
        <v>381</v>
      </c>
      <c r="E4" s="121" t="s">
        <v>381</v>
      </c>
      <c r="F4" s="121" t="s">
        <v>381</v>
      </c>
      <c r="G4" s="121" t="s">
        <v>381</v>
      </c>
      <c r="H4" s="121" t="s">
        <v>381</v>
      </c>
      <c r="I4" s="121" t="s">
        <v>381</v>
      </c>
      <c r="J4" s="121" t="s">
        <v>381</v>
      </c>
      <c r="K4" s="387"/>
    </row>
    <row r="5" spans="1:11" ht="13.75" customHeight="1">
      <c r="A5" s="122" t="s">
        <v>382</v>
      </c>
      <c r="B5" s="124" t="s">
        <v>383</v>
      </c>
      <c r="C5" s="123"/>
      <c r="D5" s="124">
        <v>1</v>
      </c>
      <c r="E5" s="124">
        <v>1</v>
      </c>
      <c r="F5" s="124">
        <v>1</v>
      </c>
      <c r="G5" s="124">
        <v>3</v>
      </c>
      <c r="H5" s="124">
        <v>1</v>
      </c>
      <c r="I5" s="124">
        <v>1</v>
      </c>
      <c r="J5" s="124">
        <v>1</v>
      </c>
      <c r="K5" s="387"/>
    </row>
    <row r="6" spans="1:11">
      <c r="A6" s="122" t="s">
        <v>382</v>
      </c>
      <c r="B6" s="124" t="s">
        <v>384</v>
      </c>
      <c r="C6" s="123"/>
      <c r="D6" s="124">
        <v>12</v>
      </c>
      <c r="E6" s="124">
        <v>3</v>
      </c>
      <c r="F6" s="124">
        <f>2*52</f>
        <v>104</v>
      </c>
      <c r="G6" s="124" t="s">
        <v>385</v>
      </c>
      <c r="H6" s="124">
        <v>3</v>
      </c>
      <c r="I6" s="124">
        <v>7</v>
      </c>
      <c r="J6" s="124">
        <v>52</v>
      </c>
      <c r="K6" s="386"/>
    </row>
    <row r="7" spans="1:11">
      <c r="A7" s="680" t="s">
        <v>386</v>
      </c>
      <c r="B7" s="682" t="s">
        <v>387</v>
      </c>
      <c r="C7" s="153" t="s">
        <v>388</v>
      </c>
      <c r="D7" s="126">
        <v>30</v>
      </c>
      <c r="E7" s="126">
        <v>120</v>
      </c>
      <c r="F7" s="126">
        <v>30</v>
      </c>
      <c r="G7" s="126">
        <v>50</v>
      </c>
      <c r="H7" s="153">
        <v>240</v>
      </c>
      <c r="I7" s="153">
        <v>140</v>
      </c>
      <c r="J7" s="126">
        <v>30</v>
      </c>
      <c r="K7" s="386"/>
    </row>
    <row r="8" spans="1:11">
      <c r="A8" s="681"/>
      <c r="B8" s="682"/>
      <c r="C8" s="153" t="s">
        <v>596</v>
      </c>
      <c r="D8" s="126">
        <v>20</v>
      </c>
      <c r="E8" s="126">
        <v>60</v>
      </c>
      <c r="F8" s="126">
        <v>15</v>
      </c>
      <c r="G8" s="126">
        <v>45</v>
      </c>
      <c r="H8" s="153">
        <v>128</v>
      </c>
      <c r="I8" s="153">
        <v>75</v>
      </c>
      <c r="J8" s="126">
        <v>15</v>
      </c>
      <c r="K8" s="386"/>
    </row>
    <row r="9" spans="1:11">
      <c r="A9" s="681"/>
      <c r="B9" s="682"/>
      <c r="C9" s="153" t="s">
        <v>390</v>
      </c>
      <c r="D9" s="126">
        <v>10</v>
      </c>
      <c r="E9" s="126">
        <v>30</v>
      </c>
      <c r="F9" s="126">
        <v>5</v>
      </c>
      <c r="G9" s="126">
        <v>40</v>
      </c>
      <c r="H9" s="153">
        <v>15</v>
      </c>
      <c r="I9" s="153">
        <v>10</v>
      </c>
      <c r="J9" s="126">
        <v>5</v>
      </c>
      <c r="K9" s="386"/>
    </row>
    <row r="10" spans="1:11">
      <c r="A10" s="680" t="s">
        <v>391</v>
      </c>
      <c r="B10" s="682" t="s">
        <v>387</v>
      </c>
      <c r="C10" s="153" t="s">
        <v>388</v>
      </c>
      <c r="D10" s="126">
        <v>30</v>
      </c>
      <c r="E10" s="126">
        <v>120</v>
      </c>
      <c r="F10" s="126">
        <v>30</v>
      </c>
      <c r="G10" s="126">
        <v>50</v>
      </c>
      <c r="H10" s="153">
        <v>240</v>
      </c>
      <c r="I10" s="153">
        <v>140</v>
      </c>
      <c r="J10" s="126">
        <v>30</v>
      </c>
      <c r="K10" s="386"/>
    </row>
    <row r="11" spans="1:11">
      <c r="A11" s="681"/>
      <c r="B11" s="682"/>
      <c r="C11" s="153" t="s">
        <v>596</v>
      </c>
      <c r="D11" s="126">
        <v>20</v>
      </c>
      <c r="E11" s="126">
        <v>60</v>
      </c>
      <c r="F11" s="126">
        <v>15</v>
      </c>
      <c r="G11" s="126">
        <v>45</v>
      </c>
      <c r="H11" s="153">
        <v>128</v>
      </c>
      <c r="I11" s="153">
        <v>75</v>
      </c>
      <c r="J11" s="126">
        <v>15</v>
      </c>
      <c r="K11" s="386"/>
    </row>
    <row r="12" spans="1:11">
      <c r="A12" s="681"/>
      <c r="B12" s="682"/>
      <c r="C12" s="153" t="s">
        <v>390</v>
      </c>
      <c r="D12" s="126">
        <v>10</v>
      </c>
      <c r="E12" s="126">
        <v>30</v>
      </c>
      <c r="F12" s="126">
        <v>5</v>
      </c>
      <c r="G12" s="126">
        <v>40</v>
      </c>
      <c r="H12" s="153">
        <v>15</v>
      </c>
      <c r="I12" s="153">
        <v>10</v>
      </c>
      <c r="J12" s="126">
        <v>5</v>
      </c>
      <c r="K12" s="386"/>
    </row>
    <row r="13" spans="1:11">
      <c r="A13" s="680" t="s">
        <v>392</v>
      </c>
      <c r="B13" s="682" t="s">
        <v>387</v>
      </c>
      <c r="C13" s="153" t="s">
        <v>388</v>
      </c>
      <c r="D13" s="126">
        <v>0</v>
      </c>
      <c r="E13" s="126">
        <v>0</v>
      </c>
      <c r="F13" s="126">
        <v>0</v>
      </c>
      <c r="G13" s="126">
        <v>50</v>
      </c>
      <c r="H13" s="126">
        <v>0</v>
      </c>
      <c r="I13" s="126">
        <v>0</v>
      </c>
      <c r="J13" s="126">
        <v>0</v>
      </c>
      <c r="K13" s="386"/>
    </row>
    <row r="14" spans="1:11">
      <c r="A14" s="681"/>
      <c r="B14" s="682"/>
      <c r="C14" s="153" t="s">
        <v>596</v>
      </c>
      <c r="D14" s="126">
        <v>0</v>
      </c>
      <c r="E14" s="126">
        <v>0</v>
      </c>
      <c r="F14" s="126">
        <v>0</v>
      </c>
      <c r="G14" s="126">
        <v>45</v>
      </c>
      <c r="H14" s="126">
        <v>0</v>
      </c>
      <c r="I14" s="126">
        <v>0</v>
      </c>
      <c r="J14" s="126">
        <v>0</v>
      </c>
      <c r="K14" s="386"/>
    </row>
    <row r="15" spans="1:11">
      <c r="A15" s="681"/>
      <c r="B15" s="682"/>
      <c r="C15" s="153" t="s">
        <v>390</v>
      </c>
      <c r="D15" s="126">
        <v>0</v>
      </c>
      <c r="E15" s="126">
        <v>0</v>
      </c>
      <c r="F15" s="126">
        <v>0</v>
      </c>
      <c r="G15" s="126">
        <v>40</v>
      </c>
      <c r="H15" s="126">
        <v>0</v>
      </c>
      <c r="I15" s="126">
        <v>0</v>
      </c>
      <c r="J15" s="126">
        <v>0</v>
      </c>
      <c r="K15" s="386"/>
    </row>
    <row r="16" spans="1:11" ht="29.25" customHeight="1">
      <c r="A16" s="127" t="s">
        <v>393</v>
      </c>
      <c r="B16" s="128"/>
      <c r="C16" s="128"/>
      <c r="D16" s="129"/>
      <c r="E16" s="129"/>
      <c r="F16" s="129"/>
      <c r="G16" s="129"/>
      <c r="H16" s="130"/>
      <c r="I16" s="130"/>
      <c r="J16" s="130"/>
      <c r="K16" s="386"/>
    </row>
    <row r="17" spans="1:12" ht="14.4" customHeight="1">
      <c r="A17" s="690" t="s">
        <v>394</v>
      </c>
      <c r="B17" s="691"/>
      <c r="C17" s="692"/>
      <c r="D17" s="124" t="s">
        <v>395</v>
      </c>
      <c r="E17" s="124" t="s">
        <v>396</v>
      </c>
      <c r="F17" s="124" t="s">
        <v>395</v>
      </c>
      <c r="G17" s="124" t="s">
        <v>397</v>
      </c>
      <c r="H17" s="124" t="s">
        <v>395</v>
      </c>
      <c r="I17" s="124" t="s">
        <v>395</v>
      </c>
      <c r="J17" s="124" t="s">
        <v>395</v>
      </c>
      <c r="K17" s="386"/>
    </row>
    <row r="18" spans="1:12" ht="14.4" customHeight="1">
      <c r="A18" s="131"/>
      <c r="B18" s="691" t="s">
        <v>398</v>
      </c>
      <c r="C18" s="692"/>
      <c r="D18" s="158" t="str">
        <f>VLOOKUP(D17, CEM_Models!$A$23:$G$86, 3)</f>
        <v>E3</v>
      </c>
      <c r="E18" s="158" t="str">
        <f>VLOOKUP(E17, CEM_Models!$A$23:$G$86, 3)</f>
        <v>E1</v>
      </c>
      <c r="F18" s="158" t="str">
        <f>VLOOKUP(F17, CEM_Models!$A$23:$G$86, 3)</f>
        <v>E3</v>
      </c>
      <c r="G18" s="158" t="s">
        <v>399</v>
      </c>
      <c r="H18" s="158" t="str">
        <f>VLOOKUP(H17, CEM_Models!$A$23:$G$86, 3)</f>
        <v>E3</v>
      </c>
      <c r="I18" s="158" t="str">
        <f>VLOOKUP(I17, CEM_Models!$A$23:$G$86, 3)</f>
        <v>E3</v>
      </c>
      <c r="J18" s="158" t="str">
        <f>VLOOKUP(J17, CEM_Models!$A$23:$G$86, 3)</f>
        <v>E3</v>
      </c>
      <c r="K18" s="68"/>
    </row>
    <row r="19" spans="1:12">
      <c r="A19" s="693" t="s">
        <v>400</v>
      </c>
      <c r="B19" s="694"/>
      <c r="C19" s="695"/>
      <c r="D19" s="158" t="str">
        <f>VLOOKUP(D17, CEM_Models!$A$23:$G$86, 4)</f>
        <v>P_INH1, P_INH2</v>
      </c>
      <c r="E19" s="158" t="str">
        <f>VLOOKUP(E17, CEM_Models!$A$23:$G$86, 4)</f>
        <v>P_INH1, P_INH2</v>
      </c>
      <c r="F19" s="158" t="str">
        <f>VLOOKUP(F17, CEM_Models!$A$23:$G$86, 4)</f>
        <v>P_INH1, P_INH2</v>
      </c>
      <c r="G19" s="158" t="s">
        <v>401</v>
      </c>
      <c r="H19" s="158" t="str">
        <f>VLOOKUP(H17, CEM_Models!$A$23:$G$86, 4)</f>
        <v>P_INH1, P_INH2</v>
      </c>
      <c r="I19" s="158" t="str">
        <f>VLOOKUP(I17, CEM_Models!$A$23:$G$86, 4)</f>
        <v>P_INH1, P_INH2</v>
      </c>
      <c r="J19" s="158" t="str">
        <f>VLOOKUP(J17, CEM_Models!$A$23:$G$86, 4)</f>
        <v>P_INH1, P_INH2</v>
      </c>
      <c r="K19" s="386"/>
      <c r="L19" s="52"/>
    </row>
    <row r="20" spans="1:12" ht="28.5" customHeight="1">
      <c r="A20" s="132" t="s">
        <v>402</v>
      </c>
      <c r="B20" s="133" t="s">
        <v>377</v>
      </c>
      <c r="C20" s="132"/>
      <c r="D20" s="118" t="s">
        <v>379</v>
      </c>
      <c r="E20" s="118" t="s">
        <v>379</v>
      </c>
      <c r="F20" s="118" t="s">
        <v>379</v>
      </c>
      <c r="G20" s="118" t="s">
        <v>379</v>
      </c>
      <c r="H20" s="118" t="s">
        <v>379</v>
      </c>
      <c r="I20" s="118" t="s">
        <v>379</v>
      </c>
      <c r="J20" s="118" t="s">
        <v>379</v>
      </c>
      <c r="K20" s="386"/>
    </row>
    <row r="21" spans="1:12">
      <c r="A21" s="388" t="s">
        <v>403</v>
      </c>
      <c r="B21" s="137"/>
      <c r="C21" s="389"/>
      <c r="D21" s="137"/>
      <c r="E21" s="137"/>
      <c r="F21" s="137"/>
      <c r="G21" s="137"/>
      <c r="H21" s="137"/>
      <c r="I21" s="137"/>
      <c r="J21" s="137"/>
      <c r="K21" s="386"/>
    </row>
    <row r="22" spans="1:12">
      <c r="A22" s="683" t="s">
        <v>404</v>
      </c>
      <c r="B22" s="675" t="s">
        <v>405</v>
      </c>
      <c r="C22" s="153" t="s">
        <v>388</v>
      </c>
      <c r="D22" s="168">
        <f>'Product WF and Use'!R3</f>
        <v>0.1</v>
      </c>
      <c r="E22" s="168">
        <f>'Product WF and Use'!S3</f>
        <v>0.03</v>
      </c>
      <c r="F22" s="390">
        <f>5/100</f>
        <v>0.05</v>
      </c>
      <c r="G22" s="390">
        <f>5/100</f>
        <v>0.05</v>
      </c>
      <c r="H22" s="168">
        <f>'Product WF and Use'!U3</f>
        <v>0.2</v>
      </c>
      <c r="I22" s="168">
        <f>'Product WF and Use'!V3</f>
        <v>0.25</v>
      </c>
      <c r="J22" s="390">
        <f>5/100</f>
        <v>0.05</v>
      </c>
      <c r="K22" s="386"/>
    </row>
    <row r="23" spans="1:12">
      <c r="A23" s="684"/>
      <c r="B23" s="676"/>
      <c r="C23" s="153" t="s">
        <v>596</v>
      </c>
      <c r="D23" s="391">
        <f>'Product WF and Use'!R4</f>
        <v>2.3990000000000001E-2</v>
      </c>
      <c r="E23" s="392">
        <f>'Product WF and Use'!S4</f>
        <v>7.3124999999999996E-3</v>
      </c>
      <c r="F23" s="150">
        <f>3/100</f>
        <v>0.03</v>
      </c>
      <c r="G23" s="150">
        <f>3/100</f>
        <v>0.03</v>
      </c>
      <c r="H23" s="392">
        <f>'Product WF and Use'!U4</f>
        <v>8.0916666666666665E-2</v>
      </c>
      <c r="I23" s="392">
        <f>'Product WF and Use'!V4</f>
        <v>0.13750000000000001</v>
      </c>
      <c r="J23" s="150">
        <f>3/100</f>
        <v>0.03</v>
      </c>
      <c r="K23" s="386"/>
    </row>
    <row r="24" spans="1:12">
      <c r="A24" s="685"/>
      <c r="B24" s="677"/>
      <c r="C24" s="153" t="s">
        <v>390</v>
      </c>
      <c r="D24" s="168">
        <f>'Product WF and Use'!R5</f>
        <v>5.0000000000000001E-4</v>
      </c>
      <c r="E24" s="126">
        <f>'Product WF and Use'!S5</f>
        <v>2.9999999999999997E-4</v>
      </c>
      <c r="F24" s="150">
        <f>1/100</f>
        <v>0.01</v>
      </c>
      <c r="G24" s="150">
        <f>1/100</f>
        <v>0.01</v>
      </c>
      <c r="H24" s="126">
        <f>'Product WF and Use'!U5</f>
        <v>5.0000000000000001E-4</v>
      </c>
      <c r="I24" s="126">
        <f>'Product WF and Use'!V5</f>
        <v>7.0000000000000007E-2</v>
      </c>
      <c r="J24" s="150">
        <f>1/100</f>
        <v>0.01</v>
      </c>
      <c r="K24" s="386"/>
    </row>
    <row r="25" spans="1:12" ht="16">
      <c r="A25" s="178" t="s">
        <v>406</v>
      </c>
      <c r="B25" s="139" t="s">
        <v>885</v>
      </c>
      <c r="C25" s="139"/>
      <c r="D25" s="139" t="s">
        <v>74</v>
      </c>
      <c r="E25" s="139" t="s">
        <v>74</v>
      </c>
      <c r="F25" s="140" t="s">
        <v>74</v>
      </c>
      <c r="G25" s="140" t="s">
        <v>74</v>
      </c>
      <c r="H25" s="140" t="s">
        <v>74</v>
      </c>
      <c r="I25" s="140" t="s">
        <v>74</v>
      </c>
      <c r="J25" s="140" t="s">
        <v>74</v>
      </c>
    </row>
    <row r="26" spans="1:12" ht="16">
      <c r="A26" s="180" t="s">
        <v>407</v>
      </c>
      <c r="B26" s="158" t="s">
        <v>886</v>
      </c>
      <c r="C26" s="158"/>
      <c r="D26" s="158">
        <v>0</v>
      </c>
      <c r="E26" s="158">
        <v>0</v>
      </c>
      <c r="F26" s="158">
        <v>0</v>
      </c>
      <c r="G26" s="158">
        <v>0</v>
      </c>
      <c r="H26" s="158">
        <v>0</v>
      </c>
      <c r="I26" s="158">
        <v>0</v>
      </c>
      <c r="J26" s="158">
        <v>0</v>
      </c>
    </row>
    <row r="27" spans="1:12">
      <c r="A27" s="180" t="s">
        <v>408</v>
      </c>
      <c r="B27" s="158" t="s">
        <v>887</v>
      </c>
      <c r="C27" s="158"/>
      <c r="D27" s="158">
        <v>0</v>
      </c>
      <c r="E27" s="158">
        <v>0</v>
      </c>
      <c r="F27" s="158">
        <v>0</v>
      </c>
      <c r="G27" s="158">
        <v>0</v>
      </c>
      <c r="H27" s="158">
        <v>0</v>
      </c>
      <c r="I27" s="158">
        <v>0</v>
      </c>
      <c r="J27" s="158">
        <v>0</v>
      </c>
    </row>
    <row r="28" spans="1:12">
      <c r="A28" s="180" t="s">
        <v>409</v>
      </c>
      <c r="B28" s="158" t="s">
        <v>410</v>
      </c>
      <c r="C28" s="158"/>
      <c r="D28" s="158" t="s">
        <v>267</v>
      </c>
      <c r="E28" s="158" t="s">
        <v>228</v>
      </c>
      <c r="F28" s="158" t="s">
        <v>228</v>
      </c>
      <c r="G28" s="158" t="s">
        <v>411</v>
      </c>
      <c r="H28" s="158" t="s">
        <v>412</v>
      </c>
      <c r="I28" s="158" t="s">
        <v>267</v>
      </c>
      <c r="J28" s="158" t="s">
        <v>228</v>
      </c>
    </row>
    <row r="29" spans="1:12">
      <c r="A29" s="180" t="s">
        <v>413</v>
      </c>
      <c r="B29" s="158" t="s">
        <v>410</v>
      </c>
      <c r="C29" s="158"/>
      <c r="D29" s="158" t="s">
        <v>375</v>
      </c>
      <c r="E29" s="158" t="s">
        <v>375</v>
      </c>
      <c r="F29" s="158" t="s">
        <v>375</v>
      </c>
      <c r="G29" s="158" t="s">
        <v>375</v>
      </c>
      <c r="H29" s="158" t="s">
        <v>375</v>
      </c>
      <c r="I29" s="158" t="s">
        <v>375</v>
      </c>
      <c r="J29" s="158" t="s">
        <v>375</v>
      </c>
    </row>
    <row r="30" spans="1:12">
      <c r="A30" s="180" t="s">
        <v>414</v>
      </c>
      <c r="B30" s="158" t="s">
        <v>410</v>
      </c>
      <c r="C30" s="158"/>
      <c r="D30" s="158" t="s">
        <v>381</v>
      </c>
      <c r="E30" s="158" t="s">
        <v>381</v>
      </c>
      <c r="F30" s="158" t="s">
        <v>381</v>
      </c>
      <c r="G30" s="158" t="s">
        <v>415</v>
      </c>
      <c r="H30" s="158" t="s">
        <v>381</v>
      </c>
      <c r="I30" s="158" t="s">
        <v>381</v>
      </c>
      <c r="J30" s="158" t="s">
        <v>381</v>
      </c>
    </row>
    <row r="31" spans="1:12">
      <c r="A31" s="180" t="s">
        <v>416</v>
      </c>
      <c r="B31" s="158" t="s">
        <v>410</v>
      </c>
      <c r="C31" s="158"/>
      <c r="D31" s="158" t="s">
        <v>417</v>
      </c>
      <c r="E31" s="158" t="s">
        <v>417</v>
      </c>
      <c r="F31" s="158" t="s">
        <v>417</v>
      </c>
      <c r="G31" s="158" t="s">
        <v>417</v>
      </c>
      <c r="H31" s="158" t="s">
        <v>417</v>
      </c>
      <c r="I31" s="158" t="s">
        <v>417</v>
      </c>
      <c r="J31" s="158" t="s">
        <v>417</v>
      </c>
    </row>
    <row r="32" spans="1:12" ht="28">
      <c r="A32" s="180" t="s">
        <v>418</v>
      </c>
      <c r="B32" s="158" t="s">
        <v>410</v>
      </c>
      <c r="C32" s="158"/>
      <c r="D32" s="69" t="s">
        <v>419</v>
      </c>
      <c r="E32" s="69" t="s">
        <v>419</v>
      </c>
      <c r="F32" s="69" t="s">
        <v>419</v>
      </c>
      <c r="G32" s="69" t="s">
        <v>419</v>
      </c>
      <c r="H32" s="69" t="s">
        <v>419</v>
      </c>
      <c r="I32" s="69" t="s">
        <v>419</v>
      </c>
      <c r="J32" s="69" t="s">
        <v>419</v>
      </c>
    </row>
    <row r="33" spans="1:10" ht="28">
      <c r="A33" s="180" t="s">
        <v>420</v>
      </c>
      <c r="B33" s="158" t="s">
        <v>410</v>
      </c>
      <c r="C33" s="158"/>
      <c r="D33" s="69" t="s">
        <v>421</v>
      </c>
      <c r="E33" s="69" t="s">
        <v>421</v>
      </c>
      <c r="F33" s="69" t="s">
        <v>421</v>
      </c>
      <c r="G33" s="69" t="s">
        <v>422</v>
      </c>
      <c r="H33" s="69" t="s">
        <v>421</v>
      </c>
      <c r="I33" s="69" t="s">
        <v>421</v>
      </c>
      <c r="J33" s="69" t="s">
        <v>421</v>
      </c>
    </row>
    <row r="34" spans="1:10">
      <c r="A34" s="178" t="s">
        <v>423</v>
      </c>
      <c r="B34" s="139" t="s">
        <v>410</v>
      </c>
      <c r="C34" s="139"/>
      <c r="D34" s="139" t="s">
        <v>74</v>
      </c>
      <c r="E34" s="139" t="s">
        <v>74</v>
      </c>
      <c r="F34" s="139" t="s">
        <v>74</v>
      </c>
      <c r="G34" s="139" t="s">
        <v>74</v>
      </c>
      <c r="H34" s="139" t="s">
        <v>74</v>
      </c>
      <c r="I34" s="139" t="s">
        <v>74</v>
      </c>
      <c r="J34" s="139" t="s">
        <v>74</v>
      </c>
    </row>
    <row r="35" spans="1:10">
      <c r="A35" s="180" t="s">
        <v>424</v>
      </c>
      <c r="B35" s="158" t="s">
        <v>410</v>
      </c>
      <c r="C35" s="158"/>
      <c r="D35" s="139" t="s">
        <v>74</v>
      </c>
      <c r="E35" s="158" t="s">
        <v>425</v>
      </c>
      <c r="F35" s="139" t="s">
        <v>74</v>
      </c>
      <c r="G35" s="139" t="s">
        <v>74</v>
      </c>
      <c r="H35" s="139" t="s">
        <v>74</v>
      </c>
      <c r="I35" s="139" t="s">
        <v>74</v>
      </c>
      <c r="J35" s="139" t="s">
        <v>74</v>
      </c>
    </row>
    <row r="36" spans="1:10">
      <c r="A36" s="388" t="s">
        <v>426</v>
      </c>
      <c r="B36" s="137"/>
      <c r="C36" s="389"/>
      <c r="D36" s="137"/>
      <c r="E36" s="137"/>
      <c r="F36" s="137"/>
      <c r="G36" s="137"/>
      <c r="H36" s="137"/>
      <c r="I36" s="137"/>
      <c r="J36" s="137"/>
    </row>
    <row r="37" spans="1:10">
      <c r="A37" s="393" t="s">
        <v>427</v>
      </c>
      <c r="B37" s="145"/>
      <c r="C37" s="394"/>
      <c r="D37" s="145"/>
      <c r="E37" s="145"/>
      <c r="F37" s="145"/>
      <c r="G37" s="145"/>
      <c r="H37" s="145"/>
      <c r="I37" s="145"/>
      <c r="J37" s="145"/>
    </row>
    <row r="38" spans="1:10">
      <c r="A38" s="178" t="s">
        <v>428</v>
      </c>
      <c r="B38" s="139" t="s">
        <v>429</v>
      </c>
      <c r="C38" s="385"/>
      <c r="D38" s="139" t="s">
        <v>74</v>
      </c>
      <c r="E38" s="139" t="s">
        <v>74</v>
      </c>
      <c r="F38" s="139" t="s">
        <v>74</v>
      </c>
      <c r="G38" s="139" t="s">
        <v>74</v>
      </c>
      <c r="H38" s="139" t="s">
        <v>74</v>
      </c>
      <c r="I38" s="139" t="s">
        <v>74</v>
      </c>
      <c r="J38" s="139" t="s">
        <v>74</v>
      </c>
    </row>
    <row r="39" spans="1:10" ht="16">
      <c r="A39" s="180" t="s">
        <v>430</v>
      </c>
      <c r="B39" s="158" t="s">
        <v>888</v>
      </c>
      <c r="C39" s="370"/>
      <c r="D39" s="148">
        <f>'Product WF and Use'!R6</f>
        <v>0.96714285714285719</v>
      </c>
      <c r="E39" s="148">
        <f>'Product WF and Use'!S6</f>
        <v>1.0656666666666665</v>
      </c>
      <c r="F39" s="149">
        <v>1</v>
      </c>
      <c r="G39" s="149">
        <v>1</v>
      </c>
      <c r="H39" s="148">
        <f>'Product WF and Use'!U6</f>
        <v>1.7849999999999999</v>
      </c>
      <c r="I39" s="148">
        <f>'Product WF and Use'!V6</f>
        <v>0.89</v>
      </c>
      <c r="J39" s="149">
        <v>1</v>
      </c>
    </row>
    <row r="40" spans="1:10" ht="16">
      <c r="A40" s="178" t="s">
        <v>431</v>
      </c>
      <c r="B40" s="139" t="s">
        <v>889</v>
      </c>
      <c r="C40" s="385"/>
      <c r="D40" s="139" t="s">
        <v>74</v>
      </c>
      <c r="E40" s="139" t="s">
        <v>74</v>
      </c>
      <c r="F40" s="139" t="s">
        <v>74</v>
      </c>
      <c r="G40" s="139" t="s">
        <v>74</v>
      </c>
      <c r="H40" s="139" t="s">
        <v>74</v>
      </c>
      <c r="I40" s="139" t="s">
        <v>74</v>
      </c>
      <c r="J40" s="139" t="s">
        <v>74</v>
      </c>
    </row>
    <row r="41" spans="1:10">
      <c r="A41" s="178" t="s">
        <v>432</v>
      </c>
      <c r="B41" s="139" t="s">
        <v>433</v>
      </c>
      <c r="C41" s="385"/>
      <c r="D41" s="139" t="s">
        <v>74</v>
      </c>
      <c r="E41" s="139" t="s">
        <v>74</v>
      </c>
      <c r="F41" s="139" t="s">
        <v>74</v>
      </c>
      <c r="G41" s="139" t="s">
        <v>74</v>
      </c>
      <c r="H41" s="139" t="s">
        <v>74</v>
      </c>
      <c r="I41" s="139" t="s">
        <v>74</v>
      </c>
      <c r="J41" s="139" t="s">
        <v>74</v>
      </c>
    </row>
    <row r="42" spans="1:10">
      <c r="A42" s="178" t="s">
        <v>434</v>
      </c>
      <c r="B42" s="139" t="s">
        <v>346</v>
      </c>
      <c r="C42" s="385"/>
      <c r="D42" s="139" t="s">
        <v>74</v>
      </c>
      <c r="E42" s="139" t="s">
        <v>74</v>
      </c>
      <c r="F42" s="139" t="s">
        <v>74</v>
      </c>
      <c r="G42" s="139" t="s">
        <v>74</v>
      </c>
      <c r="H42" s="139" t="s">
        <v>74</v>
      </c>
      <c r="I42" s="139" t="s">
        <v>74</v>
      </c>
      <c r="J42" s="139" t="s">
        <v>74</v>
      </c>
    </row>
    <row r="43" spans="1:10" ht="16">
      <c r="A43" s="178" t="s">
        <v>435</v>
      </c>
      <c r="B43" s="139" t="s">
        <v>890</v>
      </c>
      <c r="C43" s="385"/>
      <c r="D43" s="139" t="s">
        <v>74</v>
      </c>
      <c r="E43" s="139" t="s">
        <v>74</v>
      </c>
      <c r="F43" s="139" t="s">
        <v>74</v>
      </c>
      <c r="G43" s="139" t="s">
        <v>74</v>
      </c>
      <c r="H43" s="139" t="s">
        <v>74</v>
      </c>
      <c r="I43" s="139" t="s">
        <v>74</v>
      </c>
      <c r="J43" s="139" t="s">
        <v>74</v>
      </c>
    </row>
    <row r="44" spans="1:10">
      <c r="A44" s="393" t="s">
        <v>436</v>
      </c>
      <c r="B44" s="145"/>
      <c r="C44" s="394"/>
      <c r="D44" s="145"/>
      <c r="E44" s="145"/>
      <c r="F44" s="145"/>
      <c r="G44" s="145"/>
      <c r="H44" s="145"/>
      <c r="I44" s="145"/>
      <c r="J44" s="145"/>
    </row>
    <row r="45" spans="1:10">
      <c r="A45" s="672" t="s">
        <v>437</v>
      </c>
      <c r="B45" s="675" t="s">
        <v>387</v>
      </c>
      <c r="C45" s="153" t="s">
        <v>388</v>
      </c>
      <c r="D45" s="126">
        <f>D7</f>
        <v>30</v>
      </c>
      <c r="E45" s="126">
        <v>120</v>
      </c>
      <c r="F45" s="126">
        <f t="shared" ref="F45:J47" si="0">F7</f>
        <v>30</v>
      </c>
      <c r="G45" s="126">
        <v>50</v>
      </c>
      <c r="H45" s="153">
        <v>240</v>
      </c>
      <c r="I45" s="153">
        <v>140</v>
      </c>
      <c r="J45" s="126">
        <f t="shared" si="0"/>
        <v>30</v>
      </c>
    </row>
    <row r="46" spans="1:10">
      <c r="A46" s="673"/>
      <c r="B46" s="676"/>
      <c r="C46" s="153" t="s">
        <v>596</v>
      </c>
      <c r="D46" s="126">
        <f>D8</f>
        <v>20</v>
      </c>
      <c r="E46" s="126">
        <v>60</v>
      </c>
      <c r="F46" s="126">
        <f t="shared" si="0"/>
        <v>15</v>
      </c>
      <c r="G46" s="126">
        <v>45</v>
      </c>
      <c r="H46" s="153">
        <v>128</v>
      </c>
      <c r="I46" s="153">
        <v>75</v>
      </c>
      <c r="J46" s="126">
        <f t="shared" si="0"/>
        <v>15</v>
      </c>
    </row>
    <row r="47" spans="1:10">
      <c r="A47" s="674"/>
      <c r="B47" s="677"/>
      <c r="C47" s="153" t="s">
        <v>390</v>
      </c>
      <c r="D47" s="126">
        <f>D9</f>
        <v>10</v>
      </c>
      <c r="E47" s="126">
        <v>30</v>
      </c>
      <c r="F47" s="126">
        <f t="shared" si="0"/>
        <v>5</v>
      </c>
      <c r="G47" s="126">
        <v>40</v>
      </c>
      <c r="H47" s="153">
        <v>15</v>
      </c>
      <c r="I47" s="153">
        <v>10</v>
      </c>
      <c r="J47" s="126">
        <f t="shared" si="0"/>
        <v>5</v>
      </c>
    </row>
    <row r="48" spans="1:10">
      <c r="A48" s="672" t="s">
        <v>438</v>
      </c>
      <c r="B48" s="675" t="s">
        <v>439</v>
      </c>
      <c r="C48" s="153" t="s">
        <v>388</v>
      </c>
      <c r="D48" s="150">
        <v>40</v>
      </c>
      <c r="E48" s="150">
        <v>200</v>
      </c>
      <c r="F48" s="150">
        <v>60</v>
      </c>
      <c r="G48" s="150">
        <v>60</v>
      </c>
      <c r="H48" s="151">
        <f>'Product WF and Use'!AC4</f>
        <v>7890.1760000000004</v>
      </c>
      <c r="I48" s="151">
        <f>'Product WF and Use'!AC6</f>
        <v>481.71885714285719</v>
      </c>
      <c r="J48" s="150">
        <v>60</v>
      </c>
    </row>
    <row r="49" spans="1:10">
      <c r="A49" s="673"/>
      <c r="B49" s="676"/>
      <c r="C49" s="153" t="s">
        <v>596</v>
      </c>
      <c r="D49" s="150">
        <v>10</v>
      </c>
      <c r="E49" s="150">
        <v>75</v>
      </c>
      <c r="F49" s="150">
        <v>30</v>
      </c>
      <c r="G49" s="150">
        <v>40</v>
      </c>
      <c r="H49" s="151">
        <f>AVERAGE(H48,H50)</f>
        <v>4015.5360000000001</v>
      </c>
      <c r="I49" s="151">
        <v>249</v>
      </c>
      <c r="J49" s="150">
        <v>30</v>
      </c>
    </row>
    <row r="50" spans="1:10">
      <c r="A50" s="674"/>
      <c r="B50" s="677"/>
      <c r="C50" s="153" t="s">
        <v>390</v>
      </c>
      <c r="D50" s="150">
        <v>5</v>
      </c>
      <c r="E50" s="150">
        <f>E49/2</f>
        <v>37.5</v>
      </c>
      <c r="F50" s="150">
        <v>10</v>
      </c>
      <c r="G50" s="150">
        <v>20</v>
      </c>
      <c r="H50" s="151">
        <f>'Product WF and Use'!AC3</f>
        <v>140.89599999999999</v>
      </c>
      <c r="I50" s="151">
        <f>'Product WF and Use'!AC5</f>
        <v>15.053714285714287</v>
      </c>
      <c r="J50" s="150">
        <v>10</v>
      </c>
    </row>
    <row r="51" spans="1:10">
      <c r="A51" s="370" t="s">
        <v>440</v>
      </c>
      <c r="B51" s="158" t="s">
        <v>441</v>
      </c>
      <c r="C51" s="153" t="s">
        <v>388</v>
      </c>
      <c r="D51" s="124">
        <f>D6</f>
        <v>12</v>
      </c>
      <c r="E51" s="124">
        <f>E6</f>
        <v>3</v>
      </c>
      <c r="F51" s="124">
        <f>F6</f>
        <v>104</v>
      </c>
      <c r="G51" s="124">
        <v>365</v>
      </c>
      <c r="H51" s="124">
        <f>H6</f>
        <v>3</v>
      </c>
      <c r="I51" s="124">
        <f>I6</f>
        <v>7</v>
      </c>
      <c r="J51" s="124">
        <f>J6</f>
        <v>52</v>
      </c>
    </row>
    <row r="52" spans="1:10">
      <c r="A52" s="370" t="s">
        <v>440</v>
      </c>
      <c r="B52" s="158" t="s">
        <v>441</v>
      </c>
      <c r="C52" s="153" t="s">
        <v>596</v>
      </c>
      <c r="D52" s="124">
        <v>12</v>
      </c>
      <c r="E52" s="124">
        <v>3</v>
      </c>
      <c r="F52" s="124">
        <v>104</v>
      </c>
      <c r="G52" s="124">
        <v>300</v>
      </c>
      <c r="H52" s="124">
        <v>3</v>
      </c>
      <c r="I52" s="124">
        <v>7</v>
      </c>
      <c r="J52" s="124">
        <v>52</v>
      </c>
    </row>
    <row r="53" spans="1:10">
      <c r="A53" s="370" t="s">
        <v>440</v>
      </c>
      <c r="B53" s="158" t="s">
        <v>441</v>
      </c>
      <c r="C53" s="153" t="s">
        <v>390</v>
      </c>
      <c r="D53" s="124">
        <v>12</v>
      </c>
      <c r="E53" s="124">
        <v>3</v>
      </c>
      <c r="F53" s="124">
        <v>104</v>
      </c>
      <c r="G53" s="124">
        <v>185</v>
      </c>
      <c r="H53" s="124">
        <v>3</v>
      </c>
      <c r="I53" s="124">
        <v>7</v>
      </c>
      <c r="J53" s="124">
        <v>52</v>
      </c>
    </row>
    <row r="54" spans="1:10">
      <c r="A54" s="370" t="s">
        <v>442</v>
      </c>
      <c r="B54" s="158" t="s">
        <v>383</v>
      </c>
      <c r="C54" s="370"/>
      <c r="D54" s="124">
        <f>D5</f>
        <v>1</v>
      </c>
      <c r="E54" s="124">
        <f>E5</f>
        <v>1</v>
      </c>
      <c r="F54" s="124">
        <f>F5</f>
        <v>1</v>
      </c>
      <c r="G54" s="124">
        <v>3</v>
      </c>
      <c r="H54" s="124">
        <f>H5</f>
        <v>1</v>
      </c>
      <c r="I54" s="124">
        <f>I5</f>
        <v>1</v>
      </c>
      <c r="J54" s="124">
        <f>J5</f>
        <v>1</v>
      </c>
    </row>
    <row r="55" spans="1:10">
      <c r="A55" s="393" t="s">
        <v>443</v>
      </c>
      <c r="B55" s="145"/>
      <c r="C55" s="394"/>
      <c r="D55" s="145"/>
      <c r="E55" s="145"/>
      <c r="F55" s="145"/>
      <c r="G55" s="145"/>
      <c r="H55" s="145"/>
      <c r="I55" s="145"/>
      <c r="J55" s="145"/>
    </row>
    <row r="56" spans="1:10">
      <c r="A56" s="180" t="s">
        <v>444</v>
      </c>
      <c r="B56" s="158" t="s">
        <v>445</v>
      </c>
      <c r="C56" s="370"/>
      <c r="D56" s="158">
        <v>0.06</v>
      </c>
      <c r="E56" s="158" t="s">
        <v>74</v>
      </c>
      <c r="F56" s="158">
        <v>0.06</v>
      </c>
      <c r="G56" s="158"/>
      <c r="H56" s="158">
        <v>0.06</v>
      </c>
      <c r="I56" s="158">
        <v>0.06</v>
      </c>
      <c r="J56" s="158">
        <v>0.06</v>
      </c>
    </row>
    <row r="57" spans="1:10">
      <c r="A57" s="178" t="s">
        <v>446</v>
      </c>
      <c r="B57" s="139" t="s">
        <v>445</v>
      </c>
      <c r="C57" s="385"/>
      <c r="D57" s="139" t="s">
        <v>74</v>
      </c>
      <c r="E57" s="139" t="s">
        <v>74</v>
      </c>
      <c r="F57" s="139" t="s">
        <v>74</v>
      </c>
      <c r="G57" s="139" t="s">
        <v>74</v>
      </c>
      <c r="H57" s="139" t="s">
        <v>74</v>
      </c>
      <c r="I57" s="139" t="s">
        <v>74</v>
      </c>
      <c r="J57" s="139" t="s">
        <v>74</v>
      </c>
    </row>
    <row r="58" spans="1:10">
      <c r="A58" s="393" t="s">
        <v>447</v>
      </c>
      <c r="B58" s="145"/>
      <c r="C58" s="394"/>
      <c r="D58" s="145"/>
      <c r="E58" s="145"/>
      <c r="F58" s="145"/>
      <c r="G58" s="145"/>
      <c r="H58" s="145"/>
      <c r="I58" s="145"/>
      <c r="J58" s="145"/>
    </row>
    <row r="59" spans="1:10">
      <c r="A59" s="178" t="s">
        <v>448</v>
      </c>
      <c r="B59" s="139" t="s">
        <v>433</v>
      </c>
      <c r="C59" s="385"/>
      <c r="D59" s="139" t="s">
        <v>74</v>
      </c>
      <c r="E59" s="139" t="s">
        <v>74</v>
      </c>
      <c r="F59" s="139" t="s">
        <v>74</v>
      </c>
      <c r="G59" s="139" t="s">
        <v>74</v>
      </c>
      <c r="H59" s="139" t="s">
        <v>74</v>
      </c>
      <c r="I59" s="139" t="s">
        <v>74</v>
      </c>
      <c r="J59" s="139" t="s">
        <v>74</v>
      </c>
    </row>
    <row r="60" spans="1:10" ht="16">
      <c r="A60" s="178" t="s">
        <v>449</v>
      </c>
      <c r="B60" s="139" t="s">
        <v>893</v>
      </c>
      <c r="C60" s="385"/>
      <c r="D60" s="139" t="s">
        <v>74</v>
      </c>
      <c r="E60" s="139" t="s">
        <v>74</v>
      </c>
      <c r="F60" s="139" t="s">
        <v>74</v>
      </c>
      <c r="G60" s="139" t="s">
        <v>74</v>
      </c>
      <c r="H60" s="139" t="s">
        <v>74</v>
      </c>
      <c r="I60" s="139" t="s">
        <v>74</v>
      </c>
      <c r="J60" s="139" t="s">
        <v>74</v>
      </c>
    </row>
    <row r="61" spans="1:10">
      <c r="A61" s="178" t="s">
        <v>450</v>
      </c>
      <c r="B61" s="139" t="s">
        <v>451</v>
      </c>
      <c r="C61" s="385"/>
      <c r="D61" s="139" t="s">
        <v>74</v>
      </c>
      <c r="E61" s="139" t="s">
        <v>74</v>
      </c>
      <c r="F61" s="139" t="s">
        <v>74</v>
      </c>
      <c r="G61" s="139" t="s">
        <v>74</v>
      </c>
      <c r="H61" s="139" t="s">
        <v>74</v>
      </c>
      <c r="I61" s="139" t="s">
        <v>74</v>
      </c>
      <c r="J61" s="139" t="s">
        <v>74</v>
      </c>
    </row>
    <row r="62" spans="1:10" ht="16">
      <c r="A62" s="178" t="s">
        <v>452</v>
      </c>
      <c r="B62" s="139" t="s">
        <v>892</v>
      </c>
      <c r="C62" s="385"/>
      <c r="D62" s="139" t="s">
        <v>74</v>
      </c>
      <c r="E62" s="139" t="s">
        <v>74</v>
      </c>
      <c r="F62" s="139" t="s">
        <v>74</v>
      </c>
      <c r="G62" s="139" t="s">
        <v>74</v>
      </c>
      <c r="H62" s="139" t="s">
        <v>74</v>
      </c>
      <c r="I62" s="139" t="s">
        <v>74</v>
      </c>
      <c r="J62" s="139" t="s">
        <v>74</v>
      </c>
    </row>
    <row r="63" spans="1:10">
      <c r="A63" s="178" t="s">
        <v>453</v>
      </c>
      <c r="B63" s="139" t="s">
        <v>433</v>
      </c>
      <c r="C63" s="385"/>
      <c r="D63" s="139" t="s">
        <v>74</v>
      </c>
      <c r="E63" s="139" t="s">
        <v>74</v>
      </c>
      <c r="F63" s="139" t="s">
        <v>74</v>
      </c>
      <c r="G63" s="139" t="s">
        <v>74</v>
      </c>
      <c r="H63" s="139" t="s">
        <v>74</v>
      </c>
      <c r="I63" s="139" t="s">
        <v>74</v>
      </c>
      <c r="J63" s="139" t="s">
        <v>74</v>
      </c>
    </row>
    <row r="64" spans="1:10" ht="16">
      <c r="A64" s="178" t="s">
        <v>454</v>
      </c>
      <c r="B64" s="139" t="s">
        <v>891</v>
      </c>
      <c r="C64" s="385"/>
      <c r="D64" s="139" t="s">
        <v>74</v>
      </c>
      <c r="E64" s="139" t="s">
        <v>74</v>
      </c>
      <c r="F64" s="139" t="s">
        <v>74</v>
      </c>
      <c r="G64" s="139" t="s">
        <v>74</v>
      </c>
      <c r="H64" s="139" t="s">
        <v>74</v>
      </c>
      <c r="I64" s="139" t="s">
        <v>74</v>
      </c>
      <c r="J64" s="139" t="s">
        <v>74</v>
      </c>
    </row>
    <row r="65" spans="1:10">
      <c r="A65" s="178" t="s">
        <v>455</v>
      </c>
      <c r="B65" s="139" t="s">
        <v>456</v>
      </c>
      <c r="C65" s="385"/>
      <c r="D65" s="139" t="s">
        <v>74</v>
      </c>
      <c r="E65" s="139" t="s">
        <v>74</v>
      </c>
      <c r="F65" s="139" t="s">
        <v>74</v>
      </c>
      <c r="G65" s="139" t="s">
        <v>74</v>
      </c>
      <c r="H65" s="139" t="s">
        <v>74</v>
      </c>
      <c r="I65" s="139" t="s">
        <v>74</v>
      </c>
      <c r="J65" s="139" t="s">
        <v>74</v>
      </c>
    </row>
    <row r="66" spans="1:10">
      <c r="A66" s="178" t="s">
        <v>457</v>
      </c>
      <c r="B66" s="139" t="s">
        <v>405</v>
      </c>
      <c r="C66" s="385"/>
      <c r="D66" s="139" t="s">
        <v>74</v>
      </c>
      <c r="E66" s="139" t="s">
        <v>74</v>
      </c>
      <c r="F66" s="139" t="s">
        <v>74</v>
      </c>
      <c r="G66" s="139" t="s">
        <v>74</v>
      </c>
      <c r="H66" s="139" t="s">
        <v>74</v>
      </c>
      <c r="I66" s="139" t="s">
        <v>74</v>
      </c>
      <c r="J66" s="139" t="s">
        <v>74</v>
      </c>
    </row>
    <row r="67" spans="1:10">
      <c r="A67" s="178" t="s">
        <v>458</v>
      </c>
      <c r="B67" s="139" t="s">
        <v>405</v>
      </c>
      <c r="C67" s="385"/>
      <c r="D67" s="152" t="s">
        <v>74</v>
      </c>
      <c r="E67" s="152" t="s">
        <v>74</v>
      </c>
      <c r="F67" s="152" t="s">
        <v>74</v>
      </c>
      <c r="G67" s="139" t="s">
        <v>74</v>
      </c>
      <c r="H67" s="152" t="s">
        <v>74</v>
      </c>
      <c r="I67" s="152" t="s">
        <v>74</v>
      </c>
      <c r="J67" s="152" t="s">
        <v>74</v>
      </c>
    </row>
    <row r="68" spans="1:10">
      <c r="A68" s="178" t="s">
        <v>459</v>
      </c>
      <c r="B68" s="139" t="s">
        <v>460</v>
      </c>
      <c r="C68" s="385"/>
      <c r="D68" s="139" t="s">
        <v>74</v>
      </c>
      <c r="E68" s="139" t="s">
        <v>74</v>
      </c>
      <c r="F68" s="139" t="s">
        <v>74</v>
      </c>
      <c r="G68" s="139" t="s">
        <v>74</v>
      </c>
      <c r="H68" s="139" t="s">
        <v>74</v>
      </c>
      <c r="I68" s="139" t="s">
        <v>74</v>
      </c>
      <c r="J68" s="139" t="s">
        <v>74</v>
      </c>
    </row>
    <row r="69" spans="1:10">
      <c r="A69" s="178" t="s">
        <v>461</v>
      </c>
      <c r="B69" s="139" t="s">
        <v>405</v>
      </c>
      <c r="C69" s="385"/>
      <c r="D69" s="139" t="s">
        <v>74</v>
      </c>
      <c r="E69" s="139" t="s">
        <v>74</v>
      </c>
      <c r="F69" s="139" t="s">
        <v>74</v>
      </c>
      <c r="G69" s="139" t="s">
        <v>74</v>
      </c>
      <c r="H69" s="139" t="s">
        <v>74</v>
      </c>
      <c r="I69" s="139" t="s">
        <v>74</v>
      </c>
      <c r="J69" s="139" t="s">
        <v>74</v>
      </c>
    </row>
    <row r="70" spans="1:10">
      <c r="A70" s="178" t="s">
        <v>462</v>
      </c>
      <c r="B70" s="139" t="s">
        <v>405</v>
      </c>
      <c r="C70" s="385"/>
      <c r="D70" s="139" t="s">
        <v>74</v>
      </c>
      <c r="E70" s="139" t="s">
        <v>74</v>
      </c>
      <c r="F70" s="139" t="s">
        <v>74</v>
      </c>
      <c r="G70" s="139" t="s">
        <v>74</v>
      </c>
      <c r="H70" s="139" t="s">
        <v>74</v>
      </c>
      <c r="I70" s="139" t="s">
        <v>74</v>
      </c>
      <c r="J70" s="139" t="s">
        <v>74</v>
      </c>
    </row>
    <row r="71" spans="1:10">
      <c r="A71" s="178" t="s">
        <v>463</v>
      </c>
      <c r="B71" s="139" t="s">
        <v>405</v>
      </c>
      <c r="C71" s="385"/>
      <c r="D71" s="139" t="s">
        <v>74</v>
      </c>
      <c r="E71" s="139" t="s">
        <v>74</v>
      </c>
      <c r="F71" s="139" t="s">
        <v>74</v>
      </c>
      <c r="G71" s="139" t="s">
        <v>74</v>
      </c>
      <c r="H71" s="139" t="s">
        <v>74</v>
      </c>
      <c r="I71" s="139" t="s">
        <v>74</v>
      </c>
      <c r="J71" s="139" t="s">
        <v>74</v>
      </c>
    </row>
    <row r="72" spans="1:10">
      <c r="A72" s="178" t="s">
        <v>464</v>
      </c>
      <c r="B72" s="139" t="s">
        <v>405</v>
      </c>
      <c r="C72" s="385"/>
      <c r="D72" s="139" t="s">
        <v>74</v>
      </c>
      <c r="E72" s="139" t="s">
        <v>74</v>
      </c>
      <c r="F72" s="139" t="s">
        <v>74</v>
      </c>
      <c r="G72" s="139" t="s">
        <v>74</v>
      </c>
      <c r="H72" s="139" t="s">
        <v>74</v>
      </c>
      <c r="I72" s="139" t="s">
        <v>74</v>
      </c>
      <c r="J72" s="139" t="s">
        <v>74</v>
      </c>
    </row>
    <row r="73" spans="1:10">
      <c r="A73" s="178" t="s">
        <v>465</v>
      </c>
      <c r="B73" s="139" t="s">
        <v>405</v>
      </c>
      <c r="C73" s="385"/>
      <c r="D73" s="139" t="s">
        <v>74</v>
      </c>
      <c r="E73" s="139" t="s">
        <v>74</v>
      </c>
      <c r="F73" s="139" t="s">
        <v>74</v>
      </c>
      <c r="G73" s="139" t="s">
        <v>74</v>
      </c>
      <c r="H73" s="139" t="s">
        <v>74</v>
      </c>
      <c r="I73" s="139" t="s">
        <v>74</v>
      </c>
      <c r="J73" s="139" t="s">
        <v>74</v>
      </c>
    </row>
    <row r="74" spans="1:10">
      <c r="A74" s="178" t="s">
        <v>466</v>
      </c>
      <c r="B74" s="139" t="s">
        <v>467</v>
      </c>
      <c r="C74" s="385"/>
      <c r="D74" s="139" t="s">
        <v>74</v>
      </c>
      <c r="E74" s="139" t="s">
        <v>74</v>
      </c>
      <c r="F74" s="139" t="s">
        <v>74</v>
      </c>
      <c r="G74" s="139" t="s">
        <v>74</v>
      </c>
      <c r="H74" s="139" t="s">
        <v>74</v>
      </c>
      <c r="I74" s="139" t="s">
        <v>74</v>
      </c>
      <c r="J74" s="139" t="s">
        <v>74</v>
      </c>
    </row>
    <row r="75" spans="1:10">
      <c r="A75" s="178" t="s">
        <v>468</v>
      </c>
      <c r="B75" s="139" t="s">
        <v>469</v>
      </c>
      <c r="C75" s="385"/>
      <c r="D75" s="139" t="s">
        <v>74</v>
      </c>
      <c r="E75" s="139" t="s">
        <v>74</v>
      </c>
      <c r="F75" s="139" t="s">
        <v>74</v>
      </c>
      <c r="G75" s="139" t="s">
        <v>74</v>
      </c>
      <c r="H75" s="139" t="s">
        <v>74</v>
      </c>
      <c r="I75" s="139" t="s">
        <v>74</v>
      </c>
      <c r="J75" s="139" t="s">
        <v>74</v>
      </c>
    </row>
    <row r="76" spans="1:10">
      <c r="A76" s="178" t="s">
        <v>470</v>
      </c>
      <c r="B76" s="139" t="s">
        <v>383</v>
      </c>
      <c r="C76" s="385"/>
      <c r="D76" s="139" t="s">
        <v>74</v>
      </c>
      <c r="E76" s="139" t="s">
        <v>74</v>
      </c>
      <c r="F76" s="139" t="s">
        <v>74</v>
      </c>
      <c r="G76" s="139" t="s">
        <v>74</v>
      </c>
      <c r="H76" s="139" t="s">
        <v>74</v>
      </c>
      <c r="I76" s="139" t="s">
        <v>74</v>
      </c>
      <c r="J76" s="139" t="s">
        <v>74</v>
      </c>
    </row>
    <row r="77" spans="1:10" ht="16">
      <c r="A77" s="178" t="s">
        <v>471</v>
      </c>
      <c r="B77" s="139" t="s">
        <v>894</v>
      </c>
      <c r="C77" s="385"/>
      <c r="D77" s="139" t="s">
        <v>74</v>
      </c>
      <c r="E77" s="139" t="s">
        <v>74</v>
      </c>
      <c r="F77" s="139" t="s">
        <v>74</v>
      </c>
      <c r="G77" s="139" t="s">
        <v>74</v>
      </c>
      <c r="H77" s="139" t="s">
        <v>74</v>
      </c>
      <c r="I77" s="139" t="s">
        <v>74</v>
      </c>
      <c r="J77" s="139" t="s">
        <v>74</v>
      </c>
    </row>
    <row r="78" spans="1:10">
      <c r="A78" s="388" t="s">
        <v>472</v>
      </c>
      <c r="B78" s="137"/>
      <c r="C78" s="389"/>
      <c r="D78" s="137"/>
      <c r="E78" s="137"/>
      <c r="F78" s="137"/>
      <c r="G78" s="137"/>
      <c r="H78" s="137"/>
      <c r="I78" s="137"/>
      <c r="J78" s="137"/>
    </row>
    <row r="79" spans="1:10">
      <c r="A79" s="393" t="s">
        <v>473</v>
      </c>
      <c r="B79" s="145"/>
      <c r="C79" s="394"/>
      <c r="D79" s="145"/>
      <c r="E79" s="145"/>
      <c r="F79" s="145"/>
      <c r="G79" s="145"/>
      <c r="H79" s="145"/>
      <c r="I79" s="145"/>
      <c r="J79" s="145"/>
    </row>
    <row r="80" spans="1:10" ht="16">
      <c r="A80" s="180" t="s">
        <v>474</v>
      </c>
      <c r="B80" s="158" t="s">
        <v>839</v>
      </c>
      <c r="C80" s="370"/>
      <c r="D80" s="69">
        <v>492</v>
      </c>
      <c r="E80" s="69">
        <v>492</v>
      </c>
      <c r="F80" s="69">
        <v>492</v>
      </c>
      <c r="G80" s="69"/>
      <c r="H80" s="69">
        <v>1E+100</v>
      </c>
      <c r="I80" s="69">
        <v>492</v>
      </c>
      <c r="J80" s="69">
        <v>492</v>
      </c>
    </row>
    <row r="81" spans="1:10" ht="16">
      <c r="A81" s="180" t="s">
        <v>475</v>
      </c>
      <c r="B81" s="158" t="s">
        <v>839</v>
      </c>
      <c r="C81" s="370"/>
      <c r="D81" s="69">
        <v>90</v>
      </c>
      <c r="E81" s="69">
        <v>15</v>
      </c>
      <c r="F81" s="69">
        <v>15</v>
      </c>
      <c r="G81" s="69"/>
      <c r="H81" s="69">
        <v>492</v>
      </c>
      <c r="I81" s="69">
        <v>90</v>
      </c>
      <c r="J81" s="69">
        <v>15</v>
      </c>
    </row>
    <row r="82" spans="1:10" ht="16">
      <c r="A82" s="178" t="s">
        <v>476</v>
      </c>
      <c r="B82" s="139" t="s">
        <v>889</v>
      </c>
      <c r="C82" s="178"/>
      <c r="D82" s="139" t="s">
        <v>74</v>
      </c>
      <c r="E82" s="139" t="s">
        <v>74</v>
      </c>
      <c r="F82" s="139" t="s">
        <v>74</v>
      </c>
      <c r="G82" s="139"/>
      <c r="H82" s="139" t="s">
        <v>74</v>
      </c>
      <c r="I82" s="139" t="s">
        <v>74</v>
      </c>
      <c r="J82" s="139" t="s">
        <v>74</v>
      </c>
    </row>
    <row r="83" spans="1:10" ht="16">
      <c r="A83" s="180" t="s">
        <v>477</v>
      </c>
      <c r="B83" s="158" t="s">
        <v>895</v>
      </c>
      <c r="C83" s="370"/>
      <c r="D83" s="69">
        <v>0.45</v>
      </c>
      <c r="E83" s="69">
        <v>0.45</v>
      </c>
      <c r="F83" s="69">
        <v>0.45</v>
      </c>
      <c r="G83" s="69"/>
      <c r="H83" s="69">
        <v>0.45</v>
      </c>
      <c r="I83" s="69">
        <v>0.45</v>
      </c>
      <c r="J83" s="69">
        <v>0.45</v>
      </c>
    </row>
    <row r="84" spans="1:10" ht="16">
      <c r="A84" s="180" t="s">
        <v>478</v>
      </c>
      <c r="B84" s="158" t="s">
        <v>895</v>
      </c>
      <c r="C84" s="370"/>
      <c r="D84" s="69">
        <v>0.45</v>
      </c>
      <c r="E84" s="69">
        <v>0.45</v>
      </c>
      <c r="F84" s="69">
        <v>0.45</v>
      </c>
      <c r="G84" s="69"/>
      <c r="H84" s="69">
        <v>0</v>
      </c>
      <c r="I84" s="69">
        <v>0.45</v>
      </c>
      <c r="J84" s="69">
        <v>0.45</v>
      </c>
    </row>
    <row r="85" spans="1:10" ht="16">
      <c r="A85" s="180" t="s">
        <v>479</v>
      </c>
      <c r="B85" s="158" t="s">
        <v>896</v>
      </c>
      <c r="C85" s="370"/>
      <c r="D85" s="69">
        <v>108.97799999999999</v>
      </c>
      <c r="E85" s="69">
        <v>107.01</v>
      </c>
      <c r="F85" s="69">
        <v>107.01</v>
      </c>
      <c r="G85" s="69"/>
      <c r="H85" s="69">
        <v>1.0000000000000001E-30</v>
      </c>
      <c r="I85" s="69">
        <v>108.97799999999999</v>
      </c>
      <c r="J85" s="69">
        <v>107.01</v>
      </c>
    </row>
    <row r="86" spans="1:10" ht="16">
      <c r="A86" s="180" t="s">
        <v>480</v>
      </c>
      <c r="B86" s="158" t="s">
        <v>889</v>
      </c>
      <c r="C86" s="370"/>
      <c r="D86" s="69">
        <v>187.2</v>
      </c>
      <c r="E86" s="69">
        <v>31.2</v>
      </c>
      <c r="F86" s="69">
        <v>31.2</v>
      </c>
      <c r="G86" s="69"/>
      <c r="H86" s="69">
        <v>1023.36</v>
      </c>
      <c r="I86" s="69">
        <v>187.2</v>
      </c>
      <c r="J86" s="69">
        <v>31.2</v>
      </c>
    </row>
    <row r="87" spans="1:10">
      <c r="A87" s="178" t="s">
        <v>481</v>
      </c>
      <c r="B87" s="139" t="s">
        <v>482</v>
      </c>
      <c r="C87" s="385"/>
      <c r="D87" s="139" t="s">
        <v>74</v>
      </c>
      <c r="E87" s="139" t="s">
        <v>74</v>
      </c>
      <c r="F87" s="139" t="s">
        <v>74</v>
      </c>
      <c r="G87" s="139"/>
      <c r="H87" s="139" t="s">
        <v>74</v>
      </c>
      <c r="I87" s="139" t="s">
        <v>74</v>
      </c>
      <c r="J87" s="139" t="s">
        <v>74</v>
      </c>
    </row>
    <row r="88" spans="1:10">
      <c r="A88" s="393" t="s">
        <v>483</v>
      </c>
      <c r="B88" s="145"/>
      <c r="C88" s="394"/>
      <c r="D88" s="145"/>
      <c r="E88" s="145"/>
      <c r="F88" s="145"/>
      <c r="G88" s="145"/>
      <c r="H88" s="145"/>
      <c r="I88" s="145"/>
      <c r="J88" s="145"/>
    </row>
    <row r="89" spans="1:10" ht="16">
      <c r="A89" s="180" t="s">
        <v>484</v>
      </c>
      <c r="B89" s="158" t="s">
        <v>839</v>
      </c>
      <c r="C89" s="370"/>
      <c r="D89" s="158">
        <v>1</v>
      </c>
      <c r="E89" s="158">
        <v>1</v>
      </c>
      <c r="F89" s="158">
        <v>1</v>
      </c>
      <c r="G89" s="158"/>
      <c r="H89" s="158">
        <v>1</v>
      </c>
      <c r="I89" s="158">
        <v>1</v>
      </c>
      <c r="J89" s="149">
        <v>1</v>
      </c>
    </row>
    <row r="90" spans="1:10" ht="16">
      <c r="A90" s="180" t="s">
        <v>485</v>
      </c>
      <c r="B90" s="158" t="s">
        <v>839</v>
      </c>
      <c r="C90" s="370"/>
      <c r="D90" s="69">
        <f>D81-D89</f>
        <v>89</v>
      </c>
      <c r="E90" s="69">
        <f>E81-E89</f>
        <v>14</v>
      </c>
      <c r="F90" s="69">
        <f t="shared" ref="F90:J90" si="1">F81-F89</f>
        <v>14</v>
      </c>
      <c r="G90" s="69"/>
      <c r="H90" s="69">
        <f t="shared" si="1"/>
        <v>491</v>
      </c>
      <c r="I90" s="69">
        <f t="shared" si="1"/>
        <v>89</v>
      </c>
      <c r="J90" s="69">
        <f t="shared" si="1"/>
        <v>14</v>
      </c>
    </row>
    <row r="91" spans="1:10">
      <c r="A91" s="180" t="s">
        <v>486</v>
      </c>
      <c r="B91" s="158" t="s">
        <v>487</v>
      </c>
      <c r="C91" s="370"/>
      <c r="D91" s="158">
        <v>402</v>
      </c>
      <c r="E91" s="158">
        <v>402</v>
      </c>
      <c r="F91" s="158">
        <v>402</v>
      </c>
      <c r="G91" s="158"/>
      <c r="H91" s="158">
        <v>402</v>
      </c>
      <c r="I91" s="158">
        <v>402</v>
      </c>
      <c r="J91" s="158">
        <v>402</v>
      </c>
    </row>
    <row r="92" spans="1:10">
      <c r="A92" s="393" t="s">
        <v>488</v>
      </c>
      <c r="B92" s="145"/>
      <c r="C92" s="394"/>
      <c r="D92" s="145"/>
      <c r="E92" s="145"/>
      <c r="F92" s="145"/>
      <c r="G92" s="145"/>
      <c r="H92" s="145"/>
      <c r="I92" s="145"/>
      <c r="J92" s="145"/>
    </row>
    <row r="93" spans="1:10">
      <c r="A93" s="178" t="s">
        <v>489</v>
      </c>
      <c r="B93" s="139" t="s">
        <v>482</v>
      </c>
      <c r="C93" s="385"/>
      <c r="D93" s="139" t="s">
        <v>74</v>
      </c>
      <c r="E93" s="139" t="s">
        <v>74</v>
      </c>
      <c r="F93" s="139" t="s">
        <v>74</v>
      </c>
      <c r="G93" s="139" t="s">
        <v>74</v>
      </c>
      <c r="H93" s="139" t="s">
        <v>74</v>
      </c>
      <c r="I93" s="139" t="s">
        <v>74</v>
      </c>
      <c r="J93" s="139" t="s">
        <v>74</v>
      </c>
    </row>
    <row r="94" spans="1:10" ht="16">
      <c r="A94" s="178" t="s">
        <v>490</v>
      </c>
      <c r="B94" s="139" t="s">
        <v>897</v>
      </c>
      <c r="C94" s="385"/>
      <c r="D94" s="139" t="s">
        <v>74</v>
      </c>
      <c r="E94" s="139" t="s">
        <v>74</v>
      </c>
      <c r="F94" s="139" t="s">
        <v>74</v>
      </c>
      <c r="G94" s="139" t="s">
        <v>74</v>
      </c>
      <c r="H94" s="139" t="s">
        <v>74</v>
      </c>
      <c r="I94" s="139" t="s">
        <v>74</v>
      </c>
      <c r="J94" s="139" t="s">
        <v>74</v>
      </c>
    </row>
    <row r="95" spans="1:10">
      <c r="A95" s="178" t="s">
        <v>491</v>
      </c>
      <c r="B95" s="139" t="s">
        <v>405</v>
      </c>
      <c r="C95" s="385"/>
      <c r="D95" s="139" t="s">
        <v>74</v>
      </c>
      <c r="E95" s="139" t="s">
        <v>74</v>
      </c>
      <c r="F95" s="139" t="s">
        <v>74</v>
      </c>
      <c r="G95" s="139" t="s">
        <v>74</v>
      </c>
      <c r="H95" s="139" t="s">
        <v>74</v>
      </c>
      <c r="I95" s="139" t="s">
        <v>74</v>
      </c>
      <c r="J95" s="139" t="s">
        <v>74</v>
      </c>
    </row>
    <row r="96" spans="1:10">
      <c r="A96" s="178" t="s">
        <v>492</v>
      </c>
      <c r="B96" s="139" t="s">
        <v>493</v>
      </c>
      <c r="C96" s="385"/>
      <c r="D96" s="139" t="s">
        <v>74</v>
      </c>
      <c r="E96" s="139" t="s">
        <v>74</v>
      </c>
      <c r="F96" s="139" t="s">
        <v>74</v>
      </c>
      <c r="G96" s="139" t="s">
        <v>74</v>
      </c>
      <c r="H96" s="139" t="s">
        <v>74</v>
      </c>
      <c r="I96" s="139" t="s">
        <v>74</v>
      </c>
      <c r="J96" s="139" t="s">
        <v>74</v>
      </c>
    </row>
    <row r="97" spans="1:10">
      <c r="A97" s="178" t="s">
        <v>494</v>
      </c>
      <c r="B97" s="139" t="s">
        <v>493</v>
      </c>
      <c r="C97" s="385"/>
      <c r="D97" s="139" t="s">
        <v>74</v>
      </c>
      <c r="E97" s="139" t="s">
        <v>74</v>
      </c>
      <c r="F97" s="139" t="s">
        <v>74</v>
      </c>
      <c r="G97" s="139" t="s">
        <v>74</v>
      </c>
      <c r="H97" s="139" t="s">
        <v>74</v>
      </c>
      <c r="I97" s="139" t="s">
        <v>74</v>
      </c>
      <c r="J97" s="139" t="s">
        <v>74</v>
      </c>
    </row>
    <row r="98" spans="1:10">
      <c r="A98" s="393" t="s">
        <v>495</v>
      </c>
      <c r="B98" s="145"/>
      <c r="C98" s="394"/>
      <c r="D98" s="145"/>
      <c r="E98" s="145"/>
      <c r="F98" s="145"/>
      <c r="G98" s="145"/>
      <c r="H98" s="145"/>
      <c r="I98" s="145"/>
      <c r="J98" s="145"/>
    </row>
    <row r="99" spans="1:10">
      <c r="A99" s="395" t="s">
        <v>496</v>
      </c>
      <c r="B99" s="139"/>
      <c r="C99" s="385"/>
      <c r="D99" s="139" t="s">
        <v>74</v>
      </c>
      <c r="E99" s="139" t="s">
        <v>74</v>
      </c>
      <c r="F99" s="139" t="s">
        <v>74</v>
      </c>
      <c r="G99" s="139" t="s">
        <v>74</v>
      </c>
      <c r="H99" s="139" t="s">
        <v>74</v>
      </c>
      <c r="I99" s="139" t="s">
        <v>74</v>
      </c>
      <c r="J99" s="139" t="s">
        <v>74</v>
      </c>
    </row>
    <row r="100" spans="1:10">
      <c r="A100" s="178" t="s">
        <v>497</v>
      </c>
      <c r="B100" s="139" t="s">
        <v>487</v>
      </c>
      <c r="C100" s="385"/>
      <c r="D100" s="139" t="s">
        <v>74</v>
      </c>
      <c r="E100" s="139" t="s">
        <v>74</v>
      </c>
      <c r="F100" s="139" t="s">
        <v>74</v>
      </c>
      <c r="G100" s="139" t="s">
        <v>74</v>
      </c>
      <c r="H100" s="139" t="s">
        <v>74</v>
      </c>
      <c r="I100" s="139" t="s">
        <v>74</v>
      </c>
      <c r="J100" s="139" t="s">
        <v>74</v>
      </c>
    </row>
    <row r="101" spans="1:10">
      <c r="A101" s="178" t="s">
        <v>498</v>
      </c>
      <c r="B101" s="139" t="s">
        <v>487</v>
      </c>
      <c r="C101" s="385"/>
      <c r="D101" s="139" t="s">
        <v>74</v>
      </c>
      <c r="E101" s="139" t="s">
        <v>74</v>
      </c>
      <c r="F101" s="139" t="s">
        <v>74</v>
      </c>
      <c r="G101" s="139" t="s">
        <v>74</v>
      </c>
      <c r="H101" s="139" t="s">
        <v>74</v>
      </c>
      <c r="I101" s="139" t="s">
        <v>74</v>
      </c>
      <c r="J101" s="139" t="s">
        <v>74</v>
      </c>
    </row>
    <row r="102" spans="1:10">
      <c r="A102" s="178" t="s">
        <v>499</v>
      </c>
      <c r="B102" s="139" t="s">
        <v>429</v>
      </c>
      <c r="C102" s="385"/>
      <c r="D102" s="139" t="s">
        <v>74</v>
      </c>
      <c r="E102" s="139" t="s">
        <v>74</v>
      </c>
      <c r="F102" s="139" t="s">
        <v>74</v>
      </c>
      <c r="G102" s="139" t="s">
        <v>74</v>
      </c>
      <c r="H102" s="139" t="s">
        <v>74</v>
      </c>
      <c r="I102" s="139" t="s">
        <v>74</v>
      </c>
      <c r="J102" s="139" t="s">
        <v>74</v>
      </c>
    </row>
    <row r="103" spans="1:10">
      <c r="A103" s="178" t="s">
        <v>500</v>
      </c>
      <c r="B103" s="139" t="s">
        <v>429</v>
      </c>
      <c r="C103" s="385"/>
      <c r="D103" s="139" t="s">
        <v>74</v>
      </c>
      <c r="E103" s="139" t="s">
        <v>74</v>
      </c>
      <c r="F103" s="139" t="s">
        <v>74</v>
      </c>
      <c r="G103" s="139" t="s">
        <v>74</v>
      </c>
      <c r="H103" s="139" t="s">
        <v>74</v>
      </c>
      <c r="I103" s="139" t="s">
        <v>74</v>
      </c>
      <c r="J103" s="139" t="s">
        <v>74</v>
      </c>
    </row>
    <row r="104" spans="1:10">
      <c r="A104" s="384" t="s">
        <v>501</v>
      </c>
      <c r="B104" s="139" t="s">
        <v>482</v>
      </c>
      <c r="C104" s="385"/>
      <c r="D104" s="139" t="s">
        <v>74</v>
      </c>
      <c r="E104" s="139" t="s">
        <v>74</v>
      </c>
      <c r="F104" s="139" t="s">
        <v>74</v>
      </c>
      <c r="G104" s="139" t="s">
        <v>74</v>
      </c>
      <c r="H104" s="139" t="s">
        <v>74</v>
      </c>
      <c r="I104" s="139" t="s">
        <v>74</v>
      </c>
      <c r="J104" s="139" t="s">
        <v>74</v>
      </c>
    </row>
    <row r="105" spans="1:10" ht="16">
      <c r="A105" s="178" t="s">
        <v>502</v>
      </c>
      <c r="B105" s="139" t="s">
        <v>886</v>
      </c>
      <c r="C105" s="385"/>
      <c r="D105" s="139" t="s">
        <v>74</v>
      </c>
      <c r="E105" s="139" t="s">
        <v>74</v>
      </c>
      <c r="F105" s="139" t="s">
        <v>74</v>
      </c>
      <c r="G105" s="139" t="s">
        <v>74</v>
      </c>
      <c r="H105" s="139" t="s">
        <v>74</v>
      </c>
      <c r="I105" s="139" t="s">
        <v>74</v>
      </c>
      <c r="J105" s="139" t="s">
        <v>74</v>
      </c>
    </row>
    <row r="106" spans="1:10">
      <c r="A106" s="395" t="s">
        <v>503</v>
      </c>
      <c r="B106" s="139"/>
      <c r="C106" s="385"/>
      <c r="D106" s="139" t="s">
        <v>74</v>
      </c>
      <c r="E106" s="139" t="s">
        <v>74</v>
      </c>
      <c r="F106" s="139" t="s">
        <v>74</v>
      </c>
      <c r="G106" s="139" t="s">
        <v>74</v>
      </c>
      <c r="H106" s="139" t="s">
        <v>74</v>
      </c>
      <c r="I106" s="139" t="s">
        <v>74</v>
      </c>
      <c r="J106" s="139" t="s">
        <v>74</v>
      </c>
    </row>
    <row r="107" spans="1:10">
      <c r="A107" s="178" t="s">
        <v>497</v>
      </c>
      <c r="B107" s="139" t="s">
        <v>487</v>
      </c>
      <c r="C107" s="385"/>
      <c r="D107" s="139" t="s">
        <v>74</v>
      </c>
      <c r="E107" s="139" t="s">
        <v>74</v>
      </c>
      <c r="F107" s="139" t="s">
        <v>74</v>
      </c>
      <c r="G107" s="139" t="s">
        <v>74</v>
      </c>
      <c r="H107" s="139" t="s">
        <v>74</v>
      </c>
      <c r="I107" s="139" t="s">
        <v>74</v>
      </c>
      <c r="J107" s="139" t="s">
        <v>74</v>
      </c>
    </row>
    <row r="108" spans="1:10">
      <c r="A108" s="178" t="s">
        <v>498</v>
      </c>
      <c r="B108" s="139" t="s">
        <v>487</v>
      </c>
      <c r="C108" s="385"/>
      <c r="D108" s="139" t="s">
        <v>74</v>
      </c>
      <c r="E108" s="139" t="s">
        <v>74</v>
      </c>
      <c r="F108" s="139" t="s">
        <v>74</v>
      </c>
      <c r="G108" s="139" t="s">
        <v>74</v>
      </c>
      <c r="H108" s="139" t="s">
        <v>74</v>
      </c>
      <c r="I108" s="139" t="s">
        <v>74</v>
      </c>
      <c r="J108" s="139" t="s">
        <v>74</v>
      </c>
    </row>
    <row r="109" spans="1:10">
      <c r="A109" s="178" t="s">
        <v>499</v>
      </c>
      <c r="B109" s="139" t="s">
        <v>429</v>
      </c>
      <c r="C109" s="385"/>
      <c r="D109" s="139" t="s">
        <v>74</v>
      </c>
      <c r="E109" s="139" t="s">
        <v>74</v>
      </c>
      <c r="F109" s="139" t="s">
        <v>74</v>
      </c>
      <c r="G109" s="139" t="s">
        <v>74</v>
      </c>
      <c r="H109" s="139" t="s">
        <v>74</v>
      </c>
      <c r="I109" s="139" t="s">
        <v>74</v>
      </c>
      <c r="J109" s="139" t="s">
        <v>74</v>
      </c>
    </row>
    <row r="110" spans="1:10">
      <c r="A110" s="178" t="s">
        <v>500</v>
      </c>
      <c r="B110" s="139" t="s">
        <v>429</v>
      </c>
      <c r="C110" s="385"/>
      <c r="D110" s="139" t="s">
        <v>74</v>
      </c>
      <c r="E110" s="139" t="s">
        <v>74</v>
      </c>
      <c r="F110" s="139" t="s">
        <v>74</v>
      </c>
      <c r="G110" s="139" t="s">
        <v>74</v>
      </c>
      <c r="H110" s="139" t="s">
        <v>74</v>
      </c>
      <c r="I110" s="139" t="s">
        <v>74</v>
      </c>
      <c r="J110" s="139" t="s">
        <v>74</v>
      </c>
    </row>
    <row r="111" spans="1:10">
      <c r="A111" s="384" t="s">
        <v>501</v>
      </c>
      <c r="B111" s="139" t="s">
        <v>482</v>
      </c>
      <c r="C111" s="385"/>
      <c r="D111" s="139" t="s">
        <v>74</v>
      </c>
      <c r="E111" s="139" t="s">
        <v>74</v>
      </c>
      <c r="F111" s="139" t="s">
        <v>74</v>
      </c>
      <c r="G111" s="139" t="s">
        <v>74</v>
      </c>
      <c r="H111" s="139" t="s">
        <v>74</v>
      </c>
      <c r="I111" s="139" t="s">
        <v>74</v>
      </c>
      <c r="J111" s="139" t="s">
        <v>74</v>
      </c>
    </row>
    <row r="112" spans="1:10" ht="16">
      <c r="A112" s="178" t="s">
        <v>502</v>
      </c>
      <c r="B112" s="139" t="s">
        <v>886</v>
      </c>
      <c r="C112" s="385"/>
      <c r="D112" s="139" t="s">
        <v>74</v>
      </c>
      <c r="E112" s="139" t="s">
        <v>74</v>
      </c>
      <c r="F112" s="139" t="s">
        <v>74</v>
      </c>
      <c r="G112" s="139" t="s">
        <v>74</v>
      </c>
      <c r="H112" s="139" t="s">
        <v>74</v>
      </c>
      <c r="I112" s="139" t="s">
        <v>74</v>
      </c>
      <c r="J112" s="139" t="s">
        <v>74</v>
      </c>
    </row>
    <row r="113" spans="1:10">
      <c r="A113" s="395" t="s">
        <v>504</v>
      </c>
      <c r="B113" s="139"/>
      <c r="C113" s="385"/>
      <c r="D113" s="139" t="s">
        <v>74</v>
      </c>
      <c r="E113" s="139" t="s">
        <v>74</v>
      </c>
      <c r="F113" s="139" t="s">
        <v>74</v>
      </c>
      <c r="G113" s="139" t="s">
        <v>74</v>
      </c>
      <c r="H113" s="139" t="s">
        <v>74</v>
      </c>
      <c r="I113" s="139" t="s">
        <v>74</v>
      </c>
      <c r="J113" s="139" t="s">
        <v>74</v>
      </c>
    </row>
    <row r="114" spans="1:10">
      <c r="A114" s="178" t="s">
        <v>497</v>
      </c>
      <c r="B114" s="139" t="s">
        <v>487</v>
      </c>
      <c r="C114" s="385"/>
      <c r="D114" s="139" t="s">
        <v>74</v>
      </c>
      <c r="E114" s="139" t="s">
        <v>74</v>
      </c>
      <c r="F114" s="139" t="s">
        <v>74</v>
      </c>
      <c r="G114" s="139" t="s">
        <v>74</v>
      </c>
      <c r="H114" s="139" t="s">
        <v>74</v>
      </c>
      <c r="I114" s="139" t="s">
        <v>74</v>
      </c>
      <c r="J114" s="139" t="s">
        <v>74</v>
      </c>
    </row>
    <row r="115" spans="1:10">
      <c r="A115" s="178" t="s">
        <v>498</v>
      </c>
      <c r="B115" s="139" t="s">
        <v>487</v>
      </c>
      <c r="C115" s="385"/>
      <c r="D115" s="139" t="s">
        <v>74</v>
      </c>
      <c r="E115" s="139" t="s">
        <v>74</v>
      </c>
      <c r="F115" s="139" t="s">
        <v>74</v>
      </c>
      <c r="G115" s="139" t="s">
        <v>74</v>
      </c>
      <c r="H115" s="139" t="s">
        <v>74</v>
      </c>
      <c r="I115" s="139" t="s">
        <v>74</v>
      </c>
      <c r="J115" s="139" t="s">
        <v>74</v>
      </c>
    </row>
    <row r="116" spans="1:10">
      <c r="A116" s="178" t="s">
        <v>500</v>
      </c>
      <c r="B116" s="139" t="s">
        <v>429</v>
      </c>
      <c r="C116" s="385"/>
      <c r="D116" s="139" t="s">
        <v>74</v>
      </c>
      <c r="E116" s="139" t="s">
        <v>74</v>
      </c>
      <c r="F116" s="139" t="s">
        <v>74</v>
      </c>
      <c r="G116" s="139" t="s">
        <v>74</v>
      </c>
      <c r="H116" s="139" t="s">
        <v>74</v>
      </c>
      <c r="I116" s="139" t="s">
        <v>74</v>
      </c>
      <c r="J116" s="139" t="s">
        <v>74</v>
      </c>
    </row>
    <row r="117" spans="1:10">
      <c r="A117" s="384" t="s">
        <v>501</v>
      </c>
      <c r="B117" s="139" t="s">
        <v>482</v>
      </c>
      <c r="C117" s="385"/>
      <c r="D117" s="139" t="s">
        <v>74</v>
      </c>
      <c r="E117" s="139" t="s">
        <v>74</v>
      </c>
      <c r="F117" s="139" t="s">
        <v>74</v>
      </c>
      <c r="G117" s="139" t="s">
        <v>74</v>
      </c>
      <c r="H117" s="139" t="s">
        <v>74</v>
      </c>
      <c r="I117" s="139" t="s">
        <v>74</v>
      </c>
      <c r="J117" s="139" t="s">
        <v>74</v>
      </c>
    </row>
    <row r="118" spans="1:10">
      <c r="A118" s="395" t="s">
        <v>32</v>
      </c>
      <c r="B118" s="139"/>
      <c r="C118" s="385"/>
      <c r="D118" s="139" t="s">
        <v>74</v>
      </c>
      <c r="E118" s="139" t="s">
        <v>74</v>
      </c>
      <c r="F118" s="139" t="s">
        <v>74</v>
      </c>
      <c r="G118" s="139" t="s">
        <v>74</v>
      </c>
      <c r="H118" s="139" t="s">
        <v>74</v>
      </c>
      <c r="I118" s="139" t="s">
        <v>74</v>
      </c>
      <c r="J118" s="139" t="s">
        <v>74</v>
      </c>
    </row>
    <row r="119" spans="1:10" ht="16">
      <c r="A119" s="178" t="s">
        <v>505</v>
      </c>
      <c r="B119" s="139" t="s">
        <v>886</v>
      </c>
      <c r="C119" s="385"/>
      <c r="D119" s="139" t="s">
        <v>74</v>
      </c>
      <c r="E119" s="139" t="s">
        <v>74</v>
      </c>
      <c r="F119" s="139" t="s">
        <v>74</v>
      </c>
      <c r="G119" s="139" t="s">
        <v>74</v>
      </c>
      <c r="H119" s="139" t="s">
        <v>74</v>
      </c>
      <c r="I119" s="139" t="s">
        <v>74</v>
      </c>
      <c r="J119" s="139" t="s">
        <v>74</v>
      </c>
    </row>
    <row r="120" spans="1:10">
      <c r="A120" s="396" t="s">
        <v>506</v>
      </c>
      <c r="B120" s="139" t="s">
        <v>487</v>
      </c>
      <c r="C120" s="385"/>
      <c r="D120" s="139" t="s">
        <v>74</v>
      </c>
      <c r="E120" s="139" t="s">
        <v>74</v>
      </c>
      <c r="F120" s="139" t="s">
        <v>74</v>
      </c>
      <c r="G120" s="139" t="s">
        <v>74</v>
      </c>
      <c r="H120" s="139" t="s">
        <v>74</v>
      </c>
      <c r="I120" s="139" t="s">
        <v>74</v>
      </c>
      <c r="J120" s="139" t="s">
        <v>74</v>
      </c>
    </row>
    <row r="121" spans="1:10">
      <c r="A121" s="178" t="s">
        <v>507</v>
      </c>
      <c r="B121" s="139" t="s">
        <v>405</v>
      </c>
      <c r="C121" s="385"/>
      <c r="D121" s="139" t="s">
        <v>74</v>
      </c>
      <c r="E121" s="139" t="s">
        <v>74</v>
      </c>
      <c r="F121" s="139" t="s">
        <v>74</v>
      </c>
      <c r="G121" s="139" t="s">
        <v>74</v>
      </c>
      <c r="H121" s="139" t="s">
        <v>74</v>
      </c>
      <c r="I121" s="139" t="s">
        <v>74</v>
      </c>
      <c r="J121" s="139" t="s">
        <v>74</v>
      </c>
    </row>
    <row r="122" spans="1:10">
      <c r="A122" s="178" t="s">
        <v>508</v>
      </c>
      <c r="B122" s="139" t="s">
        <v>405</v>
      </c>
      <c r="C122" s="385"/>
      <c r="D122" s="139" t="s">
        <v>74</v>
      </c>
      <c r="E122" s="139" t="s">
        <v>74</v>
      </c>
      <c r="F122" s="139" t="s">
        <v>74</v>
      </c>
      <c r="G122" s="139" t="s">
        <v>74</v>
      </c>
      <c r="H122" s="139" t="s">
        <v>74</v>
      </c>
      <c r="I122" s="139" t="s">
        <v>74</v>
      </c>
      <c r="J122" s="139" t="s">
        <v>74</v>
      </c>
    </row>
    <row r="123" spans="1:10">
      <c r="A123" s="388" t="s">
        <v>509</v>
      </c>
      <c r="B123" s="397"/>
      <c r="C123" s="388"/>
      <c r="D123" s="388"/>
      <c r="E123" s="388"/>
      <c r="F123" s="388"/>
      <c r="G123" s="388"/>
      <c r="H123" s="388"/>
      <c r="I123" s="388"/>
      <c r="J123" s="388"/>
    </row>
    <row r="124" spans="1:10">
      <c r="A124" s="180" t="s">
        <v>510</v>
      </c>
      <c r="B124" s="158" t="s">
        <v>511</v>
      </c>
      <c r="C124" s="370"/>
      <c r="D124" s="158">
        <v>1</v>
      </c>
      <c r="E124" s="158">
        <v>1</v>
      </c>
      <c r="F124" s="158">
        <v>1</v>
      </c>
      <c r="G124" s="158">
        <v>1</v>
      </c>
      <c r="H124" s="158">
        <v>1</v>
      </c>
      <c r="I124" s="158">
        <v>1</v>
      </c>
      <c r="J124" s="158">
        <v>1</v>
      </c>
    </row>
    <row r="125" spans="1:10">
      <c r="A125" s="180" t="s">
        <v>512</v>
      </c>
      <c r="B125" s="158" t="s">
        <v>467</v>
      </c>
      <c r="C125" s="370"/>
      <c r="D125" s="158">
        <v>1</v>
      </c>
      <c r="E125" s="158">
        <v>1</v>
      </c>
      <c r="F125" s="158">
        <v>1</v>
      </c>
      <c r="G125" s="158">
        <v>1</v>
      </c>
      <c r="H125" s="158">
        <v>1</v>
      </c>
      <c r="I125" s="158">
        <v>1</v>
      </c>
      <c r="J125" s="158">
        <v>1</v>
      </c>
    </row>
    <row r="126" spans="1:10">
      <c r="A126" s="178" t="s">
        <v>513</v>
      </c>
      <c r="B126" s="139" t="s">
        <v>514</v>
      </c>
      <c r="C126" s="385"/>
      <c r="D126" s="139" t="s">
        <v>74</v>
      </c>
      <c r="E126" s="139" t="s">
        <v>74</v>
      </c>
      <c r="F126" s="139" t="s">
        <v>74</v>
      </c>
      <c r="G126" s="139" t="s">
        <v>74</v>
      </c>
      <c r="H126" s="139" t="s">
        <v>74</v>
      </c>
      <c r="I126" s="139" t="s">
        <v>74</v>
      </c>
      <c r="J126" s="139" t="s">
        <v>74</v>
      </c>
    </row>
    <row r="127" spans="1:10">
      <c r="A127" s="178" t="s">
        <v>515</v>
      </c>
      <c r="B127" s="139" t="s">
        <v>514</v>
      </c>
      <c r="C127" s="385"/>
      <c r="D127" s="139" t="s">
        <v>74</v>
      </c>
      <c r="E127" s="139" t="s">
        <v>74</v>
      </c>
      <c r="F127" s="139" t="s">
        <v>74</v>
      </c>
      <c r="G127" s="139" t="s">
        <v>74</v>
      </c>
      <c r="H127" s="139" t="s">
        <v>74</v>
      </c>
      <c r="I127" s="139" t="s">
        <v>74</v>
      </c>
      <c r="J127" s="139" t="s">
        <v>74</v>
      </c>
    </row>
    <row r="128" spans="1:10">
      <c r="A128" s="178" t="s">
        <v>516</v>
      </c>
      <c r="B128" s="139" t="s">
        <v>514</v>
      </c>
      <c r="C128" s="385"/>
      <c r="D128" s="139" t="s">
        <v>74</v>
      </c>
      <c r="E128" s="139" t="s">
        <v>74</v>
      </c>
      <c r="F128" s="139" t="s">
        <v>74</v>
      </c>
      <c r="G128" s="139" t="s">
        <v>74</v>
      </c>
      <c r="H128" s="139" t="s">
        <v>74</v>
      </c>
      <c r="I128" s="139" t="s">
        <v>74</v>
      </c>
      <c r="J128" s="139" t="s">
        <v>74</v>
      </c>
    </row>
    <row r="129" spans="1:10">
      <c r="A129" s="178" t="s">
        <v>517</v>
      </c>
      <c r="B129" s="139" t="s">
        <v>514</v>
      </c>
      <c r="C129" s="385"/>
      <c r="D129" s="139" t="s">
        <v>74</v>
      </c>
      <c r="E129" s="139" t="s">
        <v>74</v>
      </c>
      <c r="F129" s="139" t="s">
        <v>74</v>
      </c>
      <c r="G129" s="139" t="s">
        <v>74</v>
      </c>
      <c r="H129" s="139" t="s">
        <v>74</v>
      </c>
      <c r="I129" s="139" t="s">
        <v>74</v>
      </c>
      <c r="J129" s="139" t="s">
        <v>74</v>
      </c>
    </row>
    <row r="130" spans="1:10">
      <c r="A130" s="178" t="s">
        <v>518</v>
      </c>
      <c r="B130" s="139" t="s">
        <v>514</v>
      </c>
      <c r="C130" s="385"/>
      <c r="D130" s="139" t="s">
        <v>74</v>
      </c>
      <c r="E130" s="139" t="s">
        <v>74</v>
      </c>
      <c r="F130" s="139" t="s">
        <v>74</v>
      </c>
      <c r="G130" s="139" t="s">
        <v>74</v>
      </c>
      <c r="H130" s="139" t="s">
        <v>74</v>
      </c>
      <c r="I130" s="139" t="s">
        <v>74</v>
      </c>
      <c r="J130" s="139" t="s">
        <v>74</v>
      </c>
    </row>
    <row r="131" spans="1:10">
      <c r="A131" s="178" t="s">
        <v>519</v>
      </c>
      <c r="B131" s="139" t="s">
        <v>514</v>
      </c>
      <c r="C131" s="385"/>
      <c r="D131" s="139" t="s">
        <v>74</v>
      </c>
      <c r="E131" s="139" t="s">
        <v>74</v>
      </c>
      <c r="F131" s="139" t="s">
        <v>74</v>
      </c>
      <c r="G131" s="139" t="s">
        <v>74</v>
      </c>
      <c r="H131" s="139" t="s">
        <v>74</v>
      </c>
      <c r="I131" s="139" t="s">
        <v>74</v>
      </c>
      <c r="J131" s="139" t="s">
        <v>74</v>
      </c>
    </row>
    <row r="132" spans="1:10">
      <c r="A132" s="178" t="s">
        <v>520</v>
      </c>
      <c r="B132" s="139" t="s">
        <v>514</v>
      </c>
      <c r="C132" s="385"/>
      <c r="D132" s="139" t="s">
        <v>74</v>
      </c>
      <c r="E132" s="139" t="s">
        <v>74</v>
      </c>
      <c r="F132" s="139" t="s">
        <v>74</v>
      </c>
      <c r="G132" s="139" t="s">
        <v>74</v>
      </c>
      <c r="H132" s="139" t="s">
        <v>74</v>
      </c>
      <c r="I132" s="139" t="s">
        <v>74</v>
      </c>
      <c r="J132" s="139" t="s">
        <v>74</v>
      </c>
    </row>
    <row r="134" spans="1:10">
      <c r="A134" s="398"/>
    </row>
  </sheetData>
  <sheetProtection algorithmName="SHA-512" hashValue="uyb76aIxqAobewudZyWQ8udIhtrmxt1B06+m4u1sxlBtoSPX8+LX2HLhn21i7A/GxEBsWGWRdo0dobaYqDd7Mw==" saltValue="+Bh8fQdEe4qkVYwV3iSaJw==" spinCount="100000" sheet="1" objects="1" scenarios="1" formatCells="0" formatColumns="0" formatRows="0"/>
  <mergeCells count="18">
    <mergeCell ref="A1:B1"/>
    <mergeCell ref="A2:B2"/>
    <mergeCell ref="A17:C17"/>
    <mergeCell ref="B18:C18"/>
    <mergeCell ref="A19:C19"/>
    <mergeCell ref="A45:A47"/>
    <mergeCell ref="B45:B47"/>
    <mergeCell ref="A48:A50"/>
    <mergeCell ref="B48:B50"/>
    <mergeCell ref="A4:B4"/>
    <mergeCell ref="A7:A9"/>
    <mergeCell ref="B7:B9"/>
    <mergeCell ref="A22:A24"/>
    <mergeCell ref="B22:B24"/>
    <mergeCell ref="A10:A12"/>
    <mergeCell ref="B10:B12"/>
    <mergeCell ref="A13:A15"/>
    <mergeCell ref="B13:B15"/>
  </mergeCells>
  <phoneticPr fontId="46" type="noConversion"/>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51C3984F-68E6-449D-AB73-03E6F8252C4E}">
          <x14:formula1>
            <xm:f>CEM_Models!$A$23:$A$86</xm:f>
          </x14:formula1>
          <xm:sqref>D17:J17</xm:sqref>
        </x14:dataValidation>
        <x14:dataValidation type="list" allowBlank="1" showInputMessage="1" showErrorMessage="1" xr:uid="{F9AD3B45-3F0F-4206-9C01-BD9390FD76A0}">
          <x14:formula1>
            <xm:f>CEM_ENV!$A$2:$A$13</xm:f>
          </x14:formula1>
          <xm:sqref>D28:J28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FDF03-BE40-4237-9EE0-4A5AEFEB5FCF}">
  <dimension ref="A1:P60"/>
  <sheetViews>
    <sheetView zoomScale="85" zoomScaleNormal="85" workbookViewId="0">
      <pane ySplit="1" topLeftCell="A7" activePane="bottomLeft" state="frozen"/>
      <selection pane="bottomLeft" activeCell="C28" sqref="C28"/>
    </sheetView>
  </sheetViews>
  <sheetFormatPr defaultColWidth="8.9140625" defaultRowHeight="14"/>
  <cols>
    <col min="1" max="1" width="37.08203125" style="48" customWidth="1"/>
    <col min="2" max="2" width="13.9140625" style="48" customWidth="1"/>
    <col min="3" max="3" width="10.6640625" style="48" customWidth="1"/>
    <col min="4" max="8" width="25.58203125" style="48" customWidth="1"/>
    <col min="9" max="9" width="28.4140625" style="48" customWidth="1"/>
    <col min="10" max="10" width="23.58203125" style="48" customWidth="1"/>
    <col min="11" max="16384" width="8.9140625" style="48"/>
  </cols>
  <sheetData>
    <row r="1" spans="1:16" ht="29.4" customHeight="1">
      <c r="A1" s="686" t="s">
        <v>521</v>
      </c>
      <c r="B1" s="687"/>
      <c r="C1" s="114"/>
      <c r="D1" s="115" t="s">
        <v>522</v>
      </c>
      <c r="E1" s="115" t="s">
        <v>523</v>
      </c>
      <c r="F1" s="115" t="s">
        <v>524</v>
      </c>
      <c r="G1" s="154" t="s">
        <v>841</v>
      </c>
      <c r="H1" s="115" t="s">
        <v>526</v>
      </c>
      <c r="I1" s="115" t="s">
        <v>613</v>
      </c>
      <c r="J1" s="154" t="s">
        <v>852</v>
      </c>
    </row>
    <row r="2" spans="1:16" ht="15">
      <c r="A2" s="688" t="s">
        <v>527</v>
      </c>
      <c r="B2" s="689"/>
      <c r="C2" s="116"/>
      <c r="D2" s="155" t="s">
        <v>528</v>
      </c>
      <c r="E2" s="155" t="s">
        <v>374</v>
      </c>
      <c r="F2" s="155" t="s">
        <v>529</v>
      </c>
      <c r="G2" s="155" t="s">
        <v>529</v>
      </c>
      <c r="H2" s="155" t="s">
        <v>530</v>
      </c>
      <c r="I2" s="155" t="s">
        <v>528</v>
      </c>
      <c r="J2" s="155" t="s">
        <v>528</v>
      </c>
    </row>
    <row r="3" spans="1:16">
      <c r="A3" s="701" t="s">
        <v>531</v>
      </c>
      <c r="B3" s="702"/>
      <c r="C3" s="156"/>
      <c r="D3" s="157"/>
      <c r="E3" s="157" t="s">
        <v>532</v>
      </c>
      <c r="F3" s="157"/>
      <c r="G3" s="157"/>
      <c r="H3" s="157"/>
      <c r="I3" s="157"/>
      <c r="J3" s="157"/>
    </row>
    <row r="4" spans="1:16">
      <c r="A4" s="700" t="s">
        <v>533</v>
      </c>
      <c r="B4" s="699" t="s">
        <v>534</v>
      </c>
      <c r="C4" s="159" t="s">
        <v>388</v>
      </c>
      <c r="D4" s="160">
        <v>5.0000000000000001E-4</v>
      </c>
      <c r="E4" s="160">
        <v>5.0000000000000001E-4</v>
      </c>
      <c r="F4" s="160">
        <v>5.0000000000000001E-4</v>
      </c>
      <c r="G4" s="160">
        <v>1E-4</v>
      </c>
      <c r="H4" s="160">
        <v>1E-3</v>
      </c>
      <c r="I4" s="160">
        <v>5.0000000000000001E-4</v>
      </c>
      <c r="J4" s="160">
        <v>0.01</v>
      </c>
      <c r="K4" s="161"/>
      <c r="L4" s="162"/>
      <c r="M4" s="162"/>
      <c r="N4" s="162"/>
      <c r="O4" s="162"/>
      <c r="P4" s="162"/>
    </row>
    <row r="5" spans="1:16">
      <c r="A5" s="700"/>
      <c r="B5" s="699"/>
      <c r="C5" s="159" t="s">
        <v>596</v>
      </c>
      <c r="D5" s="160">
        <v>1E-4</v>
      </c>
      <c r="E5" s="160">
        <v>1E-4</v>
      </c>
      <c r="F5" s="160">
        <v>1E-4</v>
      </c>
      <c r="G5" s="160">
        <v>2.5999999999999998E-5</v>
      </c>
      <c r="H5" s="160">
        <v>2.9999999999999997E-4</v>
      </c>
      <c r="I5" s="160">
        <v>2.9999999999999997E-4</v>
      </c>
      <c r="J5" s="160">
        <v>5.0000000000000001E-3</v>
      </c>
      <c r="K5" s="161"/>
      <c r="L5" s="162"/>
      <c r="M5" s="162"/>
      <c r="N5" s="162"/>
      <c r="O5" s="162"/>
      <c r="P5" s="162"/>
    </row>
    <row r="6" spans="1:16">
      <c r="A6" s="700"/>
      <c r="B6" s="699"/>
      <c r="C6" s="159" t="s">
        <v>390</v>
      </c>
      <c r="D6" s="160">
        <v>2.9999999999999999E-7</v>
      </c>
      <c r="E6" s="160">
        <v>2.9999999999999999E-7</v>
      </c>
      <c r="F6" s="160">
        <v>2.9999999999999999E-7</v>
      </c>
      <c r="G6" s="160">
        <v>1.2499999999999999E-7</v>
      </c>
      <c r="H6" s="160">
        <v>1E-4</v>
      </c>
      <c r="I6" s="160">
        <v>1E-4</v>
      </c>
      <c r="J6" s="160">
        <v>1E-4</v>
      </c>
      <c r="K6" s="161"/>
      <c r="L6" s="162"/>
      <c r="M6" s="162"/>
      <c r="N6" s="162"/>
      <c r="O6" s="162"/>
      <c r="P6" s="162"/>
    </row>
    <row r="7" spans="1:16" ht="28">
      <c r="A7" s="117" t="s">
        <v>535</v>
      </c>
      <c r="B7" s="118" t="s">
        <v>377</v>
      </c>
      <c r="C7" s="118" t="s">
        <v>378</v>
      </c>
      <c r="D7" s="118" t="s">
        <v>379</v>
      </c>
      <c r="E7" s="118" t="s">
        <v>379</v>
      </c>
      <c r="F7" s="118" t="s">
        <v>379</v>
      </c>
      <c r="G7" s="118" t="s">
        <v>379</v>
      </c>
      <c r="H7" s="118" t="s">
        <v>379</v>
      </c>
      <c r="I7" s="118" t="s">
        <v>379</v>
      </c>
      <c r="J7" s="118" t="s">
        <v>379</v>
      </c>
    </row>
    <row r="8" spans="1:16">
      <c r="A8" s="678" t="s">
        <v>380</v>
      </c>
      <c r="B8" s="679"/>
      <c r="C8" s="120"/>
      <c r="D8" s="104" t="s">
        <v>536</v>
      </c>
      <c r="E8" s="104" t="s">
        <v>536</v>
      </c>
      <c r="F8" s="78" t="s">
        <v>537</v>
      </c>
      <c r="G8" s="104" t="s">
        <v>537</v>
      </c>
      <c r="H8" s="78" t="s">
        <v>537</v>
      </c>
      <c r="I8" s="78" t="s">
        <v>537</v>
      </c>
      <c r="J8" s="104" t="s">
        <v>536</v>
      </c>
    </row>
    <row r="9" spans="1:16">
      <c r="A9" s="163" t="s">
        <v>382</v>
      </c>
      <c r="B9" s="124" t="s">
        <v>383</v>
      </c>
      <c r="C9" s="164"/>
      <c r="D9" s="104">
        <v>1</v>
      </c>
      <c r="E9" s="104">
        <v>1</v>
      </c>
      <c r="F9" s="104">
        <v>1</v>
      </c>
      <c r="G9" s="104">
        <v>1</v>
      </c>
      <c r="H9" s="104">
        <v>1</v>
      </c>
      <c r="I9" s="104">
        <v>1</v>
      </c>
      <c r="J9" s="104">
        <v>1</v>
      </c>
    </row>
    <row r="10" spans="1:16" ht="14.5" thickBot="1">
      <c r="A10" s="165" t="s">
        <v>382</v>
      </c>
      <c r="B10" s="124" t="s">
        <v>384</v>
      </c>
      <c r="C10" s="166"/>
      <c r="D10" s="167">
        <v>365</v>
      </c>
      <c r="E10" s="167">
        <v>365</v>
      </c>
      <c r="F10" s="167">
        <v>365</v>
      </c>
      <c r="G10" s="167">
        <v>365</v>
      </c>
      <c r="H10" s="167">
        <v>365</v>
      </c>
      <c r="I10" s="167">
        <v>365</v>
      </c>
      <c r="J10" s="167">
        <v>52</v>
      </c>
    </row>
    <row r="11" spans="1:16">
      <c r="A11" s="696" t="s">
        <v>538</v>
      </c>
      <c r="B11" s="698" t="s">
        <v>387</v>
      </c>
      <c r="C11" s="168" t="s">
        <v>388</v>
      </c>
      <c r="D11" s="169">
        <v>960</v>
      </c>
      <c r="E11" s="170">
        <f>E12+124.3</f>
        <v>856.69999999999993</v>
      </c>
      <c r="F11" s="125">
        <v>137</v>
      </c>
      <c r="G11" s="171" t="s">
        <v>74</v>
      </c>
      <c r="H11" s="125">
        <v>137</v>
      </c>
      <c r="I11" s="169">
        <v>960</v>
      </c>
      <c r="J11" s="169">
        <v>60</v>
      </c>
    </row>
    <row r="12" spans="1:16">
      <c r="A12" s="697"/>
      <c r="B12" s="682"/>
      <c r="C12" s="125" t="s">
        <v>596</v>
      </c>
      <c r="D12" s="104">
        <v>480</v>
      </c>
      <c r="E12" s="172">
        <v>732.4</v>
      </c>
      <c r="F12" s="125">
        <v>88</v>
      </c>
      <c r="G12" s="138" t="s">
        <v>74</v>
      </c>
      <c r="H12" s="125">
        <v>88</v>
      </c>
      <c r="I12" s="104">
        <v>480</v>
      </c>
      <c r="J12" s="104">
        <v>30</v>
      </c>
    </row>
    <row r="13" spans="1:16">
      <c r="A13" s="697"/>
      <c r="B13" s="682"/>
      <c r="C13" s="125" t="s">
        <v>390</v>
      </c>
      <c r="D13" s="104">
        <f>4*60</f>
        <v>240</v>
      </c>
      <c r="E13" s="172">
        <f>E12-124.3</f>
        <v>608.1</v>
      </c>
      <c r="F13" s="125">
        <v>24</v>
      </c>
      <c r="G13" s="138" t="s">
        <v>74</v>
      </c>
      <c r="H13" s="125">
        <v>24</v>
      </c>
      <c r="I13" s="104">
        <f>4*60</f>
        <v>240</v>
      </c>
      <c r="J13" s="104">
        <v>15</v>
      </c>
    </row>
    <row r="14" spans="1:16">
      <c r="A14" s="697" t="s">
        <v>539</v>
      </c>
      <c r="B14" s="682" t="s">
        <v>387</v>
      </c>
      <c r="C14" s="125" t="s">
        <v>388</v>
      </c>
      <c r="D14" s="169">
        <v>960</v>
      </c>
      <c r="E14" s="172">
        <f>E15+110.8</f>
        <v>674.5</v>
      </c>
      <c r="F14" s="138" t="s">
        <v>74</v>
      </c>
      <c r="G14" s="138" t="s">
        <v>74</v>
      </c>
      <c r="H14" s="138" t="s">
        <v>74</v>
      </c>
      <c r="I14" s="169">
        <v>960</v>
      </c>
      <c r="J14" s="169">
        <v>60</v>
      </c>
    </row>
    <row r="15" spans="1:16">
      <c r="A15" s="697"/>
      <c r="B15" s="682"/>
      <c r="C15" s="125" t="s">
        <v>596</v>
      </c>
      <c r="D15" s="104">
        <v>480</v>
      </c>
      <c r="E15" s="172">
        <v>563.70000000000005</v>
      </c>
      <c r="F15" s="138" t="s">
        <v>74</v>
      </c>
      <c r="G15" s="138" t="s">
        <v>74</v>
      </c>
      <c r="H15" s="138" t="s">
        <v>74</v>
      </c>
      <c r="I15" s="104">
        <v>480</v>
      </c>
      <c r="J15" s="104">
        <v>30</v>
      </c>
    </row>
    <row r="16" spans="1:16">
      <c r="A16" s="697"/>
      <c r="B16" s="682"/>
      <c r="C16" s="125" t="s">
        <v>390</v>
      </c>
      <c r="D16" s="104">
        <f>4*60</f>
        <v>240</v>
      </c>
      <c r="E16" s="172">
        <f>E15-110.8</f>
        <v>452.90000000000003</v>
      </c>
      <c r="F16" s="138" t="s">
        <v>74</v>
      </c>
      <c r="G16" s="138" t="s">
        <v>74</v>
      </c>
      <c r="H16" s="138" t="s">
        <v>74</v>
      </c>
      <c r="I16" s="104">
        <f>4*60</f>
        <v>240</v>
      </c>
      <c r="J16" s="104">
        <v>15</v>
      </c>
    </row>
    <row r="17" spans="1:10">
      <c r="A17" s="697" t="s">
        <v>540</v>
      </c>
      <c r="B17" s="682" t="s">
        <v>387</v>
      </c>
      <c r="C17" s="125" t="s">
        <v>388</v>
      </c>
      <c r="D17" s="169">
        <v>960</v>
      </c>
      <c r="E17" s="172">
        <f>E18+123</f>
        <v>619.9</v>
      </c>
      <c r="F17" s="138" t="s">
        <v>74</v>
      </c>
      <c r="G17" s="138" t="s">
        <v>74</v>
      </c>
      <c r="H17" s="138" t="s">
        <v>74</v>
      </c>
      <c r="I17" s="169">
        <v>960</v>
      </c>
      <c r="J17" s="104">
        <v>60</v>
      </c>
    </row>
    <row r="18" spans="1:10">
      <c r="A18" s="697"/>
      <c r="B18" s="682"/>
      <c r="C18" s="125" t="s">
        <v>596</v>
      </c>
      <c r="D18" s="104">
        <v>480</v>
      </c>
      <c r="E18" s="172">
        <v>496.9</v>
      </c>
      <c r="F18" s="138" t="s">
        <v>74</v>
      </c>
      <c r="G18" s="138" t="s">
        <v>74</v>
      </c>
      <c r="H18" s="138" t="s">
        <v>74</v>
      </c>
      <c r="I18" s="104">
        <v>480</v>
      </c>
      <c r="J18" s="104">
        <v>30</v>
      </c>
    </row>
    <row r="19" spans="1:10" ht="14.5" thickBot="1">
      <c r="A19" s="708"/>
      <c r="B19" s="709"/>
      <c r="C19" s="173" t="s">
        <v>390</v>
      </c>
      <c r="D19" s="104">
        <f>4*60</f>
        <v>240</v>
      </c>
      <c r="E19" s="174">
        <f>E18-123</f>
        <v>373.9</v>
      </c>
      <c r="F19" s="175" t="s">
        <v>74</v>
      </c>
      <c r="G19" s="175" t="s">
        <v>74</v>
      </c>
      <c r="H19" s="175" t="s">
        <v>74</v>
      </c>
      <c r="I19" s="104">
        <f>4*60</f>
        <v>240</v>
      </c>
      <c r="J19" s="167">
        <v>15</v>
      </c>
    </row>
    <row r="20" spans="1:10">
      <c r="A20" s="176" t="s">
        <v>903</v>
      </c>
      <c r="B20" s="140" t="s">
        <v>346</v>
      </c>
      <c r="C20" s="177"/>
      <c r="D20" s="171" t="s">
        <v>74</v>
      </c>
      <c r="E20" s="171" t="s">
        <v>74</v>
      </c>
      <c r="F20" s="169">
        <v>0</v>
      </c>
      <c r="G20" s="169">
        <v>0</v>
      </c>
      <c r="H20" s="169">
        <v>0</v>
      </c>
      <c r="I20" s="169">
        <v>0</v>
      </c>
      <c r="J20" s="171" t="s">
        <v>74</v>
      </c>
    </row>
    <row r="21" spans="1:10">
      <c r="A21" s="178" t="s">
        <v>904</v>
      </c>
      <c r="B21" s="139" t="s">
        <v>346</v>
      </c>
      <c r="C21" s="146"/>
      <c r="D21" s="138" t="s">
        <v>74</v>
      </c>
      <c r="E21" s="138" t="s">
        <v>74</v>
      </c>
      <c r="F21" s="104">
        <v>0</v>
      </c>
      <c r="G21" s="104">
        <v>0</v>
      </c>
      <c r="H21" s="104">
        <v>0</v>
      </c>
      <c r="I21" s="104">
        <v>0</v>
      </c>
      <c r="J21" s="138" t="s">
        <v>74</v>
      </c>
    </row>
    <row r="22" spans="1:10">
      <c r="A22" s="178" t="s">
        <v>902</v>
      </c>
      <c r="B22" s="139" t="s">
        <v>346</v>
      </c>
      <c r="C22" s="146"/>
      <c r="D22" s="138" t="s">
        <v>74</v>
      </c>
      <c r="E22" s="138" t="s">
        <v>74</v>
      </c>
      <c r="F22" s="104">
        <v>0</v>
      </c>
      <c r="G22" s="104">
        <v>0</v>
      </c>
      <c r="H22" s="104">
        <v>0</v>
      </c>
      <c r="I22" s="104">
        <v>0</v>
      </c>
      <c r="J22" s="138" t="s">
        <v>74</v>
      </c>
    </row>
    <row r="23" spans="1:10">
      <c r="A23" s="179" t="s">
        <v>901</v>
      </c>
      <c r="B23" s="139" t="s">
        <v>346</v>
      </c>
      <c r="C23" s="146"/>
      <c r="D23" s="138" t="s">
        <v>74</v>
      </c>
      <c r="E23" s="138" t="s">
        <v>74</v>
      </c>
      <c r="F23" s="104">
        <v>0</v>
      </c>
      <c r="G23" s="104">
        <v>0</v>
      </c>
      <c r="H23" s="104">
        <v>0</v>
      </c>
      <c r="I23" s="104">
        <v>0</v>
      </c>
      <c r="J23" s="138" t="s">
        <v>74</v>
      </c>
    </row>
    <row r="24" spans="1:10">
      <c r="A24" s="703" t="s">
        <v>906</v>
      </c>
      <c r="B24" s="699" t="s">
        <v>346</v>
      </c>
      <c r="C24" s="181" t="s">
        <v>388</v>
      </c>
      <c r="D24" s="138" t="s">
        <v>74</v>
      </c>
      <c r="E24" s="138" t="s">
        <v>74</v>
      </c>
      <c r="F24" s="182">
        <f>Article_Data!G17</f>
        <v>21.766666666666666</v>
      </c>
      <c r="G24" s="182">
        <f>Article_Data!G18</f>
        <v>48.7</v>
      </c>
      <c r="H24" s="182">
        <f>Article_Data!I17</f>
        <v>10</v>
      </c>
      <c r="I24" s="182">
        <f>Article_Data!J17</f>
        <v>0</v>
      </c>
      <c r="J24" s="138" t="s">
        <v>74</v>
      </c>
    </row>
    <row r="25" spans="1:10">
      <c r="A25" s="703"/>
      <c r="B25" s="699"/>
      <c r="C25" s="181" t="s">
        <v>596</v>
      </c>
      <c r="D25" s="138" t="s">
        <v>74</v>
      </c>
      <c r="E25" s="138" t="s">
        <v>74</v>
      </c>
      <c r="F25" s="182">
        <f>Article_Data!H17</f>
        <v>14.441666666666666</v>
      </c>
      <c r="G25" s="182">
        <f>Article_Data!H18</f>
        <v>24.654166666666669</v>
      </c>
      <c r="H25" s="182">
        <f>Article_Data!J17</f>
        <v>0</v>
      </c>
      <c r="I25" s="182">
        <f>Article_Data!K17</f>
        <v>0</v>
      </c>
      <c r="J25" s="138" t="s">
        <v>74</v>
      </c>
    </row>
    <row r="26" spans="1:10">
      <c r="A26" s="703"/>
      <c r="B26" s="699"/>
      <c r="C26" s="181" t="s">
        <v>390</v>
      </c>
      <c r="D26" s="138" t="s">
        <v>74</v>
      </c>
      <c r="E26" s="138" t="s">
        <v>74</v>
      </c>
      <c r="F26" s="182">
        <f>Article_Data!I17</f>
        <v>10</v>
      </c>
      <c r="G26" s="182">
        <f>Article_Data!I18</f>
        <v>0.33333333333333331</v>
      </c>
      <c r="H26" s="182">
        <f>Article_Data!K17</f>
        <v>0</v>
      </c>
      <c r="I26" s="182">
        <f>Article_Data!L17</f>
        <v>0</v>
      </c>
      <c r="J26" s="138" t="s">
        <v>74</v>
      </c>
    </row>
    <row r="27" spans="1:10">
      <c r="A27" s="703" t="s">
        <v>905</v>
      </c>
      <c r="B27" s="699" t="s">
        <v>346</v>
      </c>
      <c r="C27" s="181" t="s">
        <v>388</v>
      </c>
      <c r="D27" s="138" t="s">
        <v>74</v>
      </c>
      <c r="E27" s="138" t="s">
        <v>74</v>
      </c>
      <c r="F27" s="182">
        <f>Article_Data!G12</f>
        <v>23.016666666666666</v>
      </c>
      <c r="G27" s="182">
        <f>Article_Data!G13</f>
        <v>69.36666666666666</v>
      </c>
      <c r="H27" s="182">
        <f>Article_Data!I12</f>
        <v>12.033333333333333</v>
      </c>
      <c r="I27" s="182">
        <f>Article_Data!J12</f>
        <v>0</v>
      </c>
      <c r="J27" s="138" t="s">
        <v>74</v>
      </c>
    </row>
    <row r="28" spans="1:10">
      <c r="A28" s="703"/>
      <c r="B28" s="699"/>
      <c r="C28" s="181" t="s">
        <v>596</v>
      </c>
      <c r="D28" s="138" t="s">
        <v>74</v>
      </c>
      <c r="E28" s="138" t="s">
        <v>74</v>
      </c>
      <c r="F28" s="182">
        <f>Article_Data!H12</f>
        <v>16.9375</v>
      </c>
      <c r="G28" s="182">
        <f>Article_Data!H13</f>
        <v>45.045833333333334</v>
      </c>
      <c r="H28" s="182">
        <f>Article_Data!J12</f>
        <v>0</v>
      </c>
      <c r="I28" s="182">
        <f>Article_Data!K12</f>
        <v>0</v>
      </c>
      <c r="J28" s="138" t="s">
        <v>74</v>
      </c>
    </row>
    <row r="29" spans="1:10">
      <c r="A29" s="703"/>
      <c r="B29" s="699"/>
      <c r="C29" s="181" t="s">
        <v>390</v>
      </c>
      <c r="D29" s="138" t="s">
        <v>74</v>
      </c>
      <c r="E29" s="138" t="s">
        <v>74</v>
      </c>
      <c r="F29" s="182">
        <f>Article_Data!I12</f>
        <v>12.033333333333333</v>
      </c>
      <c r="G29" s="182">
        <f>Article_Data!I13</f>
        <v>25.2</v>
      </c>
      <c r="H29" s="182">
        <f>Article_Data!K12</f>
        <v>0</v>
      </c>
      <c r="I29" s="182">
        <f>Article_Data!L12</f>
        <v>0</v>
      </c>
      <c r="J29" s="138" t="s">
        <v>74</v>
      </c>
    </row>
    <row r="30" spans="1:10">
      <c r="A30" s="703" t="s">
        <v>907</v>
      </c>
      <c r="B30" s="699" t="s">
        <v>346</v>
      </c>
      <c r="C30" s="125" t="s">
        <v>388</v>
      </c>
      <c r="D30" s="138" t="s">
        <v>74</v>
      </c>
      <c r="E30" s="138" t="s">
        <v>74</v>
      </c>
      <c r="F30" s="182">
        <f>Article_Data!G7</f>
        <v>24.5</v>
      </c>
      <c r="G30" s="182">
        <f>Article_Data!G8</f>
        <v>47.216666666666669</v>
      </c>
      <c r="H30" s="182">
        <f>Article_Data!I7</f>
        <v>5.2333333333333334</v>
      </c>
      <c r="I30" s="182">
        <f>Article_Data!J7</f>
        <v>0</v>
      </c>
      <c r="J30" s="138" t="s">
        <v>74</v>
      </c>
    </row>
    <row r="31" spans="1:10">
      <c r="A31" s="703"/>
      <c r="B31" s="699"/>
      <c r="C31" s="125" t="s">
        <v>596</v>
      </c>
      <c r="D31" s="138" t="s">
        <v>74</v>
      </c>
      <c r="E31" s="138" t="s">
        <v>74</v>
      </c>
      <c r="F31" s="182">
        <f>Article_Data!H7</f>
        <v>14.658333333333335</v>
      </c>
      <c r="G31" s="182">
        <f>Article_Data!H8</f>
        <v>33.454166666666666</v>
      </c>
      <c r="H31" s="182">
        <f>Article_Data!J7</f>
        <v>0</v>
      </c>
      <c r="I31" s="182">
        <f>Article_Data!K7</f>
        <v>0</v>
      </c>
      <c r="J31" s="138" t="s">
        <v>74</v>
      </c>
    </row>
    <row r="32" spans="1:10" ht="14.5" thickBot="1">
      <c r="A32" s="704"/>
      <c r="B32" s="705"/>
      <c r="C32" s="173" t="s">
        <v>390</v>
      </c>
      <c r="D32" s="175" t="s">
        <v>74</v>
      </c>
      <c r="E32" s="175" t="s">
        <v>74</v>
      </c>
      <c r="F32" s="183">
        <f>Article_Data!I7</f>
        <v>5.2333333333333334</v>
      </c>
      <c r="G32" s="183">
        <f>Article_Data!I8</f>
        <v>14.6</v>
      </c>
      <c r="H32" s="183">
        <f>Article_Data!K7</f>
        <v>0</v>
      </c>
      <c r="I32" s="183">
        <f>Article_Data!L7</f>
        <v>0</v>
      </c>
      <c r="J32" s="175" t="s">
        <v>74</v>
      </c>
    </row>
    <row r="33" spans="1:11">
      <c r="A33" s="706" t="s">
        <v>541</v>
      </c>
      <c r="B33" s="707" t="s">
        <v>898</v>
      </c>
      <c r="C33" s="184" t="s">
        <v>388</v>
      </c>
      <c r="D33" s="171" t="s">
        <v>74</v>
      </c>
      <c r="E33" s="185" t="s">
        <v>74</v>
      </c>
      <c r="F33" s="186">
        <f>10^(0.92*LOG10(F$4*10^6)+'P-Chem'!$J$3)</f>
        <v>0.19321626123429475</v>
      </c>
      <c r="G33" s="186">
        <f>10^(0.92*LOG10(G$4*10^6)+'P-Chem'!$J$7)</f>
        <v>0.14269810482349241</v>
      </c>
      <c r="H33" s="186">
        <f>10^(0.92*LOG10(H$4*10^6)+'P-Chem'!$J$7)</f>
        <v>1.1869111379719235</v>
      </c>
      <c r="I33" s="187" t="s">
        <v>542</v>
      </c>
      <c r="J33" s="187" t="s">
        <v>74</v>
      </c>
    </row>
    <row r="34" spans="1:11">
      <c r="A34" s="706"/>
      <c r="B34" s="699"/>
      <c r="C34" s="181" t="s">
        <v>596</v>
      </c>
      <c r="D34" s="138" t="s">
        <v>74</v>
      </c>
      <c r="E34" s="188" t="s">
        <v>74</v>
      </c>
      <c r="F34" s="189">
        <f>10^(0.92*LOG10(F$5*10^6)+'P-Chem'!$J$3)</f>
        <v>4.3953278025106762E-2</v>
      </c>
      <c r="G34" s="189">
        <f>10^(0.92*LOG10(G$5*10^6)+'P-Chem'!$J$7)</f>
        <v>4.1323175281757371E-2</v>
      </c>
      <c r="H34" s="189">
        <f>10^(0.92*LOG10(H$5*10^6)+'P-Chem'!$J$7)</f>
        <v>0.39207554933834959</v>
      </c>
      <c r="I34" s="190" t="s">
        <v>74</v>
      </c>
      <c r="J34" s="190" t="s">
        <v>74</v>
      </c>
    </row>
    <row r="35" spans="1:11" ht="14.5" thickBot="1">
      <c r="A35" s="706"/>
      <c r="B35" s="699"/>
      <c r="C35" s="191" t="s">
        <v>390</v>
      </c>
      <c r="D35" s="175" t="s">
        <v>74</v>
      </c>
      <c r="E35" s="192" t="s">
        <v>74</v>
      </c>
      <c r="F35" s="189">
        <f>10^(0.92*LOG10(F$6*10^6)+'P-Chem'!$J$3)</f>
        <v>2.0986635735168583E-4</v>
      </c>
      <c r="G35" s="189">
        <f>10^(0.92*LOG10(G$6*10^6)+'P-Chem'!$J$7)</f>
        <v>3.0449167079893723E-4</v>
      </c>
      <c r="H35" s="189">
        <f>10^(0.92*LOG10(H$6*10^6)+'P-Chem'!$J$7)</f>
        <v>0.14269810482349241</v>
      </c>
      <c r="I35" s="193" t="s">
        <v>74</v>
      </c>
      <c r="J35" s="193" t="s">
        <v>74</v>
      </c>
    </row>
    <row r="36" spans="1:11">
      <c r="A36" s="127" t="s">
        <v>543</v>
      </c>
      <c r="B36" s="128"/>
      <c r="C36" s="128"/>
      <c r="D36" s="129"/>
      <c r="E36" s="129"/>
      <c r="F36" s="129"/>
      <c r="G36" s="130"/>
      <c r="H36" s="129"/>
      <c r="I36" s="129"/>
      <c r="J36" s="130"/>
      <c r="K36" s="124"/>
    </row>
    <row r="37" spans="1:11">
      <c r="A37" s="134" t="s">
        <v>544</v>
      </c>
      <c r="B37" s="135"/>
      <c r="C37" s="136"/>
      <c r="D37" s="137"/>
      <c r="E37" s="137"/>
      <c r="F37" s="137"/>
      <c r="G37" s="137"/>
      <c r="H37" s="137"/>
      <c r="I37" s="137"/>
      <c r="J37" s="137"/>
      <c r="K37" s="112"/>
    </row>
    <row r="38" spans="1:11">
      <c r="A38" s="48" t="s">
        <v>545</v>
      </c>
      <c r="B38" s="112"/>
      <c r="C38" s="147"/>
      <c r="D38" s="194" t="s">
        <v>74</v>
      </c>
      <c r="E38" s="78" t="s">
        <v>546</v>
      </c>
      <c r="F38" s="194" t="s">
        <v>74</v>
      </c>
      <c r="G38" s="194" t="s">
        <v>74</v>
      </c>
      <c r="H38" s="194" t="s">
        <v>74</v>
      </c>
      <c r="I38" s="194" t="s">
        <v>74</v>
      </c>
      <c r="J38" s="194" t="s">
        <v>74</v>
      </c>
    </row>
    <row r="39" spans="1:11">
      <c r="A39" s="147" t="s">
        <v>544</v>
      </c>
      <c r="B39" s="112"/>
      <c r="C39" s="147"/>
      <c r="D39" s="194" t="s">
        <v>74</v>
      </c>
      <c r="E39" s="104" t="s">
        <v>547</v>
      </c>
      <c r="F39" s="194" t="s">
        <v>74</v>
      </c>
      <c r="G39" s="194" t="s">
        <v>74</v>
      </c>
      <c r="H39" s="194" t="s">
        <v>74</v>
      </c>
      <c r="I39" s="194" t="s">
        <v>74</v>
      </c>
      <c r="J39" s="194" t="s">
        <v>74</v>
      </c>
    </row>
    <row r="40" spans="1:11" ht="16">
      <c r="A40" s="147" t="s">
        <v>548</v>
      </c>
      <c r="B40" s="112" t="s">
        <v>839</v>
      </c>
      <c r="C40" s="147"/>
      <c r="D40" s="194" t="s">
        <v>74</v>
      </c>
      <c r="E40" s="112">
        <f>VLOOKUP($E$3, CEM_ENV!$A$1:$N$13, 3)</f>
        <v>36</v>
      </c>
      <c r="F40" s="194" t="s">
        <v>74</v>
      </c>
      <c r="G40" s="194" t="s">
        <v>74</v>
      </c>
      <c r="H40" s="194" t="s">
        <v>74</v>
      </c>
      <c r="I40" s="194" t="s">
        <v>74</v>
      </c>
      <c r="J40" s="194" t="s">
        <v>74</v>
      </c>
    </row>
    <row r="41" spans="1:11" ht="16">
      <c r="A41" s="147" t="s">
        <v>549</v>
      </c>
      <c r="B41" s="112" t="s">
        <v>839</v>
      </c>
      <c r="C41" s="147"/>
      <c r="D41" s="194" t="s">
        <v>74</v>
      </c>
      <c r="E41" s="112">
        <f>492-E40</f>
        <v>456</v>
      </c>
      <c r="F41" s="194" t="s">
        <v>74</v>
      </c>
      <c r="G41" s="194" t="s">
        <v>74</v>
      </c>
      <c r="H41" s="194" t="s">
        <v>74</v>
      </c>
      <c r="I41" s="194" t="s">
        <v>74</v>
      </c>
      <c r="J41" s="194" t="s">
        <v>74</v>
      </c>
    </row>
    <row r="42" spans="1:11">
      <c r="A42" s="142" t="s">
        <v>550</v>
      </c>
      <c r="B42" s="143"/>
      <c r="C42" s="144"/>
      <c r="D42" s="145"/>
      <c r="E42" s="145"/>
      <c r="F42" s="145"/>
      <c r="G42" s="145"/>
      <c r="H42" s="145"/>
      <c r="I42" s="145"/>
      <c r="J42" s="145"/>
    </row>
    <row r="43" spans="1:11" ht="16">
      <c r="A43" s="141" t="s">
        <v>551</v>
      </c>
      <c r="B43" s="104" t="s">
        <v>840</v>
      </c>
      <c r="C43" s="147"/>
      <c r="D43" s="194" t="s">
        <v>74</v>
      </c>
      <c r="E43" s="112">
        <f>VLOOKUP($E$3, CEM_ENV!$A$1:$N$13, 5)</f>
        <v>0.45</v>
      </c>
      <c r="F43" s="194" t="s">
        <v>74</v>
      </c>
      <c r="G43" s="194" t="s">
        <v>74</v>
      </c>
      <c r="H43" s="194" t="s">
        <v>74</v>
      </c>
      <c r="I43" s="194" t="s">
        <v>74</v>
      </c>
      <c r="J43" s="194" t="s">
        <v>74</v>
      </c>
    </row>
    <row r="44" spans="1:11" ht="16">
      <c r="A44" s="141" t="s">
        <v>552</v>
      </c>
      <c r="B44" s="104" t="s">
        <v>840</v>
      </c>
      <c r="C44" s="147"/>
      <c r="D44" s="194" t="s">
        <v>74</v>
      </c>
      <c r="E44" s="112">
        <f>VLOOKUP(E3, CEM_ENV!A1:N13,  7)</f>
        <v>107.01</v>
      </c>
      <c r="F44" s="194" t="s">
        <v>74</v>
      </c>
      <c r="G44" s="194" t="s">
        <v>74</v>
      </c>
      <c r="H44" s="194" t="s">
        <v>74</v>
      </c>
      <c r="I44" s="194" t="s">
        <v>74</v>
      </c>
      <c r="J44" s="194" t="s">
        <v>74</v>
      </c>
    </row>
    <row r="45" spans="1:11" ht="16">
      <c r="A45" s="141" t="s">
        <v>553</v>
      </c>
      <c r="B45" s="104" t="s">
        <v>840</v>
      </c>
      <c r="C45" s="147"/>
      <c r="D45" s="194" t="s">
        <v>74</v>
      </c>
      <c r="E45" s="112">
        <f>VLOOKUP($E$3, CEM_ENV!$A$1:$N$13, 6)</f>
        <v>0.45</v>
      </c>
      <c r="F45" s="194" t="s">
        <v>74</v>
      </c>
      <c r="G45" s="194" t="s">
        <v>74</v>
      </c>
      <c r="H45" s="194" t="s">
        <v>74</v>
      </c>
      <c r="I45" s="194" t="s">
        <v>74</v>
      </c>
      <c r="J45" s="194" t="s">
        <v>74</v>
      </c>
    </row>
    <row r="46" spans="1:11">
      <c r="A46" s="134" t="s">
        <v>554</v>
      </c>
      <c r="B46" s="135"/>
      <c r="C46" s="136"/>
      <c r="D46" s="137"/>
      <c r="E46" s="137"/>
      <c r="F46" s="137"/>
      <c r="G46" s="137"/>
      <c r="H46" s="137"/>
      <c r="I46" s="137"/>
      <c r="J46" s="137"/>
    </row>
    <row r="47" spans="1:11">
      <c r="A47" s="142" t="s">
        <v>555</v>
      </c>
      <c r="B47" s="143"/>
      <c r="C47" s="144"/>
      <c r="D47" s="145"/>
      <c r="E47" s="145"/>
      <c r="F47" s="145"/>
      <c r="G47" s="145"/>
      <c r="H47" s="145"/>
      <c r="I47" s="145"/>
      <c r="J47" s="145"/>
    </row>
    <row r="48" spans="1:11">
      <c r="A48" s="147" t="s">
        <v>556</v>
      </c>
      <c r="B48" s="112"/>
      <c r="C48" s="147"/>
      <c r="D48" s="194" t="s">
        <v>74</v>
      </c>
      <c r="E48" s="104">
        <v>1</v>
      </c>
      <c r="F48" s="194" t="s">
        <v>74</v>
      </c>
      <c r="G48" s="194" t="s">
        <v>74</v>
      </c>
      <c r="H48" s="194" t="s">
        <v>74</v>
      </c>
      <c r="I48" s="194" t="s">
        <v>74</v>
      </c>
      <c r="J48" s="194" t="s">
        <v>74</v>
      </c>
    </row>
    <row r="49" spans="1:11" ht="16">
      <c r="A49" s="147" t="s">
        <v>557</v>
      </c>
      <c r="B49" s="112" t="s">
        <v>889</v>
      </c>
      <c r="C49" s="147"/>
      <c r="D49" s="194" t="s">
        <v>74</v>
      </c>
      <c r="E49" s="104">
        <f>(2.75*2.5)*2</f>
        <v>13.75</v>
      </c>
      <c r="F49" s="194" t="s">
        <v>74</v>
      </c>
      <c r="G49" s="194" t="s">
        <v>74</v>
      </c>
      <c r="H49" s="194" t="s">
        <v>74</v>
      </c>
      <c r="I49" s="194" t="s">
        <v>74</v>
      </c>
      <c r="J49" s="194" t="s">
        <v>74</v>
      </c>
    </row>
    <row r="50" spans="1:11">
      <c r="A50" s="147" t="s">
        <v>558</v>
      </c>
      <c r="B50" s="112" t="s">
        <v>482</v>
      </c>
      <c r="C50" s="147"/>
      <c r="D50" s="194" t="s">
        <v>74</v>
      </c>
      <c r="E50" s="104">
        <v>1E-3</v>
      </c>
      <c r="F50" s="194" t="s">
        <v>74</v>
      </c>
      <c r="G50" s="194" t="s">
        <v>74</v>
      </c>
      <c r="H50" s="194" t="s">
        <v>74</v>
      </c>
      <c r="I50" s="194" t="s">
        <v>74</v>
      </c>
      <c r="J50" s="194" t="s">
        <v>74</v>
      </c>
    </row>
    <row r="51" spans="1:11">
      <c r="A51" s="147" t="s">
        <v>559</v>
      </c>
      <c r="B51" s="112" t="s">
        <v>410</v>
      </c>
      <c r="C51" s="147"/>
      <c r="D51" s="194" t="s">
        <v>74</v>
      </c>
      <c r="E51" s="195">
        <f>'P-Chem'!I3</f>
        <v>9005.0463645952877</v>
      </c>
      <c r="F51" s="194" t="s">
        <v>74</v>
      </c>
      <c r="G51" s="194" t="s">
        <v>74</v>
      </c>
      <c r="H51" s="194" t="s">
        <v>74</v>
      </c>
      <c r="I51" s="194" t="s">
        <v>74</v>
      </c>
      <c r="J51" s="194" t="s">
        <v>74</v>
      </c>
    </row>
    <row r="52" spans="1:11" ht="16">
      <c r="A52" s="147" t="s">
        <v>560</v>
      </c>
      <c r="B52" s="112" t="s">
        <v>899</v>
      </c>
      <c r="C52" s="147"/>
      <c r="D52" s="194" t="s">
        <v>74</v>
      </c>
      <c r="E52" s="195">
        <f>'P-Chem'!H3</f>
        <v>5.792189220882754E-10</v>
      </c>
      <c r="F52" s="194" t="s">
        <v>74</v>
      </c>
      <c r="G52" s="194" t="s">
        <v>74</v>
      </c>
      <c r="H52" s="194" t="s">
        <v>74</v>
      </c>
      <c r="I52" s="194" t="s">
        <v>74</v>
      </c>
      <c r="J52" s="194" t="s">
        <v>74</v>
      </c>
    </row>
    <row r="53" spans="1:11">
      <c r="A53" s="147" t="s">
        <v>561</v>
      </c>
      <c r="B53" s="112" t="s">
        <v>460</v>
      </c>
      <c r="C53" s="147"/>
      <c r="D53" s="194" t="s">
        <v>74</v>
      </c>
      <c r="E53" s="196">
        <f>'P-Chem'!L14</f>
        <v>1.8370208440031106</v>
      </c>
      <c r="F53" s="194" t="s">
        <v>74</v>
      </c>
      <c r="G53" s="194" t="s">
        <v>74</v>
      </c>
      <c r="H53" s="194" t="s">
        <v>74</v>
      </c>
      <c r="I53" s="194" t="s">
        <v>74</v>
      </c>
      <c r="J53" s="194" t="s">
        <v>74</v>
      </c>
    </row>
    <row r="54" spans="1:11">
      <c r="A54" s="700" t="s">
        <v>562</v>
      </c>
      <c r="B54" s="699" t="s">
        <v>900</v>
      </c>
      <c r="C54" s="159" t="s">
        <v>388</v>
      </c>
      <c r="D54" s="194" t="s">
        <v>74</v>
      </c>
      <c r="E54" s="160">
        <f>(E4*Article_Data!B28)*10^12</f>
        <v>775000000.00000012</v>
      </c>
      <c r="F54" s="194" t="s">
        <v>74</v>
      </c>
      <c r="G54" s="194" t="s">
        <v>74</v>
      </c>
      <c r="H54" s="194" t="s">
        <v>74</v>
      </c>
      <c r="I54" s="194" t="s">
        <v>74</v>
      </c>
      <c r="J54" s="194" t="s">
        <v>74</v>
      </c>
    </row>
    <row r="55" spans="1:11">
      <c r="A55" s="700"/>
      <c r="B55" s="699"/>
      <c r="C55" s="159" t="s">
        <v>596</v>
      </c>
      <c r="D55" s="194" t="s">
        <v>74</v>
      </c>
      <c r="E55" s="160">
        <f>(E5*Article_Data!B29)*10^12</f>
        <v>75000000</v>
      </c>
      <c r="F55" s="194" t="s">
        <v>74</v>
      </c>
      <c r="G55" s="194" t="s">
        <v>74</v>
      </c>
      <c r="H55" s="194" t="s">
        <v>74</v>
      </c>
      <c r="I55" s="194" t="s">
        <v>74</v>
      </c>
      <c r="J55" s="194" t="s">
        <v>74</v>
      </c>
    </row>
    <row r="56" spans="1:11">
      <c r="A56" s="700"/>
      <c r="B56" s="699"/>
      <c r="C56" s="159" t="s">
        <v>390</v>
      </c>
      <c r="D56" s="194" t="s">
        <v>74</v>
      </c>
      <c r="E56" s="160">
        <f>(E6*Article_Data!B30)*10^12</f>
        <v>14999.999999999998</v>
      </c>
      <c r="F56" s="194" t="s">
        <v>74</v>
      </c>
      <c r="G56" s="194" t="s">
        <v>74</v>
      </c>
      <c r="H56" s="194" t="s">
        <v>74</v>
      </c>
      <c r="I56" s="194" t="s">
        <v>74</v>
      </c>
      <c r="J56" s="194" t="s">
        <v>74</v>
      </c>
      <c r="K56" s="197"/>
    </row>
    <row r="57" spans="1:11">
      <c r="A57" s="134" t="s">
        <v>563</v>
      </c>
      <c r="B57" s="135"/>
      <c r="C57" s="136"/>
      <c r="D57" s="137"/>
      <c r="E57" s="137"/>
      <c r="F57" s="137"/>
      <c r="G57" s="137"/>
      <c r="H57" s="137"/>
      <c r="I57" s="137"/>
      <c r="J57" s="137"/>
    </row>
    <row r="58" spans="1:11">
      <c r="A58" s="147" t="s">
        <v>564</v>
      </c>
      <c r="B58" s="112" t="s">
        <v>565</v>
      </c>
      <c r="C58" s="147"/>
      <c r="D58" s="194" t="s">
        <v>74</v>
      </c>
      <c r="E58" s="399">
        <v>20000</v>
      </c>
      <c r="F58" s="194" t="s">
        <v>74</v>
      </c>
      <c r="G58" s="194" t="s">
        <v>74</v>
      </c>
      <c r="H58" s="194" t="s">
        <v>74</v>
      </c>
      <c r="I58" s="194" t="s">
        <v>74</v>
      </c>
      <c r="J58" s="194" t="s">
        <v>74</v>
      </c>
    </row>
    <row r="59" spans="1:11">
      <c r="A59" s="147" t="s">
        <v>566</v>
      </c>
      <c r="B59" s="112" t="s">
        <v>410</v>
      </c>
      <c r="C59" s="147"/>
      <c r="D59" s="194" t="s">
        <v>74</v>
      </c>
      <c r="E59" s="399">
        <v>5000</v>
      </c>
      <c r="F59" s="194" t="s">
        <v>74</v>
      </c>
      <c r="G59" s="194" t="s">
        <v>74</v>
      </c>
      <c r="H59" s="194" t="s">
        <v>74</v>
      </c>
      <c r="I59" s="194" t="s">
        <v>74</v>
      </c>
      <c r="J59" s="194" t="s">
        <v>74</v>
      </c>
    </row>
    <row r="60" spans="1:11">
      <c r="A60" s="147" t="s">
        <v>567</v>
      </c>
      <c r="B60" s="112" t="s">
        <v>410</v>
      </c>
      <c r="C60" s="147"/>
      <c r="D60" s="194" t="s">
        <v>74</v>
      </c>
      <c r="E60" s="104" t="s">
        <v>568</v>
      </c>
      <c r="F60" s="194" t="s">
        <v>74</v>
      </c>
      <c r="G60" s="194" t="s">
        <v>74</v>
      </c>
      <c r="H60" s="194" t="s">
        <v>74</v>
      </c>
      <c r="I60" s="194" t="s">
        <v>74</v>
      </c>
      <c r="J60" s="194" t="s">
        <v>74</v>
      </c>
    </row>
  </sheetData>
  <sheetProtection algorithmName="SHA-512" hashValue="fZeZKFjsiYyUjuaBuwHz93eFh28f4SvKFVLUrOnA//yrEXFKLKupMN3Ld5B+qHmseZhJ+Z1z5cWEN3qqcLG5ng==" saltValue="RcnLVQ59MABwek1fSWBntg==" spinCount="100000" sheet="1" objects="1" scenarios="1" formatCells="0" formatColumns="0" formatRows="0"/>
  <mergeCells count="22">
    <mergeCell ref="A54:A56"/>
    <mergeCell ref="B54:B56"/>
    <mergeCell ref="A3:B3"/>
    <mergeCell ref="A30:A32"/>
    <mergeCell ref="B24:B26"/>
    <mergeCell ref="B27:B29"/>
    <mergeCell ref="B30:B32"/>
    <mergeCell ref="A33:A35"/>
    <mergeCell ref="B33:B35"/>
    <mergeCell ref="A14:A16"/>
    <mergeCell ref="B14:B16"/>
    <mergeCell ref="A17:A19"/>
    <mergeCell ref="B17:B19"/>
    <mergeCell ref="A24:A26"/>
    <mergeCell ref="A27:A29"/>
    <mergeCell ref="A4:A6"/>
    <mergeCell ref="A1:B1"/>
    <mergeCell ref="A2:B2"/>
    <mergeCell ref="A8:B8"/>
    <mergeCell ref="A11:A13"/>
    <mergeCell ref="B11:B13"/>
    <mergeCell ref="B4:B6"/>
  </mergeCells>
  <conditionalFormatting sqref="D1:J1">
    <cfRule type="expression" dxfId="2" priority="2">
      <formula>_xlfn.ISFORMULA(D1)</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B17F6-AFB3-4A24-B85D-9993AEB4ABCD}">
  <dimension ref="A1:EA64"/>
  <sheetViews>
    <sheetView zoomScale="70" zoomScaleNormal="70" workbookViewId="0">
      <pane xSplit="3" ySplit="3" topLeftCell="D4" activePane="bottomRight" state="frozen"/>
      <selection pane="topRight" activeCell="D1" sqref="D1"/>
      <selection pane="bottomLeft" activeCell="A4" sqref="A4"/>
      <selection pane="bottomRight" activeCell="P51" sqref="P51"/>
    </sheetView>
  </sheetViews>
  <sheetFormatPr defaultColWidth="8.9140625" defaultRowHeight="14"/>
  <cols>
    <col min="1" max="1" width="22.4140625" style="48" customWidth="1"/>
    <col min="2" max="2" width="12.4140625" style="48" customWidth="1"/>
    <col min="3" max="3" width="17.6640625" style="48" customWidth="1"/>
    <col min="4" max="4" width="10.75" style="48" customWidth="1"/>
    <col min="5" max="5" width="11.75" style="48" customWidth="1"/>
    <col min="6" max="6" width="12.6640625" style="48" customWidth="1"/>
    <col min="7" max="7" width="12.33203125" style="48" customWidth="1"/>
    <col min="8" max="8" width="13.9140625" style="48" customWidth="1"/>
    <col min="9" max="9" width="10.75" style="48" bestFit="1" customWidth="1"/>
    <col min="10" max="10" width="10.58203125" style="78" customWidth="1"/>
    <col min="11" max="11" width="9.75" style="78" customWidth="1"/>
    <col min="12" max="12" width="10.75" style="78" customWidth="1"/>
    <col min="13" max="13" width="11" style="78" customWidth="1"/>
    <col min="14" max="15" width="10.08203125" style="78" customWidth="1"/>
    <col min="16" max="16" width="14.58203125" style="78" customWidth="1"/>
    <col min="17" max="17" width="11.25" style="78" customWidth="1"/>
    <col min="18" max="18" width="31" style="78" customWidth="1"/>
    <col min="19" max="20" width="9.25" style="48" customWidth="1"/>
    <col min="21" max="21" width="11.4140625" style="48" customWidth="1"/>
    <col min="22" max="22" width="12.75" style="48" customWidth="1"/>
    <col min="23" max="23" width="12.25" style="48" customWidth="1"/>
    <col min="24" max="25" width="10.08203125" style="48" customWidth="1"/>
    <col min="26" max="27" width="9.25" style="48" bestFit="1" customWidth="1"/>
    <col min="28" max="28" width="10.9140625" style="48" customWidth="1"/>
    <col min="29" max="30" width="12.9140625" style="48" customWidth="1"/>
    <col min="31" max="31" width="10.4140625" style="48" customWidth="1"/>
    <col min="32" max="32" width="9.75" style="48" bestFit="1" customWidth="1"/>
    <col min="33" max="33" width="9.25" style="48" bestFit="1" customWidth="1"/>
    <col min="34" max="34" width="11.25" style="48" customWidth="1"/>
    <col min="35" max="35" width="11.9140625" style="48" customWidth="1"/>
    <col min="36" max="36" width="12.4140625" style="48" customWidth="1"/>
    <col min="37" max="37" width="12.75" style="48" customWidth="1"/>
    <col min="38" max="38" width="10.75" style="48" customWidth="1"/>
    <col min="39" max="39" width="10" style="48" bestFit="1" customWidth="1"/>
    <col min="40" max="46" width="9.33203125" style="48" hidden="1" customWidth="1"/>
    <col min="47" max="47" width="9.08203125" style="48" hidden="1" customWidth="1"/>
    <col min="48" max="48" width="9.6640625" style="48" hidden="1" customWidth="1"/>
    <col min="49" max="49" width="10.08203125" style="48" hidden="1" customWidth="1"/>
    <col min="50" max="50" width="10.6640625" style="48" hidden="1" customWidth="1"/>
    <col min="51" max="51" width="11" style="48" hidden="1" customWidth="1"/>
    <col min="52" max="53" width="9.33203125" style="48" hidden="1" customWidth="1"/>
    <col min="54" max="55" width="9.9140625" style="48" hidden="1" customWidth="1"/>
    <col min="56" max="56" width="11.08203125" style="48" hidden="1" customWidth="1"/>
    <col min="57" max="59" width="9.9140625" style="48" hidden="1" customWidth="1"/>
    <col min="60" max="63" width="8.9140625" style="363"/>
    <col min="64" max="64" width="15.9140625" style="363" customWidth="1"/>
    <col min="65" max="65" width="9.4140625" style="363" bestFit="1" customWidth="1"/>
    <col min="66" max="66" width="12.08203125" style="363" customWidth="1"/>
    <col min="67" max="67" width="11.58203125" style="363" customWidth="1"/>
    <col min="68" max="68" width="11.9140625" style="363" customWidth="1"/>
    <col min="69" max="69" width="10.4140625" style="363" customWidth="1"/>
    <col min="70" max="70" width="13.25" style="363" customWidth="1"/>
    <col min="71" max="71" width="32.58203125" style="363" customWidth="1"/>
    <col min="72" max="77" width="8.9140625" style="363"/>
    <col min="78" max="16384" width="8.9140625" style="48"/>
  </cols>
  <sheetData>
    <row r="1" spans="1:131" s="110" customFormat="1" ht="18" thickBot="1">
      <c r="A1" s="198" t="s">
        <v>569</v>
      </c>
      <c r="C1" s="59"/>
      <c r="D1" s="199"/>
      <c r="S1" s="54"/>
      <c r="AG1" s="365"/>
      <c r="AN1" s="110">
        <f t="shared" ref="AN1:AT1" si="0">AO1-1</f>
        <v>35</v>
      </c>
      <c r="AO1" s="110">
        <f t="shared" si="0"/>
        <v>36</v>
      </c>
      <c r="AP1" s="110">
        <f t="shared" si="0"/>
        <v>37</v>
      </c>
      <c r="AQ1" s="110">
        <f t="shared" si="0"/>
        <v>38</v>
      </c>
      <c r="AR1" s="110">
        <f t="shared" si="0"/>
        <v>39</v>
      </c>
      <c r="AS1" s="110">
        <f t="shared" si="0"/>
        <v>40</v>
      </c>
      <c r="AT1" s="110">
        <f t="shared" si="0"/>
        <v>41</v>
      </c>
      <c r="AU1" s="110">
        <v>42</v>
      </c>
      <c r="AV1" s="110">
        <v>43</v>
      </c>
      <c r="AW1" s="110">
        <v>44</v>
      </c>
      <c r="AX1" s="110">
        <f>AW1+1</f>
        <v>45</v>
      </c>
      <c r="AY1" s="110">
        <f>AX1+1</f>
        <v>46</v>
      </c>
      <c r="AZ1" s="110">
        <f>AY1+1</f>
        <v>47</v>
      </c>
      <c r="BA1" s="110">
        <f>AZ1+1</f>
        <v>48</v>
      </c>
      <c r="BB1" s="200"/>
      <c r="BC1" s="200"/>
      <c r="BD1" s="201"/>
      <c r="BH1" s="365"/>
      <c r="BI1" s="365"/>
      <c r="BJ1" s="365"/>
      <c r="BK1" s="365"/>
      <c r="BL1" s="365"/>
      <c r="BM1" s="365"/>
      <c r="BN1" s="365"/>
      <c r="BO1" s="365"/>
      <c r="BP1" s="365"/>
      <c r="BQ1" s="365"/>
      <c r="BR1" s="365"/>
      <c r="BS1" s="365"/>
      <c r="BT1" s="365"/>
      <c r="BU1" s="365"/>
      <c r="BV1" s="365"/>
      <c r="BW1" s="365"/>
      <c r="BX1" s="365"/>
      <c r="BY1" s="365"/>
    </row>
    <row r="2" spans="1:131" s="110" customFormat="1" ht="14.5" thickBot="1">
      <c r="A2" s="713" t="s">
        <v>570</v>
      </c>
      <c r="B2" s="715" t="s">
        <v>378</v>
      </c>
      <c r="C2" s="717" t="s">
        <v>571</v>
      </c>
      <c r="D2" s="720" t="s">
        <v>572</v>
      </c>
      <c r="E2" s="720"/>
      <c r="F2" s="743"/>
      <c r="G2" s="744"/>
      <c r="H2" s="744"/>
      <c r="I2" s="744"/>
      <c r="J2" s="745"/>
      <c r="K2" s="728"/>
      <c r="L2" s="729"/>
      <c r="M2" s="729"/>
      <c r="N2" s="729"/>
      <c r="O2" s="729"/>
      <c r="P2" s="729"/>
      <c r="Q2" s="729"/>
      <c r="R2" s="730"/>
      <c r="S2" s="719" t="s">
        <v>847</v>
      </c>
      <c r="T2" s="720"/>
      <c r="U2" s="720"/>
      <c r="V2" s="720"/>
      <c r="W2" s="720"/>
      <c r="X2" s="720"/>
      <c r="Y2" s="721"/>
      <c r="Z2" s="722" t="s">
        <v>848</v>
      </c>
      <c r="AA2" s="723"/>
      <c r="AB2" s="723"/>
      <c r="AC2" s="723"/>
      <c r="AD2" s="723"/>
      <c r="AE2" s="723"/>
      <c r="AF2" s="724"/>
      <c r="AG2" s="722" t="s">
        <v>850</v>
      </c>
      <c r="AH2" s="723"/>
      <c r="AI2" s="723"/>
      <c r="AJ2" s="723"/>
      <c r="AK2" s="723"/>
      <c r="AL2" s="723"/>
      <c r="AM2" s="724"/>
      <c r="AN2" s="725" t="s">
        <v>573</v>
      </c>
      <c r="AO2" s="726"/>
      <c r="AP2" s="726"/>
      <c r="AQ2" s="726"/>
      <c r="AR2" s="726"/>
      <c r="AS2" s="726"/>
      <c r="AT2" s="727"/>
      <c r="AU2" s="726" t="s">
        <v>574</v>
      </c>
      <c r="AV2" s="726"/>
      <c r="AW2" s="726"/>
      <c r="AX2" s="726"/>
      <c r="AY2" s="726"/>
      <c r="AZ2" s="726"/>
      <c r="BA2" s="727"/>
      <c r="BB2" s="710" t="s">
        <v>575</v>
      </c>
      <c r="BC2" s="711"/>
      <c r="BD2" s="711"/>
      <c r="BE2" s="710" t="s">
        <v>576</v>
      </c>
      <c r="BF2" s="711"/>
      <c r="BG2" s="712"/>
      <c r="BH2" s="365"/>
      <c r="BI2" s="365"/>
      <c r="BJ2" s="365"/>
      <c r="BK2" s="365"/>
      <c r="BL2" s="365"/>
      <c r="BM2" s="365"/>
      <c r="BN2" s="365"/>
      <c r="BO2" s="365"/>
      <c r="BP2" s="365"/>
      <c r="BQ2" s="365"/>
      <c r="BR2" s="365"/>
      <c r="BS2" s="365"/>
      <c r="BT2" s="365"/>
      <c r="BU2" s="365"/>
      <c r="BV2" s="365"/>
      <c r="BW2" s="365"/>
      <c r="BX2" s="365"/>
      <c r="BY2" s="365"/>
    </row>
    <row r="3" spans="1:131" s="110" customFormat="1" ht="59.15" customHeight="1">
      <c r="A3" s="714"/>
      <c r="B3" s="716"/>
      <c r="C3" s="718"/>
      <c r="D3" s="491" t="s">
        <v>577</v>
      </c>
      <c r="E3" s="471" t="s">
        <v>578</v>
      </c>
      <c r="F3" s="471" t="s">
        <v>579</v>
      </c>
      <c r="G3" s="471" t="s">
        <v>580</v>
      </c>
      <c r="H3" s="284" t="s">
        <v>849</v>
      </c>
      <c r="I3" s="471" t="s">
        <v>582</v>
      </c>
      <c r="J3" s="493" t="s">
        <v>583</v>
      </c>
      <c r="K3" s="494" t="s">
        <v>584</v>
      </c>
      <c r="L3" s="116" t="s">
        <v>585</v>
      </c>
      <c r="M3" s="116" t="s">
        <v>586</v>
      </c>
      <c r="N3" s="116" t="s">
        <v>587</v>
      </c>
      <c r="O3" s="116" t="s">
        <v>593</v>
      </c>
      <c r="P3" s="284" t="s">
        <v>588</v>
      </c>
      <c r="Q3" s="284" t="s">
        <v>842</v>
      </c>
      <c r="R3" s="495" t="s">
        <v>589</v>
      </c>
      <c r="S3" s="497" t="s">
        <v>577</v>
      </c>
      <c r="T3" s="471" t="s">
        <v>578</v>
      </c>
      <c r="U3" s="471" t="s">
        <v>579</v>
      </c>
      <c r="V3" s="471" t="s">
        <v>580</v>
      </c>
      <c r="W3" s="471" t="s">
        <v>581</v>
      </c>
      <c r="X3" s="471" t="s">
        <v>582</v>
      </c>
      <c r="Y3" s="493" t="s">
        <v>583</v>
      </c>
      <c r="Z3" s="494" t="s">
        <v>590</v>
      </c>
      <c r="AA3" s="284" t="s">
        <v>941</v>
      </c>
      <c r="AB3" s="284" t="s">
        <v>942</v>
      </c>
      <c r="AC3" s="284" t="s">
        <v>943</v>
      </c>
      <c r="AD3" s="284" t="s">
        <v>849</v>
      </c>
      <c r="AE3" s="284" t="s">
        <v>944</v>
      </c>
      <c r="AF3" s="495" t="s">
        <v>945</v>
      </c>
      <c r="AG3" s="494" t="s">
        <v>590</v>
      </c>
      <c r="AH3" s="284" t="s">
        <v>941</v>
      </c>
      <c r="AI3" s="284" t="s">
        <v>942</v>
      </c>
      <c r="AJ3" s="284" t="s">
        <v>943</v>
      </c>
      <c r="AK3" s="284" t="s">
        <v>581</v>
      </c>
      <c r="AL3" s="284" t="s">
        <v>944</v>
      </c>
      <c r="AM3" s="284" t="s">
        <v>945</v>
      </c>
      <c r="AN3" s="472" t="s">
        <v>577</v>
      </c>
      <c r="AO3" s="53" t="s">
        <v>578</v>
      </c>
      <c r="AP3" s="53" t="s">
        <v>579</v>
      </c>
      <c r="AQ3" s="53" t="s">
        <v>580</v>
      </c>
      <c r="AR3" s="53" t="s">
        <v>581</v>
      </c>
      <c r="AS3" s="53" t="s">
        <v>582</v>
      </c>
      <c r="AT3" s="207" t="s">
        <v>583</v>
      </c>
      <c r="AU3" s="53" t="s">
        <v>577</v>
      </c>
      <c r="AV3" s="53" t="s">
        <v>578</v>
      </c>
      <c r="AW3" s="53" t="s">
        <v>579</v>
      </c>
      <c r="AX3" s="53" t="s">
        <v>580</v>
      </c>
      <c r="AY3" s="53" t="s">
        <v>581</v>
      </c>
      <c r="AZ3" s="53" t="s">
        <v>582</v>
      </c>
      <c r="BA3" s="53" t="s">
        <v>583</v>
      </c>
      <c r="BB3" s="208" t="s">
        <v>590</v>
      </c>
      <c r="BC3" s="206" t="s">
        <v>591</v>
      </c>
      <c r="BD3" s="209" t="s">
        <v>592</v>
      </c>
      <c r="BE3" s="208" t="s">
        <v>590</v>
      </c>
      <c r="BF3" s="206" t="s">
        <v>591</v>
      </c>
      <c r="BG3" s="209" t="s">
        <v>592</v>
      </c>
      <c r="BH3" s="205"/>
      <c r="BI3" s="472"/>
      <c r="BJ3" s="472"/>
      <c r="BK3" s="472"/>
      <c r="BL3" s="202" t="s">
        <v>205</v>
      </c>
      <c r="BM3" s="508" t="s">
        <v>378</v>
      </c>
      <c r="BN3" s="508" t="s">
        <v>946</v>
      </c>
      <c r="BO3" s="508" t="s">
        <v>947</v>
      </c>
      <c r="BP3" s="508" t="s">
        <v>587</v>
      </c>
      <c r="BQ3" s="508" t="s">
        <v>593</v>
      </c>
      <c r="BR3" s="203" t="s">
        <v>594</v>
      </c>
      <c r="BS3" s="248" t="s">
        <v>589</v>
      </c>
      <c r="BT3" s="365"/>
      <c r="BU3" s="365"/>
      <c r="BV3" s="365"/>
      <c r="BW3" s="365"/>
      <c r="BX3" s="365"/>
      <c r="BY3" s="365"/>
    </row>
    <row r="4" spans="1:131" s="110" customFormat="1" ht="14.4" customHeight="1">
      <c r="A4" s="740" t="str">
        <f>Product_Inputs!E1</f>
        <v>Caulking Compounds</v>
      </c>
      <c r="B4" s="210" t="s">
        <v>388</v>
      </c>
      <c r="C4" s="738" t="s">
        <v>368</v>
      </c>
      <c r="D4" s="211">
        <v>1</v>
      </c>
      <c r="E4" s="152">
        <v>1</v>
      </c>
      <c r="F4" s="152">
        <v>1</v>
      </c>
      <c r="G4" s="152">
        <f>Product_Inputs!$E13</f>
        <v>0</v>
      </c>
      <c r="H4" s="152">
        <f>Product_Inputs!$E13</f>
        <v>0</v>
      </c>
      <c r="I4" s="152">
        <f>Product_Inputs!$E13</f>
        <v>0</v>
      </c>
      <c r="J4" s="212">
        <f>Product_Inputs!E13</f>
        <v>0</v>
      </c>
      <c r="K4" s="213">
        <f>Product_Inputs!E22</f>
        <v>0.03</v>
      </c>
      <c r="L4" s="124">
        <f>Product_Inputs!E6</f>
        <v>3</v>
      </c>
      <c r="M4" s="124">
        <f>Product_Inputs!E5</f>
        <v>1</v>
      </c>
      <c r="N4" s="124">
        <v>1.5900000000000001E-2</v>
      </c>
      <c r="O4" s="214">
        <f>Product_Inputs!$E$39*1000*K4*N4</f>
        <v>0.50832299999999997</v>
      </c>
      <c r="P4" s="60">
        <f>$B$56</f>
        <v>1</v>
      </c>
      <c r="Q4" s="195">
        <f>O4*P4</f>
        <v>0.50832299999999997</v>
      </c>
      <c r="R4" s="215" t="s">
        <v>595</v>
      </c>
      <c r="S4" s="216">
        <f>(INDEX('Dermal Calcs'!$B$46:$L$52, MATCH($R4,'Dermal Calcs'!$A$46:$A$52, 0), MATCH(S$3, 'Dermal Calcs'!$B$45:$L$45, 0)))*$Q4*D4</f>
        <v>3.1484997307001801</v>
      </c>
      <c r="T4" s="216">
        <f>(INDEX('Dermal Calcs'!$B$46:$L$52, MATCH($R4,'Dermal Calcs'!$A$46:$A$52, 0), MATCH(T$3, 'Dermal Calcs'!$B$45:$L$45, 0)))*$Q4*E4</f>
        <v>2.9462855446927376</v>
      </c>
      <c r="U4" s="216">
        <f>(INDEX('Dermal Calcs'!$B$46:$L$52, MATCH($R4,'Dermal Calcs'!$A$46:$A$52, 0), MATCH(U$3, 'Dermal Calcs'!$B$45:$L$45, 0)))*$Q4*F4</f>
        <v>3.2217654929577466</v>
      </c>
      <c r="V4" s="216">
        <f>(INDEX('Dermal Calcs'!$B$46:$L$52, MATCH($R4,'Dermal Calcs'!$A$46:$A$52, 0), MATCH(V$3, 'Dermal Calcs'!$B$45:$L$45, 0)))*$Q4*G4</f>
        <v>0</v>
      </c>
      <c r="W4" s="216">
        <f>(INDEX('Dermal Calcs'!$B$46:$L$52, MATCH($R4,'Dermal Calcs'!$A$46:$A$52, 0), MATCH(W$3, 'Dermal Calcs'!$B$45:$L$45, 0)))*$Q4*H4</f>
        <v>0</v>
      </c>
      <c r="X4" s="216">
        <f>(INDEX('Dermal Calcs'!$B$46:$L$52, MATCH($R4,'Dermal Calcs'!$A$46:$A$52, 0), MATCH(X$3, 'Dermal Calcs'!$B$45:$L$45, 0)))*$Q4*I4</f>
        <v>0</v>
      </c>
      <c r="Y4" s="216">
        <f>(INDEX('Dermal Calcs'!$B$46:$L$52, MATCH($R4,'Dermal Calcs'!$A$46:$A$52, 0), MATCH(Y$3, 'Dermal Calcs'!$B$45:$L$45, 0)))*$Q4*J4</f>
        <v>0</v>
      </c>
      <c r="Z4" s="217">
        <f>(S4*$L4)/365</f>
        <v>2.5878079978357643E-2</v>
      </c>
      <c r="AA4" s="217">
        <f t="shared" ref="AA4:AF4" si="1">(T4*$L4)/365</f>
        <v>2.4216045572817018E-2</v>
      </c>
      <c r="AB4" s="217">
        <f t="shared" si="1"/>
        <v>2.6480264325680108E-2</v>
      </c>
      <c r="AC4" s="217">
        <f t="shared" si="1"/>
        <v>0</v>
      </c>
      <c r="AD4" s="217">
        <f t="shared" si="1"/>
        <v>0</v>
      </c>
      <c r="AE4" s="217">
        <f t="shared" si="1"/>
        <v>0</v>
      </c>
      <c r="AF4" s="217">
        <f t="shared" si="1"/>
        <v>0</v>
      </c>
      <c r="AG4" s="217">
        <f>S4*$M4</f>
        <v>3.1484997307001801</v>
      </c>
      <c r="AH4" s="217">
        <f t="shared" ref="AH4:AM4" si="2">T4*$M4</f>
        <v>2.9462855446927376</v>
      </c>
      <c r="AI4" s="217">
        <f t="shared" si="2"/>
        <v>3.2217654929577466</v>
      </c>
      <c r="AJ4" s="217">
        <f t="shared" si="2"/>
        <v>0</v>
      </c>
      <c r="AK4" s="217">
        <f t="shared" si="2"/>
        <v>0</v>
      </c>
      <c r="AL4" s="217">
        <f t="shared" si="2"/>
        <v>0</v>
      </c>
      <c r="AM4" s="498">
        <f t="shared" si="2"/>
        <v>0</v>
      </c>
      <c r="AN4" s="218">
        <f t="shared" ref="AN4:AT21" si="3">(Z4*1000)/365</f>
        <v>7.089884925577436E-2</v>
      </c>
      <c r="AO4" s="219">
        <f t="shared" si="3"/>
        <v>6.6345330336484973E-2</v>
      </c>
      <c r="AP4" s="219">
        <f t="shared" si="3"/>
        <v>7.2548669385424952E-2</v>
      </c>
      <c r="AQ4" s="219">
        <f t="shared" si="3"/>
        <v>0</v>
      </c>
      <c r="AR4" s="219">
        <f t="shared" si="3"/>
        <v>0</v>
      </c>
      <c r="AS4" s="219">
        <f t="shared" si="3"/>
        <v>0</v>
      </c>
      <c r="AT4" s="220">
        <f t="shared" si="3"/>
        <v>0</v>
      </c>
      <c r="AU4" s="219">
        <f t="shared" ref="AU4:BA21" si="4">AG4*1000</f>
        <v>3148.49973070018</v>
      </c>
      <c r="AV4" s="219">
        <f t="shared" si="4"/>
        <v>2946.2855446927374</v>
      </c>
      <c r="AW4" s="219">
        <f t="shared" si="4"/>
        <v>3221.7654929577466</v>
      </c>
      <c r="AX4" s="219">
        <f t="shared" si="4"/>
        <v>0</v>
      </c>
      <c r="AY4" s="219">
        <f t="shared" si="4"/>
        <v>0</v>
      </c>
      <c r="AZ4" s="219">
        <f t="shared" si="4"/>
        <v>0</v>
      </c>
      <c r="BA4" s="220">
        <f t="shared" si="4"/>
        <v>0</v>
      </c>
      <c r="BB4" s="221">
        <f t="shared" ref="BB4:BB21" si="5">(Z4*1000)/365</f>
        <v>7.089884925577436E-2</v>
      </c>
      <c r="BC4" s="222">
        <f t="shared" ref="BC4:BC27" si="6">(AVERAGE(AA4:AB4)*1000)/365</f>
        <v>6.9446999860954969E-2</v>
      </c>
      <c r="BD4" s="223">
        <f t="shared" ref="BD4:BD27" si="7">(AVERAGE(AC4:AF4)*1000)/365</f>
        <v>0</v>
      </c>
      <c r="BE4" s="221">
        <f t="shared" ref="BE4:BE27" si="8">AG4*1000</f>
        <v>3148.49973070018</v>
      </c>
      <c r="BF4" s="222">
        <f t="shared" ref="BF4:BF27" si="9">AVERAGE(AH4:AI4)*1000</f>
        <v>3084.0255188252418</v>
      </c>
      <c r="BG4" s="223">
        <f t="shared" ref="BG4:BG27" si="10">AVERAGE(AJ4:AM4)*1000</f>
        <v>0</v>
      </c>
      <c r="BH4" s="472"/>
      <c r="BI4" s="472"/>
      <c r="BJ4" s="472"/>
      <c r="BK4" s="472"/>
      <c r="BL4" s="773" t="s">
        <v>368</v>
      </c>
      <c r="BM4" s="480" t="s">
        <v>388</v>
      </c>
      <c r="BN4" s="124">
        <v>3</v>
      </c>
      <c r="BO4" s="124">
        <v>1</v>
      </c>
      <c r="BP4" s="124">
        <v>1.5900000000000001E-2</v>
      </c>
      <c r="BQ4" s="214">
        <v>0.50832299999999997</v>
      </c>
      <c r="BR4" s="69">
        <v>9.389999999999999E-3</v>
      </c>
      <c r="BS4" s="509" t="s">
        <v>595</v>
      </c>
      <c r="BT4" s="365"/>
      <c r="BU4" s="365"/>
      <c r="BV4" s="365"/>
      <c r="BW4" s="365"/>
      <c r="BX4" s="365"/>
      <c r="BY4" s="365"/>
    </row>
    <row r="5" spans="1:131" s="110" customFormat="1" ht="14.4" customHeight="1">
      <c r="A5" s="735"/>
      <c r="B5" s="295" t="s">
        <v>596</v>
      </c>
      <c r="C5" s="738"/>
      <c r="D5" s="211">
        <v>1</v>
      </c>
      <c r="E5" s="152">
        <v>1</v>
      </c>
      <c r="F5" s="152">
        <v>1</v>
      </c>
      <c r="G5" s="152">
        <f>Product_Inputs!$E14</f>
        <v>0</v>
      </c>
      <c r="H5" s="152">
        <f>Product_Inputs!$E14</f>
        <v>0</v>
      </c>
      <c r="I5" s="152">
        <f>Product_Inputs!$E14</f>
        <v>0</v>
      </c>
      <c r="J5" s="212">
        <v>0</v>
      </c>
      <c r="K5" s="213">
        <f>Product_Inputs!E23</f>
        <v>7.3124999999999996E-3</v>
      </c>
      <c r="L5" s="124">
        <f>L4</f>
        <v>3</v>
      </c>
      <c r="M5" s="124">
        <f>M4</f>
        <v>1</v>
      </c>
      <c r="N5" s="124">
        <v>1.5900000000000001E-2</v>
      </c>
      <c r="O5" s="214">
        <f>Product_Inputs!$E$39*1000*K5*N5</f>
        <v>0.12390373124999998</v>
      </c>
      <c r="P5" s="60">
        <f>$B$57</f>
        <v>1</v>
      </c>
      <c r="Q5" s="195">
        <f t="shared" ref="Q5:Q21" si="11">O5*P5</f>
        <v>0.12390373124999998</v>
      </c>
      <c r="R5" s="215" t="s">
        <v>597</v>
      </c>
      <c r="S5" s="216">
        <f>(INDEX('Dermal Calcs'!$B$46:$L$52, MATCH($R5,'Dermal Calcs'!$A$46:$A$52, 0), MATCH(S$3, 'Dermal Calcs'!$B$45:$L$45, 0)))*$Q5*D5</f>
        <v>0.38372340467908445</v>
      </c>
      <c r="T5" s="216">
        <f>(INDEX('Dermal Calcs'!$B$46:$L$52, MATCH($R5,'Dermal Calcs'!$A$46:$A$52, 0), MATCH(T$3, 'Dermal Calcs'!$B$45:$L$45, 0)))*$Q5*E5</f>
        <v>0.35907855075942735</v>
      </c>
      <c r="U5" s="216">
        <f>(INDEX('Dermal Calcs'!$B$46:$L$52, MATCH($R5,'Dermal Calcs'!$A$46:$A$52, 0), MATCH(U$3, 'Dermal Calcs'!$B$45:$L$45, 0)))*$Q5*F5</f>
        <v>0.39265266945422533</v>
      </c>
      <c r="V5" s="216">
        <f>(INDEX('Dermal Calcs'!$B$46:$L$52, MATCH($R5,'Dermal Calcs'!$A$46:$A$52, 0), MATCH(V$3, 'Dermal Calcs'!$B$45:$L$45, 0)))*$Q5*G5</f>
        <v>0</v>
      </c>
      <c r="W5" s="216">
        <f>(INDEX('Dermal Calcs'!$B$46:$L$52, MATCH($R5,'Dermal Calcs'!$A$46:$A$52, 0), MATCH(W$3, 'Dermal Calcs'!$B$45:$L$45, 0)))*$Q5*H5</f>
        <v>0</v>
      </c>
      <c r="X5" s="216">
        <f>(INDEX('Dermal Calcs'!$B$46:$L$52, MATCH($R5,'Dermal Calcs'!$A$46:$A$52, 0), MATCH(X$3, 'Dermal Calcs'!$B$45:$L$45, 0)))*$Q5*I5</f>
        <v>0</v>
      </c>
      <c r="Y5" s="216">
        <f>(INDEX('Dermal Calcs'!$B$46:$L$52, MATCH($R5,'Dermal Calcs'!$A$46:$A$52, 0), MATCH(Y$3, 'Dermal Calcs'!$B$45:$L$45, 0)))*$Q5*J5</f>
        <v>0</v>
      </c>
      <c r="Z5" s="217">
        <f t="shared" ref="Z5:Z21" si="12">(S5*$L5)/365</f>
        <v>3.1538909973623376E-3</v>
      </c>
      <c r="AA5" s="217">
        <f t="shared" ref="AA5:AA21" si="13">(T5*$L5)/365</f>
        <v>2.9513305541870741E-3</v>
      </c>
      <c r="AB5" s="217">
        <f t="shared" ref="AB5:AB21" si="14">(U5*$L5)/365</f>
        <v>3.2272822146922628E-3</v>
      </c>
      <c r="AC5" s="217">
        <f t="shared" ref="AC5:AC21" si="15">(V5*$L5)/365</f>
        <v>0</v>
      </c>
      <c r="AD5" s="217">
        <f t="shared" ref="AD5:AD21" si="16">(W5*$L5)/365</f>
        <v>0</v>
      </c>
      <c r="AE5" s="217">
        <f t="shared" ref="AE5:AE21" si="17">(X5*$L5)/365</f>
        <v>0</v>
      </c>
      <c r="AF5" s="217">
        <f t="shared" ref="AF5:AF21" si="18">(Y5*$L5)/365</f>
        <v>0</v>
      </c>
      <c r="AG5" s="217">
        <f t="shared" ref="AG5:AG21" si="19">S5*$M5</f>
        <v>0.38372340467908445</v>
      </c>
      <c r="AH5" s="217">
        <f t="shared" ref="AH5:AH21" si="20">T5*$M5</f>
        <v>0.35907855075942735</v>
      </c>
      <c r="AI5" s="217">
        <f t="shared" ref="AI5:AI21" si="21">U5*$M5</f>
        <v>0.39265266945422533</v>
      </c>
      <c r="AJ5" s="217">
        <f t="shared" ref="AJ5:AJ21" si="22">V5*$M5</f>
        <v>0</v>
      </c>
      <c r="AK5" s="217">
        <f t="shared" ref="AK5:AK21" si="23">W5*$M5</f>
        <v>0</v>
      </c>
      <c r="AL5" s="217">
        <f t="shared" ref="AL5:AL21" si="24">X5*$M5</f>
        <v>0</v>
      </c>
      <c r="AM5" s="498">
        <f t="shared" ref="AM5:AM21" si="25">Y5*$M5</f>
        <v>0</v>
      </c>
      <c r="AN5" s="218">
        <f t="shared" si="3"/>
        <v>8.6407972530475E-3</v>
      </c>
      <c r="AO5" s="219">
        <f t="shared" si="3"/>
        <v>8.0858371347591069E-3</v>
      </c>
      <c r="AP5" s="219">
        <f t="shared" si="3"/>
        <v>8.8418690813486661E-3</v>
      </c>
      <c r="AQ5" s="219">
        <f t="shared" si="3"/>
        <v>0</v>
      </c>
      <c r="AR5" s="219">
        <f t="shared" si="3"/>
        <v>0</v>
      </c>
      <c r="AS5" s="219">
        <f t="shared" si="3"/>
        <v>0</v>
      </c>
      <c r="AT5" s="220">
        <f t="shared" si="3"/>
        <v>0</v>
      </c>
      <c r="AU5" s="219">
        <f t="shared" si="4"/>
        <v>383.72340467908447</v>
      </c>
      <c r="AV5" s="219">
        <f t="shared" si="4"/>
        <v>359.07855075942734</v>
      </c>
      <c r="AW5" s="219">
        <f t="shared" si="4"/>
        <v>392.65266945422536</v>
      </c>
      <c r="AX5" s="219">
        <f t="shared" si="4"/>
        <v>0</v>
      </c>
      <c r="AY5" s="219">
        <f t="shared" si="4"/>
        <v>0</v>
      </c>
      <c r="AZ5" s="219">
        <f t="shared" si="4"/>
        <v>0</v>
      </c>
      <c r="BA5" s="220">
        <f t="shared" si="4"/>
        <v>0</v>
      </c>
      <c r="BB5" s="224">
        <f t="shared" si="5"/>
        <v>8.6407972530475E-3</v>
      </c>
      <c r="BC5" s="54">
        <f t="shared" si="6"/>
        <v>8.4638531080538874E-3</v>
      </c>
      <c r="BD5" s="225">
        <f t="shared" si="7"/>
        <v>0</v>
      </c>
      <c r="BE5" s="224">
        <f t="shared" si="8"/>
        <v>383.72340467908447</v>
      </c>
      <c r="BF5" s="54">
        <f t="shared" si="9"/>
        <v>375.86561010682635</v>
      </c>
      <c r="BG5" s="473">
        <f t="shared" si="10"/>
        <v>0</v>
      </c>
      <c r="BH5" s="472"/>
      <c r="BI5" s="472"/>
      <c r="BJ5" s="472"/>
      <c r="BK5" s="472"/>
      <c r="BL5" s="773"/>
      <c r="BM5" s="480" t="s">
        <v>598</v>
      </c>
      <c r="BN5" s="124">
        <v>3</v>
      </c>
      <c r="BO5" s="124">
        <v>1</v>
      </c>
      <c r="BP5" s="124">
        <v>1.5900000000000001E-2</v>
      </c>
      <c r="BQ5" s="214">
        <v>0.13661180625</v>
      </c>
      <c r="BR5" s="69">
        <v>5.0000000000000001E-4</v>
      </c>
      <c r="BS5" s="509" t="s">
        <v>597</v>
      </c>
      <c r="BT5" s="365"/>
      <c r="BU5" s="365"/>
      <c r="BV5" s="365"/>
      <c r="BW5" s="365"/>
      <c r="BX5" s="365"/>
      <c r="BY5" s="365"/>
    </row>
    <row r="6" spans="1:131" s="238" customFormat="1" ht="14.4" customHeight="1" thickBot="1">
      <c r="A6" s="736"/>
      <c r="B6" s="226" t="s">
        <v>390</v>
      </c>
      <c r="C6" s="739"/>
      <c r="D6" s="306">
        <v>1</v>
      </c>
      <c r="E6" s="227">
        <v>1</v>
      </c>
      <c r="F6" s="227">
        <v>1</v>
      </c>
      <c r="G6" s="227">
        <f>Product_Inputs!$E15</f>
        <v>0</v>
      </c>
      <c r="H6" s="227">
        <f>Product_Inputs!$E15</f>
        <v>0</v>
      </c>
      <c r="I6" s="227">
        <f>Product_Inputs!$E15</f>
        <v>0</v>
      </c>
      <c r="J6" s="228">
        <v>0</v>
      </c>
      <c r="K6" s="229">
        <f>Product_Inputs!E24</f>
        <v>2.9999999999999997E-4</v>
      </c>
      <c r="L6" s="230">
        <f>L4</f>
        <v>3</v>
      </c>
      <c r="M6" s="230">
        <f>M4</f>
        <v>1</v>
      </c>
      <c r="N6" s="230">
        <v>1.5900000000000001E-2</v>
      </c>
      <c r="O6" s="231">
        <f>Product_Inputs!$E$39*1000*K6*N6</f>
        <v>5.0832299999999993E-3</v>
      </c>
      <c r="P6" s="232">
        <f>$B$58</f>
        <v>1</v>
      </c>
      <c r="Q6" s="233">
        <f t="shared" si="11"/>
        <v>5.0832299999999993E-3</v>
      </c>
      <c r="R6" s="234" t="s">
        <v>599</v>
      </c>
      <c r="S6" s="216">
        <f>(INDEX('Dermal Calcs'!$B$46:$L$52, MATCH($R6,'Dermal Calcs'!$A$46:$A$52, 0), MATCH(S$3, 'Dermal Calcs'!$B$45:$L$45, 0)))*$Q6*D6</f>
        <v>6.2969994614003599E-3</v>
      </c>
      <c r="T6" s="216">
        <f>(INDEX('Dermal Calcs'!$B$46:$L$52, MATCH($R6,'Dermal Calcs'!$A$46:$A$52, 0), MATCH(T$3, 'Dermal Calcs'!$B$45:$L$45, 0)))*$Q6*E6</f>
        <v>5.8925710893854757E-3</v>
      </c>
      <c r="U6" s="216">
        <f>(INDEX('Dermal Calcs'!$B$46:$L$52, MATCH($R6,'Dermal Calcs'!$A$46:$A$52, 0), MATCH(U$3, 'Dermal Calcs'!$B$45:$L$45, 0)))*$Q6*F6</f>
        <v>6.4435309859154927E-3</v>
      </c>
      <c r="V6" s="216">
        <f>(INDEX('Dermal Calcs'!$B$46:$L$52, MATCH($R6,'Dermal Calcs'!$A$46:$A$52, 0), MATCH(V$3, 'Dermal Calcs'!$B$45:$L$45, 0)))*$Q6*G6</f>
        <v>0</v>
      </c>
      <c r="W6" s="216">
        <f>(INDEX('Dermal Calcs'!$B$46:$L$52, MATCH($R6,'Dermal Calcs'!$A$46:$A$52, 0), MATCH(W$3, 'Dermal Calcs'!$B$45:$L$45, 0)))*$Q6*H6</f>
        <v>0</v>
      </c>
      <c r="X6" s="216">
        <f>(INDEX('Dermal Calcs'!$B$46:$L$52, MATCH($R6,'Dermal Calcs'!$A$46:$A$52, 0), MATCH(X$3, 'Dermal Calcs'!$B$45:$L$45, 0)))*$Q6*I6</f>
        <v>0</v>
      </c>
      <c r="Y6" s="216">
        <f>(INDEX('Dermal Calcs'!$B$46:$L$52, MATCH($R6,'Dermal Calcs'!$A$46:$A$52, 0), MATCH(Y$3, 'Dermal Calcs'!$B$45:$L$45, 0)))*$Q6*J6</f>
        <v>0</v>
      </c>
      <c r="Z6" s="217">
        <f t="shared" si="12"/>
        <v>5.175615995671529E-5</v>
      </c>
      <c r="AA6" s="217">
        <f t="shared" si="13"/>
        <v>4.8432091145634043E-5</v>
      </c>
      <c r="AB6" s="217">
        <f t="shared" si="14"/>
        <v>5.2960528651360217E-5</v>
      </c>
      <c r="AC6" s="217">
        <f t="shared" si="15"/>
        <v>0</v>
      </c>
      <c r="AD6" s="217">
        <f t="shared" si="16"/>
        <v>0</v>
      </c>
      <c r="AE6" s="217">
        <f t="shared" si="17"/>
        <v>0</v>
      </c>
      <c r="AF6" s="217">
        <f t="shared" si="18"/>
        <v>0</v>
      </c>
      <c r="AG6" s="217">
        <f t="shared" si="19"/>
        <v>6.2969994614003599E-3</v>
      </c>
      <c r="AH6" s="217">
        <f t="shared" si="20"/>
        <v>5.8925710893854757E-3</v>
      </c>
      <c r="AI6" s="217">
        <f t="shared" si="21"/>
        <v>6.4435309859154927E-3</v>
      </c>
      <c r="AJ6" s="217">
        <f t="shared" si="22"/>
        <v>0</v>
      </c>
      <c r="AK6" s="217">
        <f t="shared" si="23"/>
        <v>0</v>
      </c>
      <c r="AL6" s="217">
        <f t="shared" si="24"/>
        <v>0</v>
      </c>
      <c r="AM6" s="498">
        <f t="shared" si="25"/>
        <v>0</v>
      </c>
      <c r="AN6" s="218">
        <f t="shared" si="3"/>
        <v>1.4179769851154872E-4</v>
      </c>
      <c r="AO6" s="219">
        <f t="shared" si="3"/>
        <v>1.3269066067296998E-4</v>
      </c>
      <c r="AP6" s="219">
        <f t="shared" si="3"/>
        <v>1.450973387708499E-4</v>
      </c>
      <c r="AQ6" s="219">
        <f t="shared" si="3"/>
        <v>0</v>
      </c>
      <c r="AR6" s="219">
        <f t="shared" si="3"/>
        <v>0</v>
      </c>
      <c r="AS6" s="219">
        <f t="shared" si="3"/>
        <v>0</v>
      </c>
      <c r="AT6" s="220">
        <f t="shared" si="3"/>
        <v>0</v>
      </c>
      <c r="AU6" s="219">
        <f t="shared" si="4"/>
        <v>6.2969994614003602</v>
      </c>
      <c r="AV6" s="219">
        <f t="shared" si="4"/>
        <v>5.8925710893854752</v>
      </c>
      <c r="AW6" s="219">
        <f t="shared" si="4"/>
        <v>6.4435309859154923</v>
      </c>
      <c r="AX6" s="219">
        <f t="shared" si="4"/>
        <v>0</v>
      </c>
      <c r="AY6" s="219">
        <f t="shared" si="4"/>
        <v>0</v>
      </c>
      <c r="AZ6" s="219">
        <f t="shared" si="4"/>
        <v>0</v>
      </c>
      <c r="BA6" s="220">
        <f t="shared" si="4"/>
        <v>0</v>
      </c>
      <c r="BB6" s="235">
        <f t="shared" si="5"/>
        <v>1.4179769851154872E-4</v>
      </c>
      <c r="BC6" s="236">
        <f t="shared" si="6"/>
        <v>1.3889399972190992E-4</v>
      </c>
      <c r="BD6" s="237">
        <f t="shared" si="7"/>
        <v>0</v>
      </c>
      <c r="BE6" s="235">
        <f t="shared" si="8"/>
        <v>6.2969994614003602</v>
      </c>
      <c r="BF6" s="236">
        <f t="shared" si="9"/>
        <v>6.1680510376504838</v>
      </c>
      <c r="BG6" s="237">
        <f t="shared" si="10"/>
        <v>0</v>
      </c>
      <c r="BH6" s="472"/>
      <c r="BI6" s="472"/>
      <c r="BJ6" s="472"/>
      <c r="BK6" s="472"/>
      <c r="BL6" s="780"/>
      <c r="BM6" s="482" t="s">
        <v>390</v>
      </c>
      <c r="BN6" s="230">
        <v>3</v>
      </c>
      <c r="BO6" s="230">
        <v>1</v>
      </c>
      <c r="BP6" s="230">
        <v>1.5900000000000001E-2</v>
      </c>
      <c r="BQ6" s="231">
        <v>1.69441E-2</v>
      </c>
      <c r="BR6" s="232">
        <v>4.0000000000000003E-5</v>
      </c>
      <c r="BS6" s="510" t="s">
        <v>599</v>
      </c>
      <c r="BT6" s="365"/>
      <c r="BU6" s="365"/>
      <c r="BV6" s="365"/>
      <c r="BW6" s="365"/>
      <c r="BX6" s="365"/>
      <c r="BY6" s="365"/>
    </row>
    <row r="7" spans="1:131" s="110" customFormat="1" ht="14.4" customHeight="1" thickTop="1">
      <c r="A7" s="734" t="str">
        <f>Product_Inputs!D1</f>
        <v>Auto Care</v>
      </c>
      <c r="B7" s="298" t="s">
        <v>388</v>
      </c>
      <c r="C7" s="731" t="s">
        <v>218</v>
      </c>
      <c r="D7" s="304">
        <v>1</v>
      </c>
      <c r="E7" s="305">
        <v>1</v>
      </c>
      <c r="F7" s="305">
        <v>1</v>
      </c>
      <c r="G7" s="240">
        <f>Product_Inputs!$D13</f>
        <v>0</v>
      </c>
      <c r="H7" s="240">
        <f>Product_Inputs!$D13</f>
        <v>0</v>
      </c>
      <c r="I7" s="240">
        <f>Product_Inputs!$D13</f>
        <v>0</v>
      </c>
      <c r="J7" s="241">
        <f>Product_Inputs!D13</f>
        <v>0</v>
      </c>
      <c r="K7" s="242">
        <f>Product_Inputs!D22</f>
        <v>0.1</v>
      </c>
      <c r="L7" s="243">
        <f>Product_Inputs!D6</f>
        <v>12</v>
      </c>
      <c r="M7" s="243">
        <f>Product_Inputs!D5</f>
        <v>1</v>
      </c>
      <c r="N7" s="243">
        <v>3.2499999999999999E-3</v>
      </c>
      <c r="O7" s="244">
        <f>Product_Inputs!$D$39*1000*K7*N7</f>
        <v>0.31432142857142858</v>
      </c>
      <c r="P7" s="60">
        <f>$B$56</f>
        <v>1</v>
      </c>
      <c r="Q7" s="245">
        <f t="shared" si="11"/>
        <v>0.31432142857142858</v>
      </c>
      <c r="R7" s="246" t="s">
        <v>595</v>
      </c>
      <c r="S7" s="216">
        <f>(INDEX('Dermal Calcs'!$B$46:$L$52, MATCH($R7,'Dermal Calcs'!$A$46:$A$52, 0), MATCH(S$3, 'Dermal Calcs'!$B$45:$L$45, 0)))*$Q7*D7</f>
        <v>1.9468741985124398</v>
      </c>
      <c r="T7" s="216">
        <f>(INDEX('Dermal Calcs'!$B$46:$L$52, MATCH($R7,'Dermal Calcs'!$A$46:$A$52, 0), MATCH(T$3, 'Dermal Calcs'!$B$45:$L$45, 0)))*$Q7*E7</f>
        <v>1.8218350957701519</v>
      </c>
      <c r="U7" s="216">
        <f>(INDEX('Dermal Calcs'!$B$46:$L$52, MATCH($R7,'Dermal Calcs'!$A$46:$A$52, 0), MATCH(U$3, 'Dermal Calcs'!$B$45:$L$45, 0)))*$Q7*F7</f>
        <v>1.9921780684104631</v>
      </c>
      <c r="V7" s="216">
        <f>(INDEX('Dermal Calcs'!$B$46:$L$52, MATCH($R7,'Dermal Calcs'!$A$46:$A$52, 0), MATCH(V$3, 'Dermal Calcs'!$B$45:$L$45, 0)))*$Q7*G7</f>
        <v>0</v>
      </c>
      <c r="W7" s="216">
        <f>(INDEX('Dermal Calcs'!$B$46:$L$52, MATCH($R7,'Dermal Calcs'!$A$46:$A$52, 0), MATCH(W$3, 'Dermal Calcs'!$B$45:$L$45, 0)))*$Q7*H7</f>
        <v>0</v>
      </c>
      <c r="X7" s="216">
        <f>(INDEX('Dermal Calcs'!$B$46:$L$52, MATCH($R7,'Dermal Calcs'!$A$46:$A$52, 0), MATCH(X$3, 'Dermal Calcs'!$B$45:$L$45, 0)))*$Q7*I7</f>
        <v>0</v>
      </c>
      <c r="Y7" s="216">
        <f>(INDEX('Dermal Calcs'!$B$46:$L$52, MATCH($R7,'Dermal Calcs'!$A$46:$A$52, 0), MATCH(Y$3, 'Dermal Calcs'!$B$45:$L$45, 0)))*$Q7*J7</f>
        <v>0</v>
      </c>
      <c r="Z7" s="217">
        <f t="shared" si="12"/>
        <v>6.4006822964792542E-2</v>
      </c>
      <c r="AA7" s="217">
        <f t="shared" si="13"/>
        <v>5.9895948354087188E-2</v>
      </c>
      <c r="AB7" s="217">
        <f t="shared" si="14"/>
        <v>6.5496265262809744E-2</v>
      </c>
      <c r="AC7" s="217">
        <f t="shared" si="15"/>
        <v>0</v>
      </c>
      <c r="AD7" s="217">
        <f t="shared" si="16"/>
        <v>0</v>
      </c>
      <c r="AE7" s="217">
        <f t="shared" si="17"/>
        <v>0</v>
      </c>
      <c r="AF7" s="217">
        <f t="shared" si="18"/>
        <v>0</v>
      </c>
      <c r="AG7" s="217">
        <f t="shared" si="19"/>
        <v>1.9468741985124398</v>
      </c>
      <c r="AH7" s="217">
        <f t="shared" si="20"/>
        <v>1.8218350957701519</v>
      </c>
      <c r="AI7" s="217">
        <f t="shared" si="21"/>
        <v>1.9921780684104631</v>
      </c>
      <c r="AJ7" s="217">
        <f t="shared" si="22"/>
        <v>0</v>
      </c>
      <c r="AK7" s="217">
        <f t="shared" si="23"/>
        <v>0</v>
      </c>
      <c r="AL7" s="217">
        <f t="shared" si="24"/>
        <v>0</v>
      </c>
      <c r="AM7" s="498">
        <f t="shared" si="25"/>
        <v>0</v>
      </c>
      <c r="AN7" s="218">
        <f t="shared" si="3"/>
        <v>0.17536115880765082</v>
      </c>
      <c r="AO7" s="219">
        <f t="shared" si="3"/>
        <v>0.16409848864133475</v>
      </c>
      <c r="AP7" s="219">
        <f t="shared" si="3"/>
        <v>0.17944182263783492</v>
      </c>
      <c r="AQ7" s="219">
        <f t="shared" si="3"/>
        <v>0</v>
      </c>
      <c r="AR7" s="219">
        <f t="shared" si="3"/>
        <v>0</v>
      </c>
      <c r="AS7" s="219">
        <f t="shared" si="3"/>
        <v>0</v>
      </c>
      <c r="AT7" s="220">
        <f t="shared" si="3"/>
        <v>0</v>
      </c>
      <c r="AU7" s="219">
        <f t="shared" si="4"/>
        <v>1946.8741985124398</v>
      </c>
      <c r="AV7" s="219">
        <f t="shared" si="4"/>
        <v>1821.8350957701518</v>
      </c>
      <c r="AW7" s="219">
        <f t="shared" si="4"/>
        <v>1992.1780684104631</v>
      </c>
      <c r="AX7" s="219">
        <f t="shared" si="4"/>
        <v>0</v>
      </c>
      <c r="AY7" s="219">
        <f t="shared" si="4"/>
        <v>0</v>
      </c>
      <c r="AZ7" s="219">
        <f t="shared" si="4"/>
        <v>0</v>
      </c>
      <c r="BA7" s="220">
        <f t="shared" si="4"/>
        <v>0</v>
      </c>
      <c r="BB7" s="221">
        <f t="shared" si="5"/>
        <v>0.17536115880765082</v>
      </c>
      <c r="BC7" s="222">
        <f t="shared" si="6"/>
        <v>0.17177015563958484</v>
      </c>
      <c r="BD7" s="223">
        <f t="shared" si="7"/>
        <v>0</v>
      </c>
      <c r="BE7" s="221">
        <f t="shared" si="8"/>
        <v>1946.8741985124398</v>
      </c>
      <c r="BF7" s="222">
        <f t="shared" si="9"/>
        <v>1907.0065820903076</v>
      </c>
      <c r="BG7" s="223">
        <f t="shared" si="10"/>
        <v>0</v>
      </c>
      <c r="BH7" s="472"/>
      <c r="BI7" s="472"/>
      <c r="BJ7" s="472"/>
      <c r="BK7" s="472"/>
      <c r="BL7" s="772" t="s">
        <v>218</v>
      </c>
      <c r="BM7" s="481" t="s">
        <v>388</v>
      </c>
      <c r="BN7" s="243">
        <v>12</v>
      </c>
      <c r="BO7" s="243">
        <v>1</v>
      </c>
      <c r="BP7" s="243">
        <v>3.2499999999999999E-3</v>
      </c>
      <c r="BQ7" s="244">
        <v>0.31432142857142858</v>
      </c>
      <c r="BR7" s="250">
        <v>9.389999999999999E-3</v>
      </c>
      <c r="BS7" s="511" t="s">
        <v>595</v>
      </c>
      <c r="BT7" s="365"/>
      <c r="BU7" s="365"/>
      <c r="BV7" s="365"/>
      <c r="BW7" s="365"/>
      <c r="BX7" s="365"/>
      <c r="BY7" s="365"/>
    </row>
    <row r="8" spans="1:131" s="110" customFormat="1" ht="14.4" customHeight="1">
      <c r="A8" s="735"/>
      <c r="B8" s="296" t="s">
        <v>596</v>
      </c>
      <c r="C8" s="732"/>
      <c r="D8" s="211">
        <v>1</v>
      </c>
      <c r="E8" s="152">
        <v>1</v>
      </c>
      <c r="F8" s="152">
        <v>1</v>
      </c>
      <c r="G8" s="152">
        <f>Product_Inputs!$D14</f>
        <v>0</v>
      </c>
      <c r="H8" s="152">
        <f>Product_Inputs!$D14</f>
        <v>0</v>
      </c>
      <c r="I8" s="152">
        <f>Product_Inputs!$D14</f>
        <v>0</v>
      </c>
      <c r="J8" s="212">
        <v>0</v>
      </c>
      <c r="K8" s="213">
        <f>Product_Inputs!D23</f>
        <v>2.3990000000000001E-2</v>
      </c>
      <c r="L8" s="124">
        <f>L7</f>
        <v>12</v>
      </c>
      <c r="M8" s="124">
        <f>M7</f>
        <v>1</v>
      </c>
      <c r="N8" s="124">
        <v>3.2499999999999999E-3</v>
      </c>
      <c r="O8" s="214">
        <f>Product_Inputs!$D$39*1000*K8*N8</f>
        <v>7.5405710714285729E-2</v>
      </c>
      <c r="P8" s="60">
        <f>$B$57</f>
        <v>1</v>
      </c>
      <c r="Q8" s="195">
        <f t="shared" si="11"/>
        <v>7.5405710714285729E-2</v>
      </c>
      <c r="R8" s="215" t="s">
        <v>597</v>
      </c>
      <c r="S8" s="216">
        <f>(INDEX('Dermal Calcs'!$B$46:$L$52, MATCH($R8,'Dermal Calcs'!$A$46:$A$52, 0), MATCH(S$3, 'Dermal Calcs'!$B$45:$L$45, 0)))*$Q8*D8</f>
        <v>0.2335275601115672</v>
      </c>
      <c r="T8" s="216">
        <f>(INDEX('Dermal Calcs'!$B$46:$L$52, MATCH($R8,'Dermal Calcs'!$A$46:$A$52, 0), MATCH(T$3, 'Dermal Calcs'!$B$45:$L$45, 0)))*$Q8*E8</f>
        <v>0.21852911973762976</v>
      </c>
      <c r="U8" s="216">
        <f>(INDEX('Dermal Calcs'!$B$46:$L$52, MATCH($R8,'Dermal Calcs'!$A$46:$A$52, 0), MATCH(U$3, 'Dermal Calcs'!$B$45:$L$45, 0)))*$Q8*F8</f>
        <v>0.23896175930583508</v>
      </c>
      <c r="V8" s="216">
        <f>(INDEX('Dermal Calcs'!$B$46:$L$52, MATCH($R8,'Dermal Calcs'!$A$46:$A$52, 0), MATCH(V$3, 'Dermal Calcs'!$B$45:$L$45, 0)))*$Q8*G8</f>
        <v>0</v>
      </c>
      <c r="W8" s="216">
        <f>(INDEX('Dermal Calcs'!$B$46:$L$52, MATCH($R8,'Dermal Calcs'!$A$46:$A$52, 0), MATCH(W$3, 'Dermal Calcs'!$B$45:$L$45, 0)))*$Q8*H8</f>
        <v>0</v>
      </c>
      <c r="X8" s="216">
        <f>(INDEX('Dermal Calcs'!$B$46:$L$52, MATCH($R8,'Dermal Calcs'!$A$46:$A$52, 0), MATCH(X$3, 'Dermal Calcs'!$B$45:$L$45, 0)))*$Q8*I8</f>
        <v>0</v>
      </c>
      <c r="Y8" s="216">
        <f>(INDEX('Dermal Calcs'!$B$46:$L$52, MATCH($R8,'Dermal Calcs'!$A$46:$A$52, 0), MATCH(Y$3, 'Dermal Calcs'!$B$45:$L$45, 0)))*$Q8*J8</f>
        <v>0</v>
      </c>
      <c r="Z8" s="217">
        <f t="shared" si="12"/>
        <v>7.6776184146268673E-3</v>
      </c>
      <c r="AA8" s="217">
        <f t="shared" si="13"/>
        <v>7.1845190050727585E-3</v>
      </c>
      <c r="AB8" s="217">
        <f t="shared" si="14"/>
        <v>7.8562770182740299E-3</v>
      </c>
      <c r="AC8" s="217">
        <f t="shared" si="15"/>
        <v>0</v>
      </c>
      <c r="AD8" s="217">
        <f t="shared" si="16"/>
        <v>0</v>
      </c>
      <c r="AE8" s="217">
        <f t="shared" si="17"/>
        <v>0</v>
      </c>
      <c r="AF8" s="217">
        <f t="shared" si="18"/>
        <v>0</v>
      </c>
      <c r="AG8" s="217">
        <f t="shared" si="19"/>
        <v>0.2335275601115672</v>
      </c>
      <c r="AH8" s="217">
        <f t="shared" si="20"/>
        <v>0.21852911973762976</v>
      </c>
      <c r="AI8" s="217">
        <f t="shared" si="21"/>
        <v>0.23896175930583508</v>
      </c>
      <c r="AJ8" s="217">
        <f t="shared" si="22"/>
        <v>0</v>
      </c>
      <c r="AK8" s="217">
        <f t="shared" si="23"/>
        <v>0</v>
      </c>
      <c r="AL8" s="217">
        <f t="shared" si="24"/>
        <v>0</v>
      </c>
      <c r="AM8" s="499">
        <f t="shared" si="25"/>
        <v>0</v>
      </c>
      <c r="AN8" s="218">
        <f t="shared" si="3"/>
        <v>2.1034570998977719E-2</v>
      </c>
      <c r="AO8" s="219">
        <f t="shared" si="3"/>
        <v>1.9683613712528105E-2</v>
      </c>
      <c r="AP8" s="219">
        <f t="shared" si="3"/>
        <v>2.15240466254083E-2</v>
      </c>
      <c r="AQ8" s="219">
        <f t="shared" si="3"/>
        <v>0</v>
      </c>
      <c r="AR8" s="219">
        <f t="shared" si="3"/>
        <v>0</v>
      </c>
      <c r="AS8" s="219">
        <f t="shared" si="3"/>
        <v>0</v>
      </c>
      <c r="AT8" s="220">
        <f t="shared" si="3"/>
        <v>0</v>
      </c>
      <c r="AU8" s="219">
        <f t="shared" si="4"/>
        <v>233.5275601115672</v>
      </c>
      <c r="AV8" s="219">
        <f t="shared" si="4"/>
        <v>218.52911973762977</v>
      </c>
      <c r="AW8" s="219">
        <f t="shared" si="4"/>
        <v>238.96175930583507</v>
      </c>
      <c r="AX8" s="219">
        <f t="shared" si="4"/>
        <v>0</v>
      </c>
      <c r="AY8" s="219">
        <f t="shared" si="4"/>
        <v>0</v>
      </c>
      <c r="AZ8" s="219">
        <f t="shared" si="4"/>
        <v>0</v>
      </c>
      <c r="BA8" s="220">
        <f t="shared" si="4"/>
        <v>0</v>
      </c>
      <c r="BB8" s="224">
        <f t="shared" si="5"/>
        <v>2.1034570998977719E-2</v>
      </c>
      <c r="BC8" s="54">
        <f t="shared" si="6"/>
        <v>2.0603830168968204E-2</v>
      </c>
      <c r="BD8" s="225">
        <f t="shared" si="7"/>
        <v>0</v>
      </c>
      <c r="BE8" s="224">
        <f t="shared" si="8"/>
        <v>233.5275601115672</v>
      </c>
      <c r="BF8" s="54">
        <f t="shared" si="9"/>
        <v>228.74543952173244</v>
      </c>
      <c r="BG8" s="473">
        <f t="shared" si="10"/>
        <v>0</v>
      </c>
      <c r="BH8" s="472"/>
      <c r="BI8" s="472"/>
      <c r="BJ8" s="472"/>
      <c r="BK8" s="472"/>
      <c r="BL8" s="773"/>
      <c r="BM8" s="480" t="s">
        <v>598</v>
      </c>
      <c r="BN8" s="124">
        <v>12</v>
      </c>
      <c r="BO8" s="124">
        <v>1</v>
      </c>
      <c r="BP8" s="124">
        <v>3.2499999999999999E-3</v>
      </c>
      <c r="BQ8" s="214">
        <v>7.5405710714285729E-2</v>
      </c>
      <c r="BR8" s="69">
        <v>5.0000000000000001E-4</v>
      </c>
      <c r="BS8" s="509" t="s">
        <v>597</v>
      </c>
      <c r="BT8" s="365"/>
      <c r="BU8" s="365"/>
      <c r="BV8" s="365"/>
      <c r="BW8" s="365"/>
      <c r="BX8" s="365"/>
      <c r="BY8" s="365"/>
    </row>
    <row r="9" spans="1:131" s="238" customFormat="1" ht="14.4" customHeight="1" thickBot="1">
      <c r="A9" s="736"/>
      <c r="B9" s="297" t="s">
        <v>390</v>
      </c>
      <c r="C9" s="733"/>
      <c r="D9" s="306">
        <v>1</v>
      </c>
      <c r="E9" s="227">
        <v>1</v>
      </c>
      <c r="F9" s="227">
        <v>1</v>
      </c>
      <c r="G9" s="227">
        <f>Product_Inputs!$D15</f>
        <v>0</v>
      </c>
      <c r="H9" s="227">
        <f>Product_Inputs!$D15</f>
        <v>0</v>
      </c>
      <c r="I9" s="227">
        <f>Product_Inputs!$D15</f>
        <v>0</v>
      </c>
      <c r="J9" s="228">
        <v>0</v>
      </c>
      <c r="K9" s="229">
        <f>Product_Inputs!D24</f>
        <v>5.0000000000000001E-4</v>
      </c>
      <c r="L9" s="230">
        <f>L7</f>
        <v>12</v>
      </c>
      <c r="M9" s="230">
        <f>M7</f>
        <v>1</v>
      </c>
      <c r="N9" s="230">
        <v>3.2499999999999999E-3</v>
      </c>
      <c r="O9" s="231">
        <f>Product_Inputs!$D$39*1000*K9*N9</f>
        <v>1.5716071428571428E-3</v>
      </c>
      <c r="P9" s="232">
        <f>$B$58</f>
        <v>1</v>
      </c>
      <c r="Q9" s="233">
        <f t="shared" si="11"/>
        <v>1.5716071428571428E-3</v>
      </c>
      <c r="R9" s="234" t="s">
        <v>599</v>
      </c>
      <c r="S9" s="216">
        <f>(INDEX('Dermal Calcs'!$B$46:$L$52, MATCH($R9,'Dermal Calcs'!$A$46:$A$52, 0), MATCH(S$3, 'Dermal Calcs'!$B$45:$L$45, 0)))*$Q9*D9</f>
        <v>1.9468741985124397E-3</v>
      </c>
      <c r="T9" s="216">
        <f>(INDEX('Dermal Calcs'!$B$46:$L$52, MATCH($R9,'Dermal Calcs'!$A$46:$A$52, 0), MATCH(T$3, 'Dermal Calcs'!$B$45:$L$45, 0)))*$Q9*E9</f>
        <v>1.8218350957701522E-3</v>
      </c>
      <c r="U9" s="216">
        <f>(INDEX('Dermal Calcs'!$B$46:$L$52, MATCH($R9,'Dermal Calcs'!$A$46:$A$52, 0), MATCH(U$3, 'Dermal Calcs'!$B$45:$L$45, 0)))*$Q9*F9</f>
        <v>1.9921780684104629E-3</v>
      </c>
      <c r="V9" s="216">
        <f>(INDEX('Dermal Calcs'!$B$46:$L$52, MATCH($R9,'Dermal Calcs'!$A$46:$A$52, 0), MATCH(V$3, 'Dermal Calcs'!$B$45:$L$45, 0)))*$Q9*G9</f>
        <v>0</v>
      </c>
      <c r="W9" s="216">
        <f>(INDEX('Dermal Calcs'!$B$46:$L$52, MATCH($R9,'Dermal Calcs'!$A$46:$A$52, 0), MATCH(W$3, 'Dermal Calcs'!$B$45:$L$45, 0)))*$Q9*H9</f>
        <v>0</v>
      </c>
      <c r="X9" s="216">
        <f>(INDEX('Dermal Calcs'!$B$46:$L$52, MATCH($R9,'Dermal Calcs'!$A$46:$A$52, 0), MATCH(X$3, 'Dermal Calcs'!$B$45:$L$45, 0)))*$Q9*I9</f>
        <v>0</v>
      </c>
      <c r="Y9" s="216">
        <f>(INDEX('Dermal Calcs'!$B$46:$L$52, MATCH($R9,'Dermal Calcs'!$A$46:$A$52, 0), MATCH(Y$3, 'Dermal Calcs'!$B$45:$L$45, 0)))*$Q9*J9</f>
        <v>0</v>
      </c>
      <c r="Z9" s="217">
        <f t="shared" si="12"/>
        <v>6.4006822964792542E-5</v>
      </c>
      <c r="AA9" s="217">
        <f t="shared" si="13"/>
        <v>5.9895948354087197E-5</v>
      </c>
      <c r="AB9" s="217">
        <f t="shared" si="14"/>
        <v>6.5496265262809735E-5</v>
      </c>
      <c r="AC9" s="217">
        <f t="shared" si="15"/>
        <v>0</v>
      </c>
      <c r="AD9" s="217">
        <f t="shared" si="16"/>
        <v>0</v>
      </c>
      <c r="AE9" s="217">
        <f t="shared" si="17"/>
        <v>0</v>
      </c>
      <c r="AF9" s="217">
        <f t="shared" si="18"/>
        <v>0</v>
      </c>
      <c r="AG9" s="217">
        <f t="shared" si="19"/>
        <v>1.9468741985124397E-3</v>
      </c>
      <c r="AH9" s="217">
        <f t="shared" si="20"/>
        <v>1.8218350957701522E-3</v>
      </c>
      <c r="AI9" s="217">
        <f t="shared" si="21"/>
        <v>1.9921780684104629E-3</v>
      </c>
      <c r="AJ9" s="217">
        <f t="shared" si="22"/>
        <v>0</v>
      </c>
      <c r="AK9" s="217">
        <f t="shared" si="23"/>
        <v>0</v>
      </c>
      <c r="AL9" s="217">
        <f t="shared" si="24"/>
        <v>0</v>
      </c>
      <c r="AM9" s="498">
        <f t="shared" si="25"/>
        <v>0</v>
      </c>
      <c r="AN9" s="218">
        <f t="shared" si="3"/>
        <v>1.753611588076508E-4</v>
      </c>
      <c r="AO9" s="219">
        <f t="shared" si="3"/>
        <v>1.6409848864133478E-4</v>
      </c>
      <c r="AP9" s="219">
        <f t="shared" si="3"/>
        <v>1.7944182263783488E-4</v>
      </c>
      <c r="AQ9" s="219">
        <f t="shared" si="3"/>
        <v>0</v>
      </c>
      <c r="AR9" s="219">
        <f t="shared" si="3"/>
        <v>0</v>
      </c>
      <c r="AS9" s="219">
        <f t="shared" si="3"/>
        <v>0</v>
      </c>
      <c r="AT9" s="220">
        <f t="shared" si="3"/>
        <v>0</v>
      </c>
      <c r="AU9" s="219">
        <f t="shared" si="4"/>
        <v>1.9468741985124396</v>
      </c>
      <c r="AV9" s="219">
        <f t="shared" si="4"/>
        <v>1.8218350957701521</v>
      </c>
      <c r="AW9" s="219">
        <f t="shared" si="4"/>
        <v>1.9921780684104629</v>
      </c>
      <c r="AX9" s="219">
        <f t="shared" si="4"/>
        <v>0</v>
      </c>
      <c r="AY9" s="219">
        <f t="shared" si="4"/>
        <v>0</v>
      </c>
      <c r="AZ9" s="219">
        <f t="shared" si="4"/>
        <v>0</v>
      </c>
      <c r="BA9" s="220">
        <f t="shared" si="4"/>
        <v>0</v>
      </c>
      <c r="BB9" s="235">
        <f t="shared" si="5"/>
        <v>1.753611588076508E-4</v>
      </c>
      <c r="BC9" s="236">
        <f t="shared" si="6"/>
        <v>1.7177015563958484E-4</v>
      </c>
      <c r="BD9" s="237">
        <f t="shared" si="7"/>
        <v>0</v>
      </c>
      <c r="BE9" s="235">
        <f t="shared" si="8"/>
        <v>1.9468741985124396</v>
      </c>
      <c r="BF9" s="236">
        <f t="shared" si="9"/>
        <v>1.9070065820903075</v>
      </c>
      <c r="BG9" s="237">
        <f t="shared" si="10"/>
        <v>0</v>
      </c>
      <c r="BH9" s="472"/>
      <c r="BI9" s="472"/>
      <c r="BJ9" s="472"/>
      <c r="BK9" s="472"/>
      <c r="BL9" s="780"/>
      <c r="BM9" s="482" t="s">
        <v>390</v>
      </c>
      <c r="BN9" s="230">
        <v>12</v>
      </c>
      <c r="BO9" s="230">
        <v>1</v>
      </c>
      <c r="BP9" s="230">
        <v>3.2499999999999999E-3</v>
      </c>
      <c r="BQ9" s="231">
        <v>1.5716071428571428E-3</v>
      </c>
      <c r="BR9" s="232">
        <v>4.0000000000000003E-5</v>
      </c>
      <c r="BS9" s="510" t="s">
        <v>599</v>
      </c>
      <c r="BT9" s="365"/>
      <c r="BU9" s="365"/>
      <c r="BV9" s="365"/>
      <c r="BW9" s="365"/>
      <c r="BX9" s="365"/>
      <c r="BY9" s="365"/>
      <c r="BZ9" s="365"/>
      <c r="CA9" s="365"/>
      <c r="CB9" s="365"/>
      <c r="CC9" s="365"/>
      <c r="CD9" s="365"/>
      <c r="CE9" s="365"/>
      <c r="CF9" s="365"/>
      <c r="CG9" s="365"/>
      <c r="CH9" s="365"/>
      <c r="CI9" s="365"/>
      <c r="CJ9" s="365"/>
      <c r="CK9" s="365"/>
      <c r="CL9" s="365"/>
      <c r="CM9" s="365"/>
      <c r="CN9" s="365"/>
      <c r="CO9" s="365"/>
      <c r="CP9" s="365"/>
      <c r="CQ9" s="365"/>
      <c r="CR9" s="365"/>
      <c r="CS9" s="365"/>
      <c r="CT9" s="365"/>
      <c r="CU9" s="365"/>
      <c r="CV9" s="365"/>
      <c r="CW9" s="365"/>
      <c r="CX9" s="365"/>
      <c r="CY9" s="365"/>
      <c r="CZ9" s="365"/>
      <c r="DA9" s="365"/>
      <c r="DB9" s="365"/>
      <c r="DC9" s="365"/>
      <c r="DD9" s="365"/>
      <c r="DE9" s="365"/>
      <c r="DF9" s="365"/>
      <c r="DG9" s="365"/>
      <c r="DH9" s="365"/>
      <c r="DI9" s="365"/>
      <c r="DJ9" s="365"/>
      <c r="DK9" s="365"/>
      <c r="DL9" s="365"/>
      <c r="DM9" s="365"/>
      <c r="DN9" s="365"/>
      <c r="DO9" s="365"/>
      <c r="DP9" s="365"/>
      <c r="DQ9" s="365"/>
      <c r="DR9" s="365"/>
      <c r="DS9" s="365"/>
      <c r="DT9" s="365"/>
      <c r="DU9" s="365"/>
      <c r="DV9" s="365"/>
      <c r="DW9" s="365"/>
      <c r="DX9" s="365"/>
      <c r="DY9" s="365"/>
      <c r="DZ9" s="365"/>
      <c r="EA9" s="365"/>
    </row>
    <row r="10" spans="1:131" s="110" customFormat="1" ht="14.4" customHeight="1" thickTop="1">
      <c r="A10" s="734" t="str">
        <f>Product_Inputs!F1</f>
        <v>Cleaning Products</v>
      </c>
      <c r="B10" s="298" t="s">
        <v>388</v>
      </c>
      <c r="C10" s="731" t="s">
        <v>220</v>
      </c>
      <c r="D10" s="304">
        <v>1</v>
      </c>
      <c r="E10" s="305">
        <v>1</v>
      </c>
      <c r="F10" s="305">
        <v>1</v>
      </c>
      <c r="G10" s="305">
        <f>Product_Inputs!$F13</f>
        <v>0</v>
      </c>
      <c r="H10" s="240">
        <f>Product_Inputs!$F13</f>
        <v>0</v>
      </c>
      <c r="I10" s="240">
        <f>Product_Inputs!$F13</f>
        <v>0</v>
      </c>
      <c r="J10" s="241">
        <f>Product_Inputs!F13</f>
        <v>0</v>
      </c>
      <c r="K10" s="242">
        <f>Product_Inputs!F22</f>
        <v>0.05</v>
      </c>
      <c r="L10" s="243">
        <f>Product_Inputs!F6</f>
        <v>104</v>
      </c>
      <c r="M10" s="243">
        <f>Product_Inputs!F5</f>
        <v>1</v>
      </c>
      <c r="N10" s="243">
        <v>3.2499999999999999E-3</v>
      </c>
      <c r="O10" s="244">
        <f>Product_Inputs!$F$39*1000*K10*N10</f>
        <v>0.16250000000000001</v>
      </c>
      <c r="P10" s="60">
        <f>$B$56</f>
        <v>1</v>
      </c>
      <c r="Q10" s="245">
        <f t="shared" si="11"/>
        <v>0.16250000000000001</v>
      </c>
      <c r="R10" s="246" t="s">
        <v>595</v>
      </c>
      <c r="S10" s="216">
        <f>(INDEX('Dermal Calcs'!$B$46:$L$52, MATCH($R10,'Dermal Calcs'!$A$46:$A$52, 0), MATCH(S$3, 'Dermal Calcs'!$B$45:$L$45, 0)))*$Q10*D10</f>
        <v>1.0065080789946144</v>
      </c>
      <c r="T10" s="216">
        <f>(INDEX('Dermal Calcs'!$B$46:$L$52, MATCH($R10,'Dermal Calcs'!$A$46:$A$52, 0), MATCH(T$3, 'Dermal Calcs'!$B$45:$L$45, 0)))*$Q10*E10</f>
        <v>0.94186452513966501</v>
      </c>
      <c r="U10" s="216">
        <f>(INDEX('Dermal Calcs'!$B$46:$L$52, MATCH($R10,'Dermal Calcs'!$A$46:$A$52, 0), MATCH(U$3, 'Dermal Calcs'!$B$45:$L$45, 0)))*$Q10*F10</f>
        <v>1.0299295774647887</v>
      </c>
      <c r="V10" s="216">
        <f>(INDEX('Dermal Calcs'!$B$46:$L$52, MATCH($R10,'Dermal Calcs'!$A$46:$A$52, 0), MATCH(V$3, 'Dermal Calcs'!$B$45:$L$45, 0)))*$Q10*G10</f>
        <v>0</v>
      </c>
      <c r="W10" s="216">
        <f>(INDEX('Dermal Calcs'!$B$46:$L$52, MATCH($R10,'Dermal Calcs'!$A$46:$A$52, 0), MATCH(W$3, 'Dermal Calcs'!$B$45:$L$45, 0)))*$Q10*H10</f>
        <v>0</v>
      </c>
      <c r="X10" s="216">
        <f>(INDEX('Dermal Calcs'!$B$46:$L$52, MATCH($R10,'Dermal Calcs'!$A$46:$A$52, 0), MATCH(X$3, 'Dermal Calcs'!$B$45:$L$45, 0)))*$Q10*I10</f>
        <v>0</v>
      </c>
      <c r="Y10" s="216">
        <f>(INDEX('Dermal Calcs'!$B$46:$L$52, MATCH($R10,'Dermal Calcs'!$A$46:$A$52, 0), MATCH(Y$3, 'Dermal Calcs'!$B$45:$L$45, 0)))*$Q10*J10</f>
        <v>0</v>
      </c>
      <c r="Z10" s="217">
        <f t="shared" si="12"/>
        <v>0.28678586360394492</v>
      </c>
      <c r="AA10" s="217">
        <f t="shared" si="13"/>
        <v>0.26836687839595935</v>
      </c>
      <c r="AB10" s="217">
        <f t="shared" si="14"/>
        <v>0.29345938645572062</v>
      </c>
      <c r="AC10" s="217">
        <f t="shared" si="15"/>
        <v>0</v>
      </c>
      <c r="AD10" s="217">
        <f t="shared" si="16"/>
        <v>0</v>
      </c>
      <c r="AE10" s="217">
        <f t="shared" si="17"/>
        <v>0</v>
      </c>
      <c r="AF10" s="217">
        <f t="shared" si="18"/>
        <v>0</v>
      </c>
      <c r="AG10" s="217">
        <f t="shared" si="19"/>
        <v>1.0065080789946144</v>
      </c>
      <c r="AH10" s="217">
        <f t="shared" si="20"/>
        <v>0.94186452513966501</v>
      </c>
      <c r="AI10" s="217">
        <f t="shared" si="21"/>
        <v>1.0299295774647887</v>
      </c>
      <c r="AJ10" s="217">
        <f t="shared" si="22"/>
        <v>0</v>
      </c>
      <c r="AK10" s="217">
        <f t="shared" si="23"/>
        <v>0</v>
      </c>
      <c r="AL10" s="217">
        <f t="shared" si="24"/>
        <v>0</v>
      </c>
      <c r="AM10" s="498">
        <f t="shared" si="25"/>
        <v>0</v>
      </c>
      <c r="AN10" s="218">
        <f t="shared" si="3"/>
        <v>0.78571469480532852</v>
      </c>
      <c r="AO10" s="219">
        <f t="shared" si="3"/>
        <v>0.73525172163276542</v>
      </c>
      <c r="AP10" s="219">
        <f t="shared" si="3"/>
        <v>0.80399831905676877</v>
      </c>
      <c r="AQ10" s="219">
        <f t="shared" si="3"/>
        <v>0</v>
      </c>
      <c r="AR10" s="219">
        <f t="shared" si="3"/>
        <v>0</v>
      </c>
      <c r="AS10" s="219">
        <f t="shared" si="3"/>
        <v>0</v>
      </c>
      <c r="AT10" s="220">
        <f t="shared" si="3"/>
        <v>0</v>
      </c>
      <c r="AU10" s="219">
        <f t="shared" si="4"/>
        <v>1006.5080789946144</v>
      </c>
      <c r="AV10" s="219">
        <f t="shared" si="4"/>
        <v>941.86452513966503</v>
      </c>
      <c r="AW10" s="219">
        <f t="shared" si="4"/>
        <v>1029.9295774647887</v>
      </c>
      <c r="AX10" s="219">
        <f t="shared" si="4"/>
        <v>0</v>
      </c>
      <c r="AY10" s="219">
        <f t="shared" si="4"/>
        <v>0</v>
      </c>
      <c r="AZ10" s="219">
        <f t="shared" si="4"/>
        <v>0</v>
      </c>
      <c r="BA10" s="220">
        <f t="shared" si="4"/>
        <v>0</v>
      </c>
      <c r="BB10" s="221">
        <f t="shared" si="5"/>
        <v>0.78571469480532852</v>
      </c>
      <c r="BC10" s="222">
        <f t="shared" si="6"/>
        <v>0.7696250203447671</v>
      </c>
      <c r="BD10" s="223">
        <f t="shared" si="7"/>
        <v>0</v>
      </c>
      <c r="BE10" s="221">
        <f t="shared" si="8"/>
        <v>1006.5080789946144</v>
      </c>
      <c r="BF10" s="222">
        <f t="shared" si="9"/>
        <v>985.89705130222694</v>
      </c>
      <c r="BG10" s="223">
        <f t="shared" si="10"/>
        <v>0</v>
      </c>
      <c r="BH10" s="472"/>
      <c r="BI10" s="472"/>
      <c r="BJ10" s="472"/>
      <c r="BK10" s="472"/>
      <c r="BL10" s="772" t="s">
        <v>220</v>
      </c>
      <c r="BM10" s="481" t="s">
        <v>388</v>
      </c>
      <c r="BN10" s="243">
        <v>104</v>
      </c>
      <c r="BO10" s="243">
        <v>1</v>
      </c>
      <c r="BP10" s="243">
        <v>3.2499999999999999E-3</v>
      </c>
      <c r="BQ10" s="244">
        <v>0.16250000000000001</v>
      </c>
      <c r="BR10" s="250">
        <v>9.389999999999999E-3</v>
      </c>
      <c r="BS10" s="511" t="s">
        <v>595</v>
      </c>
      <c r="BT10" s="365"/>
      <c r="BU10" s="365"/>
      <c r="BV10" s="365"/>
      <c r="BW10" s="365"/>
      <c r="BX10" s="365"/>
      <c r="BY10" s="365"/>
      <c r="BZ10" s="365"/>
      <c r="CA10" s="365"/>
      <c r="CB10" s="365"/>
      <c r="CC10" s="365"/>
      <c r="CD10" s="365"/>
      <c r="CE10" s="365"/>
      <c r="CF10" s="365"/>
      <c r="CG10" s="365"/>
      <c r="CH10" s="365"/>
      <c r="CI10" s="365"/>
      <c r="CJ10" s="365"/>
      <c r="CK10" s="365"/>
      <c r="CL10" s="365"/>
      <c r="CM10" s="365"/>
      <c r="CN10" s="365"/>
      <c r="CO10" s="365"/>
      <c r="CP10" s="365"/>
      <c r="CQ10" s="365"/>
      <c r="CR10" s="365"/>
      <c r="CS10" s="365"/>
      <c r="CT10" s="365"/>
      <c r="CU10" s="365"/>
      <c r="CV10" s="365"/>
      <c r="CW10" s="365"/>
      <c r="CX10" s="365"/>
      <c r="CY10" s="365"/>
      <c r="CZ10" s="365"/>
      <c r="DA10" s="365"/>
      <c r="DB10" s="365"/>
      <c r="DC10" s="365"/>
      <c r="DD10" s="365"/>
      <c r="DE10" s="365"/>
      <c r="DF10" s="365"/>
      <c r="DG10" s="365"/>
      <c r="DH10" s="365"/>
      <c r="DI10" s="365"/>
      <c r="DJ10" s="365"/>
      <c r="DK10" s="365"/>
      <c r="DL10" s="365"/>
      <c r="DM10" s="365"/>
      <c r="DN10" s="365"/>
      <c r="DO10" s="365"/>
      <c r="DP10" s="365"/>
      <c r="DQ10" s="365"/>
      <c r="DR10" s="365"/>
      <c r="DS10" s="365"/>
      <c r="DT10" s="365"/>
      <c r="DU10" s="365"/>
      <c r="DV10" s="365"/>
      <c r="DW10" s="365"/>
      <c r="DX10" s="365"/>
      <c r="DY10" s="365"/>
      <c r="DZ10" s="365"/>
      <c r="EA10" s="365"/>
    </row>
    <row r="11" spans="1:131" s="110" customFormat="1" ht="14.4" customHeight="1">
      <c r="A11" s="735"/>
      <c r="B11" s="296" t="s">
        <v>596</v>
      </c>
      <c r="C11" s="732"/>
      <c r="D11" s="211">
        <v>1</v>
      </c>
      <c r="E11" s="152">
        <v>1</v>
      </c>
      <c r="F11" s="152">
        <v>1</v>
      </c>
      <c r="G11" s="152">
        <f>Product_Inputs!$F14</f>
        <v>0</v>
      </c>
      <c r="H11" s="152">
        <f>Product_Inputs!$F14</f>
        <v>0</v>
      </c>
      <c r="I11" s="152">
        <f>Product_Inputs!$F14</f>
        <v>0</v>
      </c>
      <c r="J11" s="212">
        <v>0</v>
      </c>
      <c r="K11" s="213">
        <f>Product_Inputs!F23</f>
        <v>0.03</v>
      </c>
      <c r="L11" s="124">
        <f>L10</f>
        <v>104</v>
      </c>
      <c r="M11" s="124">
        <f>M10</f>
        <v>1</v>
      </c>
      <c r="N11" s="124">
        <v>3.2499999999999999E-3</v>
      </c>
      <c r="O11" s="214">
        <f>Product_Inputs!$F$39*1000*K11*N11</f>
        <v>9.7499999999999989E-2</v>
      </c>
      <c r="P11" s="60">
        <f>$B$57</f>
        <v>1</v>
      </c>
      <c r="Q11" s="195">
        <f t="shared" si="11"/>
        <v>9.7499999999999989E-2</v>
      </c>
      <c r="R11" s="215" t="s">
        <v>597</v>
      </c>
      <c r="S11" s="216">
        <f>(INDEX('Dermal Calcs'!$B$46:$L$52, MATCH($R11,'Dermal Calcs'!$A$46:$A$52, 0), MATCH(S$3, 'Dermal Calcs'!$B$45:$L$45, 0)))*$Q11*D11</f>
        <v>0.30195242369838426</v>
      </c>
      <c r="T11" s="216">
        <f>(INDEX('Dermal Calcs'!$B$46:$L$52, MATCH($R11,'Dermal Calcs'!$A$46:$A$52, 0), MATCH(T$3, 'Dermal Calcs'!$B$45:$L$45, 0)))*$Q11*E11</f>
        <v>0.28255935754189943</v>
      </c>
      <c r="U11" s="216">
        <f>(INDEX('Dermal Calcs'!$B$46:$L$52, MATCH($R11,'Dermal Calcs'!$A$46:$A$52, 0), MATCH(U$3, 'Dermal Calcs'!$B$45:$L$45, 0)))*$Q11*F11</f>
        <v>0.30897887323943662</v>
      </c>
      <c r="V11" s="216">
        <f>(INDEX('Dermal Calcs'!$B$46:$L$52, MATCH($R11,'Dermal Calcs'!$A$46:$A$52, 0), MATCH(V$3, 'Dermal Calcs'!$B$45:$L$45, 0)))*$Q11*G11</f>
        <v>0</v>
      </c>
      <c r="W11" s="216">
        <f>(INDEX('Dermal Calcs'!$B$46:$L$52, MATCH($R11,'Dermal Calcs'!$A$46:$A$52, 0), MATCH(W$3, 'Dermal Calcs'!$B$45:$L$45, 0)))*$Q11*H11</f>
        <v>0</v>
      </c>
      <c r="X11" s="216">
        <f>(INDEX('Dermal Calcs'!$B$46:$L$52, MATCH($R11,'Dermal Calcs'!$A$46:$A$52, 0), MATCH(X$3, 'Dermal Calcs'!$B$45:$L$45, 0)))*$Q11*I11</f>
        <v>0</v>
      </c>
      <c r="Y11" s="216">
        <f>(INDEX('Dermal Calcs'!$B$46:$L$52, MATCH($R11,'Dermal Calcs'!$A$46:$A$52, 0), MATCH(Y$3, 'Dermal Calcs'!$B$45:$L$45, 0)))*$Q11*J11</f>
        <v>0</v>
      </c>
      <c r="Z11" s="217">
        <f t="shared" si="12"/>
        <v>8.6035759081183466E-2</v>
      </c>
      <c r="AA11" s="217">
        <f t="shared" si="13"/>
        <v>8.0510063518787783E-2</v>
      </c>
      <c r="AB11" s="217">
        <f t="shared" si="14"/>
        <v>8.8037815936716182E-2</v>
      </c>
      <c r="AC11" s="217">
        <f t="shared" si="15"/>
        <v>0</v>
      </c>
      <c r="AD11" s="217">
        <f t="shared" si="16"/>
        <v>0</v>
      </c>
      <c r="AE11" s="217">
        <f t="shared" si="17"/>
        <v>0</v>
      </c>
      <c r="AF11" s="217">
        <f t="shared" si="18"/>
        <v>0</v>
      </c>
      <c r="AG11" s="217">
        <f t="shared" si="19"/>
        <v>0.30195242369838426</v>
      </c>
      <c r="AH11" s="217">
        <f t="shared" si="20"/>
        <v>0.28255935754189943</v>
      </c>
      <c r="AI11" s="217">
        <f t="shared" si="21"/>
        <v>0.30897887323943662</v>
      </c>
      <c r="AJ11" s="217">
        <f t="shared" si="22"/>
        <v>0</v>
      </c>
      <c r="AK11" s="217">
        <f t="shared" si="23"/>
        <v>0</v>
      </c>
      <c r="AL11" s="217">
        <f t="shared" si="24"/>
        <v>0</v>
      </c>
      <c r="AM11" s="498">
        <f t="shared" si="25"/>
        <v>0</v>
      </c>
      <c r="AN11" s="218">
        <f t="shared" si="3"/>
        <v>0.23571440844159855</v>
      </c>
      <c r="AO11" s="219">
        <f t="shared" si="3"/>
        <v>0.22057551648982957</v>
      </c>
      <c r="AP11" s="219">
        <f t="shared" si="3"/>
        <v>0.24119949571703064</v>
      </c>
      <c r="AQ11" s="219">
        <f t="shared" si="3"/>
        <v>0</v>
      </c>
      <c r="AR11" s="219">
        <f t="shared" si="3"/>
        <v>0</v>
      </c>
      <c r="AS11" s="219">
        <f t="shared" si="3"/>
        <v>0</v>
      </c>
      <c r="AT11" s="220">
        <f t="shared" si="3"/>
        <v>0</v>
      </c>
      <c r="AU11" s="219">
        <f t="shared" si="4"/>
        <v>301.95242369838428</v>
      </c>
      <c r="AV11" s="219">
        <f t="shared" si="4"/>
        <v>282.55935754189943</v>
      </c>
      <c r="AW11" s="219">
        <f t="shared" si="4"/>
        <v>308.97887323943661</v>
      </c>
      <c r="AX11" s="219">
        <f t="shared" si="4"/>
        <v>0</v>
      </c>
      <c r="AY11" s="219">
        <f t="shared" si="4"/>
        <v>0</v>
      </c>
      <c r="AZ11" s="219">
        <f t="shared" si="4"/>
        <v>0</v>
      </c>
      <c r="BA11" s="220">
        <f t="shared" si="4"/>
        <v>0</v>
      </c>
      <c r="BB11" s="224">
        <f t="shared" si="5"/>
        <v>0.23571440844159855</v>
      </c>
      <c r="BC11" s="54">
        <f t="shared" si="6"/>
        <v>0.23088750610343012</v>
      </c>
      <c r="BD11" s="225">
        <f t="shared" si="7"/>
        <v>0</v>
      </c>
      <c r="BE11" s="224">
        <f t="shared" si="8"/>
        <v>301.95242369838428</v>
      </c>
      <c r="BF11" s="54">
        <f t="shared" si="9"/>
        <v>295.76911539066805</v>
      </c>
      <c r="BG11" s="473">
        <f t="shared" si="10"/>
        <v>0</v>
      </c>
      <c r="BH11" s="472"/>
      <c r="BI11" s="472"/>
      <c r="BJ11" s="472"/>
      <c r="BK11" s="472"/>
      <c r="BL11" s="773"/>
      <c r="BM11" s="480" t="s">
        <v>598</v>
      </c>
      <c r="BN11" s="124">
        <v>104</v>
      </c>
      <c r="BO11" s="124">
        <v>1</v>
      </c>
      <c r="BP11" s="124">
        <v>3.2499999999999999E-3</v>
      </c>
      <c r="BQ11" s="214">
        <v>9.7499999999999989E-2</v>
      </c>
      <c r="BR11" s="69">
        <v>5.0000000000000001E-4</v>
      </c>
      <c r="BS11" s="509" t="s">
        <v>597</v>
      </c>
      <c r="BT11" s="365"/>
      <c r="BU11" s="365"/>
      <c r="BV11" s="365"/>
      <c r="BW11" s="365"/>
      <c r="BX11" s="365"/>
      <c r="BY11" s="365"/>
      <c r="BZ11" s="365"/>
      <c r="CA11" s="365"/>
      <c r="CB11" s="365"/>
      <c r="CC11" s="365"/>
      <c r="CD11" s="365"/>
      <c r="CE11" s="365"/>
      <c r="CF11" s="365"/>
      <c r="CG11" s="365"/>
      <c r="CH11" s="365"/>
      <c r="CI11" s="365"/>
      <c r="CJ11" s="365"/>
      <c r="CK11" s="365"/>
      <c r="CL11" s="365"/>
      <c r="CM11" s="365"/>
      <c r="CN11" s="365"/>
      <c r="CO11" s="365"/>
      <c r="CP11" s="365"/>
      <c r="CQ11" s="365"/>
      <c r="CR11" s="365"/>
      <c r="CS11" s="365"/>
      <c r="CT11" s="365"/>
      <c r="CU11" s="365"/>
      <c r="CV11" s="365"/>
      <c r="CW11" s="365"/>
      <c r="CX11" s="365"/>
      <c r="CY11" s="365"/>
      <c r="CZ11" s="365"/>
      <c r="DA11" s="365"/>
      <c r="DB11" s="365"/>
      <c r="DC11" s="365"/>
      <c r="DD11" s="365"/>
      <c r="DE11" s="365"/>
      <c r="DF11" s="365"/>
      <c r="DG11" s="365"/>
      <c r="DH11" s="365"/>
      <c r="DI11" s="365"/>
      <c r="DJ11" s="365"/>
      <c r="DK11" s="365"/>
      <c r="DL11" s="365"/>
      <c r="DM11" s="365"/>
      <c r="DN11" s="365"/>
      <c r="DO11" s="365"/>
      <c r="DP11" s="365"/>
      <c r="DQ11" s="365"/>
      <c r="DR11" s="365"/>
      <c r="DS11" s="365"/>
      <c r="DT11" s="365"/>
      <c r="DU11" s="365"/>
      <c r="DV11" s="365"/>
      <c r="DW11" s="365"/>
      <c r="DX11" s="365"/>
      <c r="DY11" s="365"/>
      <c r="DZ11" s="365"/>
      <c r="EA11" s="365"/>
    </row>
    <row r="12" spans="1:131" s="238" customFormat="1" ht="14.4" customHeight="1" thickBot="1">
      <c r="A12" s="736"/>
      <c r="B12" s="297" t="s">
        <v>390</v>
      </c>
      <c r="C12" s="733"/>
      <c r="D12" s="306">
        <v>1</v>
      </c>
      <c r="E12" s="227">
        <v>1</v>
      </c>
      <c r="F12" s="227">
        <v>1</v>
      </c>
      <c r="G12" s="227">
        <f>Product_Inputs!$F15</f>
        <v>0</v>
      </c>
      <c r="H12" s="227">
        <f>Product_Inputs!$F15</f>
        <v>0</v>
      </c>
      <c r="I12" s="227">
        <f>Product_Inputs!$F15</f>
        <v>0</v>
      </c>
      <c r="J12" s="228">
        <v>0</v>
      </c>
      <c r="K12" s="229">
        <f>Product_Inputs!F24</f>
        <v>0.01</v>
      </c>
      <c r="L12" s="230">
        <f>L10</f>
        <v>104</v>
      </c>
      <c r="M12" s="230">
        <f>M10</f>
        <v>1</v>
      </c>
      <c r="N12" s="230">
        <v>3.2499999999999999E-3</v>
      </c>
      <c r="O12" s="231">
        <f>Product_Inputs!$F$39*1000*K12*N12</f>
        <v>3.2500000000000001E-2</v>
      </c>
      <c r="P12" s="232">
        <f>$B$58</f>
        <v>1</v>
      </c>
      <c r="Q12" s="233">
        <f t="shared" si="11"/>
        <v>3.2500000000000001E-2</v>
      </c>
      <c r="R12" s="234" t="s">
        <v>599</v>
      </c>
      <c r="S12" s="216">
        <f>(INDEX('Dermal Calcs'!$B$46:$L$52, MATCH($R12,'Dermal Calcs'!$A$46:$A$52, 0), MATCH(S$3, 'Dermal Calcs'!$B$45:$L$45, 0)))*$Q12*D12</f>
        <v>4.0260323159784575E-2</v>
      </c>
      <c r="T12" s="216">
        <f>(INDEX('Dermal Calcs'!$B$46:$L$52, MATCH($R12,'Dermal Calcs'!$A$46:$A$52, 0), MATCH(T$3, 'Dermal Calcs'!$B$45:$L$45, 0)))*$Q12*E12</f>
        <v>3.7674581005586606E-2</v>
      </c>
      <c r="U12" s="216">
        <f>(INDEX('Dermal Calcs'!$B$46:$L$52, MATCH($R12,'Dermal Calcs'!$A$46:$A$52, 0), MATCH(U$3, 'Dermal Calcs'!$B$45:$L$45, 0)))*$Q12*F12</f>
        <v>4.1197183098591557E-2</v>
      </c>
      <c r="V12" s="216">
        <f>(INDEX('Dermal Calcs'!$B$46:$L$52, MATCH($R12,'Dermal Calcs'!$A$46:$A$52, 0), MATCH(V$3, 'Dermal Calcs'!$B$45:$L$45, 0)))*$Q12*G12</f>
        <v>0</v>
      </c>
      <c r="W12" s="216">
        <f>(INDEX('Dermal Calcs'!$B$46:$L$52, MATCH($R12,'Dermal Calcs'!$A$46:$A$52, 0), MATCH(W$3, 'Dermal Calcs'!$B$45:$L$45, 0)))*$Q12*H12</f>
        <v>0</v>
      </c>
      <c r="X12" s="216">
        <f>(INDEX('Dermal Calcs'!$B$46:$L$52, MATCH($R12,'Dermal Calcs'!$A$46:$A$52, 0), MATCH(X$3, 'Dermal Calcs'!$B$45:$L$45, 0)))*$Q12*I12</f>
        <v>0</v>
      </c>
      <c r="Y12" s="216">
        <f>(INDEX('Dermal Calcs'!$B$46:$L$52, MATCH($R12,'Dermal Calcs'!$A$46:$A$52, 0), MATCH(Y$3, 'Dermal Calcs'!$B$45:$L$45, 0)))*$Q12*J12</f>
        <v>0</v>
      </c>
      <c r="Z12" s="217">
        <f t="shared" si="12"/>
        <v>1.1471434544157798E-2</v>
      </c>
      <c r="AA12" s="217">
        <f t="shared" si="13"/>
        <v>1.0734675135838376E-2</v>
      </c>
      <c r="AB12" s="217">
        <f t="shared" si="14"/>
        <v>1.1738375458228827E-2</v>
      </c>
      <c r="AC12" s="217">
        <f t="shared" si="15"/>
        <v>0</v>
      </c>
      <c r="AD12" s="217">
        <f t="shared" si="16"/>
        <v>0</v>
      </c>
      <c r="AE12" s="217">
        <f t="shared" si="17"/>
        <v>0</v>
      </c>
      <c r="AF12" s="217">
        <f t="shared" si="18"/>
        <v>0</v>
      </c>
      <c r="AG12" s="217">
        <f t="shared" si="19"/>
        <v>4.0260323159784575E-2</v>
      </c>
      <c r="AH12" s="217">
        <f t="shared" si="20"/>
        <v>3.7674581005586606E-2</v>
      </c>
      <c r="AI12" s="217">
        <f t="shared" si="21"/>
        <v>4.1197183098591557E-2</v>
      </c>
      <c r="AJ12" s="217">
        <f t="shared" si="22"/>
        <v>0</v>
      </c>
      <c r="AK12" s="217">
        <f t="shared" si="23"/>
        <v>0</v>
      </c>
      <c r="AL12" s="217">
        <f t="shared" si="24"/>
        <v>0</v>
      </c>
      <c r="AM12" s="498">
        <f t="shared" si="25"/>
        <v>0</v>
      </c>
      <c r="AN12" s="218">
        <f t="shared" si="3"/>
        <v>3.1428587792213143E-2</v>
      </c>
      <c r="AO12" s="219">
        <f t="shared" si="3"/>
        <v>2.9410068865310619E-2</v>
      </c>
      <c r="AP12" s="219">
        <f t="shared" si="3"/>
        <v>3.2159932762270756E-2</v>
      </c>
      <c r="AQ12" s="219">
        <f t="shared" si="3"/>
        <v>0</v>
      </c>
      <c r="AR12" s="219">
        <f t="shared" si="3"/>
        <v>0</v>
      </c>
      <c r="AS12" s="219">
        <f t="shared" si="3"/>
        <v>0</v>
      </c>
      <c r="AT12" s="220">
        <f t="shared" si="3"/>
        <v>0</v>
      </c>
      <c r="AU12" s="219">
        <f t="shared" si="4"/>
        <v>40.260323159784576</v>
      </c>
      <c r="AV12" s="219">
        <f t="shared" si="4"/>
        <v>37.674581005586603</v>
      </c>
      <c r="AW12" s="219">
        <f t="shared" si="4"/>
        <v>41.197183098591559</v>
      </c>
      <c r="AX12" s="219">
        <f t="shared" si="4"/>
        <v>0</v>
      </c>
      <c r="AY12" s="219">
        <f t="shared" si="4"/>
        <v>0</v>
      </c>
      <c r="AZ12" s="219">
        <f t="shared" si="4"/>
        <v>0</v>
      </c>
      <c r="BA12" s="220">
        <f t="shared" si="4"/>
        <v>0</v>
      </c>
      <c r="BB12" s="235">
        <f t="shared" si="5"/>
        <v>3.1428587792213143E-2</v>
      </c>
      <c r="BC12" s="236">
        <f t="shared" si="6"/>
        <v>3.0785000813790691E-2</v>
      </c>
      <c r="BD12" s="237">
        <f t="shared" si="7"/>
        <v>0</v>
      </c>
      <c r="BE12" s="235">
        <f t="shared" si="8"/>
        <v>40.260323159784576</v>
      </c>
      <c r="BF12" s="236">
        <f t="shared" si="9"/>
        <v>39.435882052089084</v>
      </c>
      <c r="BG12" s="237">
        <f t="shared" si="10"/>
        <v>0</v>
      </c>
      <c r="BH12" s="472"/>
      <c r="BI12" s="472"/>
      <c r="BJ12" s="472"/>
      <c r="BK12" s="472"/>
      <c r="BL12" s="780"/>
      <c r="BM12" s="482" t="s">
        <v>390</v>
      </c>
      <c r="BN12" s="230">
        <v>104</v>
      </c>
      <c r="BO12" s="230">
        <v>1</v>
      </c>
      <c r="BP12" s="230">
        <v>3.2499999999999999E-3</v>
      </c>
      <c r="BQ12" s="231">
        <v>3.2500000000000001E-2</v>
      </c>
      <c r="BR12" s="232">
        <v>4.0000000000000003E-5</v>
      </c>
      <c r="BS12" s="510" t="s">
        <v>599</v>
      </c>
      <c r="BT12" s="365"/>
      <c r="BU12" s="365"/>
      <c r="BV12" s="365"/>
      <c r="BW12" s="365"/>
      <c r="BX12" s="365"/>
      <c r="BY12" s="365"/>
      <c r="BZ12" s="365"/>
      <c r="CA12" s="365"/>
      <c r="CB12" s="365"/>
      <c r="CC12" s="365"/>
      <c r="CD12" s="365"/>
      <c r="CE12" s="365"/>
      <c r="CF12" s="365"/>
      <c r="CG12" s="365"/>
      <c r="CH12" s="365"/>
      <c r="CI12" s="365"/>
      <c r="CJ12" s="365"/>
      <c r="CK12" s="365"/>
      <c r="CL12" s="365"/>
      <c r="CM12" s="365"/>
      <c r="CN12" s="365"/>
      <c r="CO12" s="365"/>
      <c r="CP12" s="365"/>
      <c r="CQ12" s="365"/>
      <c r="CR12" s="365"/>
      <c r="CS12" s="365"/>
      <c r="CT12" s="365"/>
      <c r="CU12" s="365"/>
      <c r="CV12" s="365"/>
      <c r="CW12" s="365"/>
      <c r="CX12" s="365"/>
      <c r="CY12" s="365"/>
      <c r="CZ12" s="365"/>
      <c r="DA12" s="365"/>
      <c r="DB12" s="365"/>
      <c r="DC12" s="365"/>
      <c r="DD12" s="365"/>
      <c r="DE12" s="365"/>
      <c r="DF12" s="365"/>
      <c r="DG12" s="365"/>
      <c r="DH12" s="365"/>
      <c r="DI12" s="365"/>
      <c r="DJ12" s="365"/>
      <c r="DK12" s="365"/>
      <c r="DL12" s="365"/>
      <c r="DM12" s="365"/>
      <c r="DN12" s="365"/>
      <c r="DO12" s="365"/>
      <c r="DP12" s="365"/>
      <c r="DQ12" s="365"/>
      <c r="DR12" s="365"/>
      <c r="DS12" s="365"/>
      <c r="DT12" s="365"/>
      <c r="DU12" s="365"/>
      <c r="DV12" s="365"/>
      <c r="DW12" s="365"/>
      <c r="DX12" s="365"/>
      <c r="DY12" s="365"/>
      <c r="DZ12" s="365"/>
      <c r="EA12" s="365"/>
    </row>
    <row r="13" spans="1:131" s="110" customFormat="1" ht="14.4" customHeight="1" thickTop="1">
      <c r="A13" s="734" t="str">
        <f>Product_Inputs!H1</f>
        <v>Paint/Laquer (Large Project)</v>
      </c>
      <c r="B13" s="298" t="s">
        <v>388</v>
      </c>
      <c r="C13" s="731" t="s">
        <v>370</v>
      </c>
      <c r="D13" s="304">
        <v>1</v>
      </c>
      <c r="E13" s="305">
        <v>1</v>
      </c>
      <c r="F13" s="305">
        <v>1</v>
      </c>
      <c r="G13" s="305">
        <f>Product_Inputs!$H13</f>
        <v>0</v>
      </c>
      <c r="H13" s="240">
        <f>Product_Inputs!$H13</f>
        <v>0</v>
      </c>
      <c r="I13" s="240">
        <f>Product_Inputs!$H13</f>
        <v>0</v>
      </c>
      <c r="J13" s="241">
        <f>Product_Inputs!H13</f>
        <v>0</v>
      </c>
      <c r="K13" s="242">
        <f>Product_Inputs!H22</f>
        <v>0.2</v>
      </c>
      <c r="L13" s="243">
        <f>Product_Inputs!H6</f>
        <v>3</v>
      </c>
      <c r="M13" s="243">
        <f>Product_Inputs!H5</f>
        <v>1</v>
      </c>
      <c r="N13" s="243">
        <v>9.8099999999999993E-3</v>
      </c>
      <c r="O13" s="244">
        <f>Product_Inputs!$H$39*1000*K13*N13</f>
        <v>3.5021699999999996</v>
      </c>
      <c r="P13" s="60">
        <f>$B$56</f>
        <v>1</v>
      </c>
      <c r="Q13" s="245">
        <f t="shared" si="11"/>
        <v>3.5021699999999996</v>
      </c>
      <c r="R13" s="246" t="s">
        <v>595</v>
      </c>
      <c r="S13" s="216">
        <f>(INDEX('Dermal Calcs'!$B$46:$L$52, MATCH($R13,'Dermal Calcs'!$A$46:$A$52, 0), MATCH(S$3, 'Dermal Calcs'!$B$45:$L$45, 0)))*$Q13*D13</f>
        <v>21.692076301615803</v>
      </c>
      <c r="T13" s="216">
        <f>(INDEX('Dermal Calcs'!$B$46:$L$52, MATCH($R13,'Dermal Calcs'!$A$46:$A$52, 0), MATCH(T$3, 'Dermal Calcs'!$B$45:$L$45, 0)))*$Q13*E13</f>
        <v>20.298890363128493</v>
      </c>
      <c r="U13" s="216">
        <f>(INDEX('Dermal Calcs'!$B$46:$L$52, MATCH($R13,'Dermal Calcs'!$A$46:$A$52, 0), MATCH(U$3, 'Dermal Calcs'!$B$45:$L$45, 0)))*$Q13*F13</f>
        <v>22.196852112676055</v>
      </c>
      <c r="V13" s="216">
        <f>(INDEX('Dermal Calcs'!$B$46:$L$52, MATCH($R13,'Dermal Calcs'!$A$46:$A$52, 0), MATCH(V$3, 'Dermal Calcs'!$B$45:$L$45, 0)))*$Q13*G13</f>
        <v>0</v>
      </c>
      <c r="W13" s="216">
        <f>(INDEX('Dermal Calcs'!$B$46:$L$52, MATCH($R13,'Dermal Calcs'!$A$46:$A$52, 0), MATCH(W$3, 'Dermal Calcs'!$B$45:$L$45, 0)))*$Q13*H13</f>
        <v>0</v>
      </c>
      <c r="X13" s="216">
        <f>(INDEX('Dermal Calcs'!$B$46:$L$52, MATCH($R13,'Dermal Calcs'!$A$46:$A$52, 0), MATCH(X$3, 'Dermal Calcs'!$B$45:$L$45, 0)))*$Q13*I13</f>
        <v>0</v>
      </c>
      <c r="Y13" s="216">
        <f>(INDEX('Dermal Calcs'!$B$46:$L$52, MATCH($R13,'Dermal Calcs'!$A$46:$A$52, 0), MATCH(Y$3, 'Dermal Calcs'!$B$45:$L$45, 0)))*$Q13*J13</f>
        <v>0</v>
      </c>
      <c r="Z13" s="217">
        <f t="shared" si="12"/>
        <v>0.17829103809547237</v>
      </c>
      <c r="AA13" s="217">
        <f t="shared" si="13"/>
        <v>0.16684019476543965</v>
      </c>
      <c r="AB13" s="217">
        <f t="shared" si="14"/>
        <v>0.18243988037815936</v>
      </c>
      <c r="AC13" s="217">
        <f t="shared" si="15"/>
        <v>0</v>
      </c>
      <c r="AD13" s="217">
        <f t="shared" si="16"/>
        <v>0</v>
      </c>
      <c r="AE13" s="217">
        <f t="shared" si="17"/>
        <v>0</v>
      </c>
      <c r="AF13" s="217">
        <f t="shared" si="18"/>
        <v>0</v>
      </c>
      <c r="AG13" s="217">
        <f t="shared" si="19"/>
        <v>21.692076301615803</v>
      </c>
      <c r="AH13" s="217">
        <f t="shared" si="20"/>
        <v>20.298890363128493</v>
      </c>
      <c r="AI13" s="217">
        <f t="shared" si="21"/>
        <v>22.196852112676055</v>
      </c>
      <c r="AJ13" s="217">
        <f t="shared" si="22"/>
        <v>0</v>
      </c>
      <c r="AK13" s="217">
        <f t="shared" si="23"/>
        <v>0</v>
      </c>
      <c r="AL13" s="217">
        <f t="shared" si="24"/>
        <v>0</v>
      </c>
      <c r="AM13" s="498">
        <f t="shared" si="25"/>
        <v>0</v>
      </c>
      <c r="AN13" s="218">
        <f t="shared" si="3"/>
        <v>0.48846859752184213</v>
      </c>
      <c r="AO13" s="219">
        <f t="shared" si="3"/>
        <v>0.45709642401490319</v>
      </c>
      <c r="AP13" s="219">
        <f t="shared" si="3"/>
        <v>0.49983528870728594</v>
      </c>
      <c r="AQ13" s="219">
        <f t="shared" si="3"/>
        <v>0</v>
      </c>
      <c r="AR13" s="219">
        <f t="shared" si="3"/>
        <v>0</v>
      </c>
      <c r="AS13" s="219">
        <f t="shared" si="3"/>
        <v>0</v>
      </c>
      <c r="AT13" s="220">
        <f t="shared" si="3"/>
        <v>0</v>
      </c>
      <c r="AU13" s="219">
        <f t="shared" si="4"/>
        <v>21692.076301615802</v>
      </c>
      <c r="AV13" s="219">
        <f t="shared" si="4"/>
        <v>20298.890363128492</v>
      </c>
      <c r="AW13" s="219">
        <f t="shared" si="4"/>
        <v>22196.852112676053</v>
      </c>
      <c r="AX13" s="219">
        <f t="shared" si="4"/>
        <v>0</v>
      </c>
      <c r="AY13" s="219">
        <f t="shared" si="4"/>
        <v>0</v>
      </c>
      <c r="AZ13" s="219">
        <f t="shared" si="4"/>
        <v>0</v>
      </c>
      <c r="BA13" s="220">
        <f t="shared" si="4"/>
        <v>0</v>
      </c>
      <c r="BB13" s="221">
        <f t="shared" si="5"/>
        <v>0.48846859752184213</v>
      </c>
      <c r="BC13" s="222">
        <f t="shared" si="6"/>
        <v>0.47846585636109457</v>
      </c>
      <c r="BD13" s="223">
        <f t="shared" si="7"/>
        <v>0</v>
      </c>
      <c r="BE13" s="221">
        <f t="shared" si="8"/>
        <v>21692.076301615802</v>
      </c>
      <c r="BF13" s="222">
        <f t="shared" si="9"/>
        <v>21247.871237902273</v>
      </c>
      <c r="BG13" s="223">
        <f t="shared" si="10"/>
        <v>0</v>
      </c>
      <c r="BH13" s="472"/>
      <c r="BI13" s="472"/>
      <c r="BJ13" s="472"/>
      <c r="BK13" s="472"/>
      <c r="BL13" s="772" t="s">
        <v>600</v>
      </c>
      <c r="BM13" s="481" t="s">
        <v>388</v>
      </c>
      <c r="BN13" s="243">
        <v>2</v>
      </c>
      <c r="BO13" s="243">
        <v>1</v>
      </c>
      <c r="BP13" s="243">
        <v>9.8099999999999993E-3</v>
      </c>
      <c r="BQ13" s="244">
        <v>3.5021699999999996</v>
      </c>
      <c r="BR13" s="250">
        <v>9.389999999999999E-3</v>
      </c>
      <c r="BS13" s="511" t="s">
        <v>595</v>
      </c>
      <c r="BT13" s="365"/>
      <c r="BU13" s="365"/>
      <c r="BV13" s="365"/>
      <c r="BW13" s="365"/>
      <c r="BX13" s="365"/>
      <c r="BY13" s="365"/>
      <c r="BZ13" s="365"/>
      <c r="CA13" s="365"/>
      <c r="CB13" s="365"/>
      <c r="CC13" s="365"/>
      <c r="CD13" s="365"/>
      <c r="CE13" s="365"/>
      <c r="CF13" s="365"/>
      <c r="CG13" s="365"/>
      <c r="CH13" s="365"/>
      <c r="CI13" s="365"/>
      <c r="CJ13" s="365"/>
      <c r="CK13" s="365"/>
      <c r="CL13" s="365"/>
      <c r="CM13" s="365"/>
      <c r="CN13" s="365"/>
      <c r="CO13" s="365"/>
      <c r="CP13" s="365"/>
      <c r="CQ13" s="365"/>
      <c r="CR13" s="365"/>
      <c r="CS13" s="365"/>
      <c r="CT13" s="365"/>
      <c r="CU13" s="365"/>
      <c r="CV13" s="365"/>
      <c r="CW13" s="365"/>
      <c r="CX13" s="365"/>
      <c r="CY13" s="365"/>
      <c r="CZ13" s="365"/>
      <c r="DA13" s="365"/>
      <c r="DB13" s="365"/>
      <c r="DC13" s="365"/>
      <c r="DD13" s="365"/>
      <c r="DE13" s="365"/>
      <c r="DF13" s="365"/>
      <c r="DG13" s="365"/>
      <c r="DH13" s="365"/>
      <c r="DI13" s="365"/>
      <c r="DJ13" s="365"/>
      <c r="DK13" s="365"/>
      <c r="DL13" s="365"/>
      <c r="DM13" s="365"/>
      <c r="DN13" s="365"/>
      <c r="DO13" s="365"/>
      <c r="DP13" s="365"/>
      <c r="DQ13" s="365"/>
      <c r="DR13" s="365"/>
      <c r="DS13" s="365"/>
      <c r="DT13" s="365"/>
      <c r="DU13" s="365"/>
      <c r="DV13" s="365"/>
      <c r="DW13" s="365"/>
      <c r="DX13" s="365"/>
      <c r="DY13" s="365"/>
      <c r="DZ13" s="365"/>
      <c r="EA13" s="365"/>
    </row>
    <row r="14" spans="1:131" s="110" customFormat="1" ht="14.4" customHeight="1">
      <c r="A14" s="735"/>
      <c r="B14" s="296" t="s">
        <v>596</v>
      </c>
      <c r="C14" s="732"/>
      <c r="D14" s="211">
        <v>1</v>
      </c>
      <c r="E14" s="152">
        <v>1</v>
      </c>
      <c r="F14" s="152">
        <v>1</v>
      </c>
      <c r="G14" s="152">
        <f>Product_Inputs!$H14</f>
        <v>0</v>
      </c>
      <c r="H14" s="152">
        <f>Product_Inputs!$H14</f>
        <v>0</v>
      </c>
      <c r="I14" s="152">
        <f>Product_Inputs!$H14</f>
        <v>0</v>
      </c>
      <c r="J14" s="212">
        <v>0</v>
      </c>
      <c r="K14" s="213">
        <f>Product_Inputs!H23</f>
        <v>8.0916666666666665E-2</v>
      </c>
      <c r="L14" s="124">
        <f>L13</f>
        <v>3</v>
      </c>
      <c r="M14" s="124">
        <f>M13</f>
        <v>1</v>
      </c>
      <c r="N14" s="124">
        <v>9.8099999999999993E-3</v>
      </c>
      <c r="O14" s="214">
        <f>Product_Inputs!$H$39*1000*K14*N14</f>
        <v>1.4169196124999999</v>
      </c>
      <c r="P14" s="60">
        <f>$B$57</f>
        <v>1</v>
      </c>
      <c r="Q14" s="195">
        <f t="shared" si="11"/>
        <v>1.4169196124999999</v>
      </c>
      <c r="R14" s="215" t="s">
        <v>597</v>
      </c>
      <c r="S14" s="216">
        <f>(INDEX('Dermal Calcs'!$B$46:$L$52, MATCH($R14,'Dermal Calcs'!$A$46:$A$52, 0), MATCH(S$3, 'Dermal Calcs'!$B$45:$L$45, 0)))*$Q14*D14</f>
        <v>4.3881262685143634</v>
      </c>
      <c r="T14" s="216">
        <f>(INDEX('Dermal Calcs'!$B$46:$L$52, MATCH($R14,'Dermal Calcs'!$A$46:$A$52, 0), MATCH(T$3, 'Dermal Calcs'!$B$45:$L$45, 0)))*$Q14*E14</f>
        <v>4.106296363041201</v>
      </c>
      <c r="U14" s="216">
        <f>(INDEX('Dermal Calcs'!$B$46:$L$52, MATCH($R14,'Dermal Calcs'!$A$46:$A$52, 0), MATCH(U$3, 'Dermal Calcs'!$B$45:$L$45, 0)))*$Q14*F14</f>
        <v>4.49023820862676</v>
      </c>
      <c r="V14" s="216">
        <f>(INDEX('Dermal Calcs'!$B$46:$L$52, MATCH($R14,'Dermal Calcs'!$A$46:$A$52, 0), MATCH(V$3, 'Dermal Calcs'!$B$45:$L$45, 0)))*$Q14*G14</f>
        <v>0</v>
      </c>
      <c r="W14" s="216">
        <f>(INDEX('Dermal Calcs'!$B$46:$L$52, MATCH($R14,'Dermal Calcs'!$A$46:$A$52, 0), MATCH(W$3, 'Dermal Calcs'!$B$45:$L$45, 0)))*$Q14*H14</f>
        <v>0</v>
      </c>
      <c r="X14" s="216">
        <f>(INDEX('Dermal Calcs'!$B$46:$L$52, MATCH($R14,'Dermal Calcs'!$A$46:$A$52, 0), MATCH(X$3, 'Dermal Calcs'!$B$45:$L$45, 0)))*$Q14*I14</f>
        <v>0</v>
      </c>
      <c r="Y14" s="216">
        <f>(INDEX('Dermal Calcs'!$B$46:$L$52, MATCH($R14,'Dermal Calcs'!$A$46:$A$52, 0), MATCH(Y$3, 'Dermal Calcs'!$B$45:$L$45, 0)))*$Q14*J14</f>
        <v>0</v>
      </c>
      <c r="Z14" s="217">
        <f t="shared" si="12"/>
        <v>3.6066791248063265E-2</v>
      </c>
      <c r="AA14" s="217">
        <f t="shared" si="13"/>
        <v>3.3750381066092065E-2</v>
      </c>
      <c r="AB14" s="217">
        <f t="shared" si="14"/>
        <v>3.6906067468165153E-2</v>
      </c>
      <c r="AC14" s="217">
        <f t="shared" si="15"/>
        <v>0</v>
      </c>
      <c r="AD14" s="217">
        <f t="shared" si="16"/>
        <v>0</v>
      </c>
      <c r="AE14" s="217">
        <f t="shared" si="17"/>
        <v>0</v>
      </c>
      <c r="AF14" s="217">
        <f t="shared" si="18"/>
        <v>0</v>
      </c>
      <c r="AG14" s="217">
        <f t="shared" si="19"/>
        <v>4.3881262685143634</v>
      </c>
      <c r="AH14" s="217">
        <f t="shared" si="20"/>
        <v>4.106296363041201</v>
      </c>
      <c r="AI14" s="217">
        <f t="shared" si="21"/>
        <v>4.49023820862676</v>
      </c>
      <c r="AJ14" s="217">
        <f t="shared" si="22"/>
        <v>0</v>
      </c>
      <c r="AK14" s="217">
        <f t="shared" si="23"/>
        <v>0</v>
      </c>
      <c r="AL14" s="217">
        <f t="shared" si="24"/>
        <v>0</v>
      </c>
      <c r="AM14" s="498">
        <f t="shared" si="25"/>
        <v>0</v>
      </c>
      <c r="AN14" s="218">
        <f t="shared" si="3"/>
        <v>9.881312670702265E-2</v>
      </c>
      <c r="AO14" s="219">
        <f t="shared" si="3"/>
        <v>9.2466797441348128E-2</v>
      </c>
      <c r="AP14" s="219">
        <f t="shared" si="3"/>
        <v>0.10111251361141138</v>
      </c>
      <c r="AQ14" s="219">
        <f t="shared" si="3"/>
        <v>0</v>
      </c>
      <c r="AR14" s="219">
        <f t="shared" si="3"/>
        <v>0</v>
      </c>
      <c r="AS14" s="219">
        <f t="shared" si="3"/>
        <v>0</v>
      </c>
      <c r="AT14" s="220">
        <f t="shared" si="3"/>
        <v>0</v>
      </c>
      <c r="AU14" s="219">
        <f t="shared" si="4"/>
        <v>4388.1262685143638</v>
      </c>
      <c r="AV14" s="219">
        <f t="shared" si="4"/>
        <v>4106.2963630412014</v>
      </c>
      <c r="AW14" s="219">
        <f t="shared" si="4"/>
        <v>4490.2382086267598</v>
      </c>
      <c r="AX14" s="219">
        <f t="shared" si="4"/>
        <v>0</v>
      </c>
      <c r="AY14" s="219">
        <f t="shared" si="4"/>
        <v>0</v>
      </c>
      <c r="AZ14" s="219">
        <f t="shared" si="4"/>
        <v>0</v>
      </c>
      <c r="BA14" s="220">
        <f t="shared" si="4"/>
        <v>0</v>
      </c>
      <c r="BB14" s="224">
        <f t="shared" si="5"/>
        <v>9.881312670702265E-2</v>
      </c>
      <c r="BC14" s="54">
        <f t="shared" si="6"/>
        <v>9.6789655526379761E-2</v>
      </c>
      <c r="BD14" s="225">
        <f t="shared" si="7"/>
        <v>0</v>
      </c>
      <c r="BE14" s="224">
        <f t="shared" si="8"/>
        <v>4388.1262685143638</v>
      </c>
      <c r="BF14" s="54">
        <f t="shared" si="9"/>
        <v>4298.2672858339802</v>
      </c>
      <c r="BG14" s="473">
        <f t="shared" si="10"/>
        <v>0</v>
      </c>
      <c r="BH14" s="472"/>
      <c r="BI14" s="472"/>
      <c r="BJ14" s="472"/>
      <c r="BK14" s="472"/>
      <c r="BL14" s="773"/>
      <c r="BM14" s="480" t="s">
        <v>598</v>
      </c>
      <c r="BN14" s="124">
        <v>2</v>
      </c>
      <c r="BO14" s="124">
        <v>1</v>
      </c>
      <c r="BP14" s="124">
        <v>9.8099999999999993E-3</v>
      </c>
      <c r="BQ14" s="214">
        <v>1.5781653562499998</v>
      </c>
      <c r="BR14" s="69">
        <v>5.0000000000000001E-4</v>
      </c>
      <c r="BS14" s="509" t="s">
        <v>597</v>
      </c>
      <c r="BT14" s="365"/>
      <c r="BU14" s="365"/>
      <c r="BV14" s="365"/>
      <c r="BW14" s="365"/>
      <c r="BX14" s="365"/>
      <c r="BY14" s="365"/>
      <c r="BZ14" s="365"/>
      <c r="CA14" s="365"/>
      <c r="CB14" s="365"/>
      <c r="CC14" s="365"/>
      <c r="CD14" s="365"/>
      <c r="CE14" s="365"/>
      <c r="CF14" s="365"/>
      <c r="CG14" s="365"/>
      <c r="CH14" s="365"/>
      <c r="CI14" s="365"/>
      <c r="CJ14" s="365"/>
      <c r="CK14" s="365"/>
      <c r="CL14" s="365"/>
      <c r="CM14" s="365"/>
      <c r="CN14" s="365"/>
      <c r="CO14" s="365"/>
      <c r="CP14" s="365"/>
      <c r="CQ14" s="365"/>
      <c r="CR14" s="365"/>
      <c r="CS14" s="365"/>
      <c r="CT14" s="365"/>
      <c r="CU14" s="365"/>
      <c r="CV14" s="365"/>
      <c r="CW14" s="365"/>
      <c r="CX14" s="365"/>
      <c r="CY14" s="365"/>
      <c r="CZ14" s="365"/>
      <c r="DA14" s="365"/>
      <c r="DB14" s="365"/>
      <c r="DC14" s="365"/>
      <c r="DD14" s="365"/>
      <c r="DE14" s="365"/>
      <c r="DF14" s="365"/>
      <c r="DG14" s="365"/>
      <c r="DH14" s="365"/>
      <c r="DI14" s="365"/>
      <c r="DJ14" s="365"/>
      <c r="DK14" s="365"/>
      <c r="DL14" s="365"/>
      <c r="DM14" s="365"/>
      <c r="DN14" s="365"/>
      <c r="DO14" s="365"/>
      <c r="DP14" s="365"/>
      <c r="DQ14" s="365"/>
      <c r="DR14" s="365"/>
      <c r="DS14" s="365"/>
      <c r="DT14" s="365"/>
      <c r="DU14" s="365"/>
      <c r="DV14" s="365"/>
      <c r="DW14" s="365"/>
      <c r="DX14" s="365"/>
      <c r="DY14" s="365"/>
      <c r="DZ14" s="365"/>
      <c r="EA14" s="365"/>
    </row>
    <row r="15" spans="1:131" s="238" customFormat="1" ht="14.4" customHeight="1" thickBot="1">
      <c r="A15" s="736"/>
      <c r="B15" s="297" t="s">
        <v>390</v>
      </c>
      <c r="C15" s="733"/>
      <c r="D15" s="306">
        <v>1</v>
      </c>
      <c r="E15" s="227">
        <v>1</v>
      </c>
      <c r="F15" s="227">
        <v>1</v>
      </c>
      <c r="G15" s="227">
        <f>Product_Inputs!$H15</f>
        <v>0</v>
      </c>
      <c r="H15" s="227">
        <f>Product_Inputs!$H15</f>
        <v>0</v>
      </c>
      <c r="I15" s="227">
        <f>Product_Inputs!$H15</f>
        <v>0</v>
      </c>
      <c r="J15" s="228">
        <v>0</v>
      </c>
      <c r="K15" s="229">
        <f>Product_Inputs!H24</f>
        <v>5.0000000000000001E-4</v>
      </c>
      <c r="L15" s="230">
        <f>L13</f>
        <v>3</v>
      </c>
      <c r="M15" s="230">
        <f>M13</f>
        <v>1</v>
      </c>
      <c r="N15" s="230">
        <v>9.8099999999999993E-3</v>
      </c>
      <c r="O15" s="231">
        <f>Product_Inputs!$H$39*1000*K15*N15</f>
        <v>8.7554250000000007E-3</v>
      </c>
      <c r="P15" s="232">
        <f>$B$58</f>
        <v>1</v>
      </c>
      <c r="Q15" s="233">
        <f t="shared" si="11"/>
        <v>8.7554250000000007E-3</v>
      </c>
      <c r="R15" s="234" t="s">
        <v>599</v>
      </c>
      <c r="S15" s="216">
        <f>(INDEX('Dermal Calcs'!$B$46:$L$52, MATCH($R15,'Dermal Calcs'!$A$46:$A$52, 0), MATCH(S$3, 'Dermal Calcs'!$B$45:$L$45, 0)))*$Q15*D15</f>
        <v>1.0846038150807903E-2</v>
      </c>
      <c r="T15" s="216">
        <f>(INDEX('Dermal Calcs'!$B$46:$L$52, MATCH($R15,'Dermal Calcs'!$A$46:$A$52, 0), MATCH(T$3, 'Dermal Calcs'!$B$45:$L$45, 0)))*$Q15*E15</f>
        <v>1.014944518156425E-2</v>
      </c>
      <c r="U15" s="216">
        <f>(INDEX('Dermal Calcs'!$B$46:$L$52, MATCH($R15,'Dermal Calcs'!$A$46:$A$52, 0), MATCH(U$3, 'Dermal Calcs'!$B$45:$L$45, 0)))*$Q15*F15</f>
        <v>1.109842605633803E-2</v>
      </c>
      <c r="V15" s="216">
        <f>(INDEX('Dermal Calcs'!$B$46:$L$52, MATCH($R15,'Dermal Calcs'!$A$46:$A$52, 0), MATCH(V$3, 'Dermal Calcs'!$B$45:$L$45, 0)))*$Q15*G15</f>
        <v>0</v>
      </c>
      <c r="W15" s="216">
        <f>(INDEX('Dermal Calcs'!$B$46:$L$52, MATCH($R15,'Dermal Calcs'!$A$46:$A$52, 0), MATCH(W$3, 'Dermal Calcs'!$B$45:$L$45, 0)))*$Q15*H15</f>
        <v>0</v>
      </c>
      <c r="X15" s="216">
        <f>(INDEX('Dermal Calcs'!$B$46:$L$52, MATCH($R15,'Dermal Calcs'!$A$46:$A$52, 0), MATCH(X$3, 'Dermal Calcs'!$B$45:$L$45, 0)))*$Q15*I15</f>
        <v>0</v>
      </c>
      <c r="Y15" s="216">
        <f>(INDEX('Dermal Calcs'!$B$46:$L$52, MATCH($R15,'Dermal Calcs'!$A$46:$A$52, 0), MATCH(Y$3, 'Dermal Calcs'!$B$45:$L$45, 0)))*$Q15*J15</f>
        <v>0</v>
      </c>
      <c r="Z15" s="217">
        <f t="shared" si="12"/>
        <v>8.9145519047736189E-5</v>
      </c>
      <c r="AA15" s="217">
        <f t="shared" si="13"/>
        <v>8.342009738271986E-5</v>
      </c>
      <c r="AB15" s="217">
        <f t="shared" si="14"/>
        <v>9.1219940189079702E-5</v>
      </c>
      <c r="AC15" s="217">
        <f t="shared" si="15"/>
        <v>0</v>
      </c>
      <c r="AD15" s="217">
        <f t="shared" si="16"/>
        <v>0</v>
      </c>
      <c r="AE15" s="217">
        <f t="shared" si="17"/>
        <v>0</v>
      </c>
      <c r="AF15" s="217">
        <f t="shared" si="18"/>
        <v>0</v>
      </c>
      <c r="AG15" s="217">
        <f t="shared" si="19"/>
        <v>1.0846038150807903E-2</v>
      </c>
      <c r="AH15" s="217">
        <f t="shared" si="20"/>
        <v>1.014944518156425E-2</v>
      </c>
      <c r="AI15" s="217">
        <f t="shared" si="21"/>
        <v>1.109842605633803E-2</v>
      </c>
      <c r="AJ15" s="217">
        <f t="shared" si="22"/>
        <v>0</v>
      </c>
      <c r="AK15" s="217">
        <f t="shared" si="23"/>
        <v>0</v>
      </c>
      <c r="AL15" s="217">
        <f t="shared" si="24"/>
        <v>0</v>
      </c>
      <c r="AM15" s="498">
        <f t="shared" si="25"/>
        <v>0</v>
      </c>
      <c r="AN15" s="218">
        <f t="shared" si="3"/>
        <v>2.4423429876092102E-4</v>
      </c>
      <c r="AO15" s="219">
        <f t="shared" si="3"/>
        <v>2.2854821200745165E-4</v>
      </c>
      <c r="AP15" s="219">
        <f t="shared" si="3"/>
        <v>2.4991764435364298E-4</v>
      </c>
      <c r="AQ15" s="219">
        <f t="shared" si="3"/>
        <v>0</v>
      </c>
      <c r="AR15" s="219">
        <f t="shared" si="3"/>
        <v>0</v>
      </c>
      <c r="AS15" s="219">
        <f t="shared" si="3"/>
        <v>0</v>
      </c>
      <c r="AT15" s="220">
        <f t="shared" si="3"/>
        <v>0</v>
      </c>
      <c r="AU15" s="219">
        <f t="shared" si="4"/>
        <v>10.846038150807903</v>
      </c>
      <c r="AV15" s="219">
        <f t="shared" si="4"/>
        <v>10.14944518156425</v>
      </c>
      <c r="AW15" s="219">
        <f t="shared" si="4"/>
        <v>11.098426056338029</v>
      </c>
      <c r="AX15" s="219">
        <f t="shared" si="4"/>
        <v>0</v>
      </c>
      <c r="AY15" s="219">
        <f t="shared" si="4"/>
        <v>0</v>
      </c>
      <c r="AZ15" s="219">
        <f t="shared" si="4"/>
        <v>0</v>
      </c>
      <c r="BA15" s="220">
        <f t="shared" si="4"/>
        <v>0</v>
      </c>
      <c r="BB15" s="235">
        <f t="shared" si="5"/>
        <v>2.4423429876092102E-4</v>
      </c>
      <c r="BC15" s="236">
        <f t="shared" si="6"/>
        <v>2.3923292818054732E-4</v>
      </c>
      <c r="BD15" s="237">
        <f t="shared" si="7"/>
        <v>0</v>
      </c>
      <c r="BE15" s="235">
        <f t="shared" si="8"/>
        <v>10.846038150807903</v>
      </c>
      <c r="BF15" s="236">
        <f t="shared" si="9"/>
        <v>10.62393561895114</v>
      </c>
      <c r="BG15" s="237">
        <f t="shared" si="10"/>
        <v>0</v>
      </c>
      <c r="BH15" s="472"/>
      <c r="BI15" s="472"/>
      <c r="BJ15" s="472"/>
      <c r="BK15" s="472"/>
      <c r="BL15" s="780"/>
      <c r="BM15" s="482" t="s">
        <v>390</v>
      </c>
      <c r="BN15" s="230">
        <v>2</v>
      </c>
      <c r="BO15" s="230">
        <v>1</v>
      </c>
      <c r="BP15" s="230">
        <v>9.8099999999999993E-3</v>
      </c>
      <c r="BQ15" s="231">
        <v>8.7554250000000007E-3</v>
      </c>
      <c r="BR15" s="232">
        <v>4.0000000000000003E-5</v>
      </c>
      <c r="BS15" s="510" t="s">
        <v>599</v>
      </c>
      <c r="BT15" s="365"/>
      <c r="BU15" s="365"/>
      <c r="BV15" s="365"/>
      <c r="BW15" s="365"/>
      <c r="BX15" s="365"/>
      <c r="BY15" s="365"/>
      <c r="BZ15" s="365"/>
      <c r="CA15" s="365"/>
      <c r="CB15" s="365"/>
      <c r="CC15" s="365"/>
      <c r="CD15" s="365"/>
      <c r="CE15" s="365"/>
      <c r="CF15" s="365"/>
      <c r="CG15" s="365"/>
      <c r="CH15" s="365"/>
      <c r="CI15" s="365"/>
      <c r="CJ15" s="365"/>
      <c r="CK15" s="365"/>
      <c r="CL15" s="365"/>
      <c r="CM15" s="365"/>
      <c r="CN15" s="365"/>
      <c r="CO15" s="365"/>
      <c r="CP15" s="365"/>
      <c r="CQ15" s="365"/>
      <c r="CR15" s="365"/>
      <c r="CS15" s="365"/>
      <c r="CT15" s="365"/>
      <c r="CU15" s="365"/>
      <c r="CV15" s="365"/>
      <c r="CW15" s="365"/>
      <c r="CX15" s="365"/>
      <c r="CY15" s="365"/>
      <c r="CZ15" s="365"/>
      <c r="DA15" s="365"/>
      <c r="DB15" s="365"/>
      <c r="DC15" s="365"/>
      <c r="DD15" s="365"/>
      <c r="DE15" s="365"/>
      <c r="DF15" s="365"/>
      <c r="DG15" s="365"/>
      <c r="DH15" s="365"/>
      <c r="DI15" s="365"/>
      <c r="DJ15" s="365"/>
      <c r="DK15" s="365"/>
      <c r="DL15" s="365"/>
      <c r="DM15" s="365"/>
      <c r="DN15" s="365"/>
      <c r="DO15" s="365"/>
      <c r="DP15" s="365"/>
      <c r="DQ15" s="365"/>
      <c r="DR15" s="365"/>
      <c r="DS15" s="365"/>
      <c r="DT15" s="365"/>
      <c r="DU15" s="365"/>
      <c r="DV15" s="365"/>
      <c r="DW15" s="365"/>
      <c r="DX15" s="365"/>
      <c r="DY15" s="365"/>
      <c r="DZ15" s="365"/>
      <c r="EA15" s="365"/>
    </row>
    <row r="16" spans="1:131" s="110" customFormat="1" ht="14.4" customHeight="1" thickTop="1">
      <c r="A16" s="734" t="str">
        <f>Product_Inputs!I1</f>
        <v>Paint/Laquer (Small Project)</v>
      </c>
      <c r="B16" s="298" t="s">
        <v>388</v>
      </c>
      <c r="C16" s="731" t="s">
        <v>371</v>
      </c>
      <c r="D16" s="304">
        <v>1</v>
      </c>
      <c r="E16" s="305">
        <v>1</v>
      </c>
      <c r="F16" s="305">
        <v>1</v>
      </c>
      <c r="G16" s="240">
        <f>Product_Inputs!I13</f>
        <v>0</v>
      </c>
      <c r="H16" s="240">
        <f>Product_Inputs!I13</f>
        <v>0</v>
      </c>
      <c r="I16" s="240">
        <f>Product_Inputs!I13</f>
        <v>0</v>
      </c>
      <c r="J16" s="241">
        <f>Product_Inputs!I13</f>
        <v>0</v>
      </c>
      <c r="K16" s="242">
        <f>Product_Inputs!I22</f>
        <v>0.25</v>
      </c>
      <c r="L16" s="243">
        <f>Product_Inputs!I6</f>
        <v>7</v>
      </c>
      <c r="M16" s="243">
        <f>Product_Inputs!I5</f>
        <v>1</v>
      </c>
      <c r="N16" s="243">
        <v>9.8099999999999993E-3</v>
      </c>
      <c r="O16" s="244">
        <f>Product_Inputs!$I$39*1000*K16*N16</f>
        <v>2.182725</v>
      </c>
      <c r="P16" s="60">
        <f>$B$56</f>
        <v>1</v>
      </c>
      <c r="Q16" s="245">
        <f t="shared" si="11"/>
        <v>2.182725</v>
      </c>
      <c r="R16" s="246" t="s">
        <v>595</v>
      </c>
      <c r="S16" s="216">
        <f>(INDEX('Dermal Calcs'!$B$46:$L$52, MATCH($R16,'Dermal Calcs'!$A$46:$A$52, 0), MATCH(S$3, 'Dermal Calcs'!$B$45:$L$45, 0)))*$Q16*D16</f>
        <v>13.519571364452428</v>
      </c>
      <c r="T16" s="216">
        <f>(INDEX('Dermal Calcs'!$B$46:$L$52, MATCH($R16,'Dermal Calcs'!$A$46:$A$52, 0), MATCH(T$3, 'Dermal Calcs'!$B$45:$L$45, 0)))*$Q16*E16</f>
        <v>12.651269203910617</v>
      </c>
      <c r="U16" s="216">
        <f>(INDEX('Dermal Calcs'!$B$46:$L$52, MATCH($R16,'Dermal Calcs'!$A$46:$A$52, 0), MATCH(U$3, 'Dermal Calcs'!$B$45:$L$45, 0)))*$Q16*F16</f>
        <v>13.834172535211268</v>
      </c>
      <c r="V16" s="216">
        <f>(INDEX('Dermal Calcs'!$B$46:$L$52, MATCH($R16,'Dermal Calcs'!$A$46:$A$52, 0), MATCH(V$3, 'Dermal Calcs'!$B$45:$L$45, 0)))*$Q16*G16</f>
        <v>0</v>
      </c>
      <c r="W16" s="216">
        <f>(INDEX('Dermal Calcs'!$B$46:$L$52, MATCH($R16,'Dermal Calcs'!$A$46:$A$52, 0), MATCH(W$3, 'Dermal Calcs'!$B$45:$L$45, 0)))*$Q16*H16</f>
        <v>0</v>
      </c>
      <c r="X16" s="216">
        <f>(INDEX('Dermal Calcs'!$B$46:$L$52, MATCH($R16,'Dermal Calcs'!$A$46:$A$52, 0), MATCH(X$3, 'Dermal Calcs'!$B$45:$L$45, 0)))*$Q16*I16</f>
        <v>0</v>
      </c>
      <c r="Y16" s="216">
        <f>(INDEX('Dermal Calcs'!$B$46:$L$52, MATCH($R16,'Dermal Calcs'!$A$46:$A$52, 0), MATCH(Y$3, 'Dermal Calcs'!$B$45:$L$45, 0)))*$Q16*J16</f>
        <v>0</v>
      </c>
      <c r="Z16" s="217">
        <f t="shared" si="12"/>
        <v>0.25927945082511505</v>
      </c>
      <c r="AA16" s="217">
        <f t="shared" si="13"/>
        <v>0.24262708062294336</v>
      </c>
      <c r="AB16" s="217">
        <f t="shared" si="14"/>
        <v>0.26531289793555857</v>
      </c>
      <c r="AC16" s="217">
        <f t="shared" si="15"/>
        <v>0</v>
      </c>
      <c r="AD16" s="217">
        <f t="shared" si="16"/>
        <v>0</v>
      </c>
      <c r="AE16" s="217">
        <f t="shared" si="17"/>
        <v>0</v>
      </c>
      <c r="AF16" s="217">
        <f t="shared" si="18"/>
        <v>0</v>
      </c>
      <c r="AG16" s="217">
        <f t="shared" si="19"/>
        <v>13.519571364452428</v>
      </c>
      <c r="AH16" s="217">
        <f t="shared" si="20"/>
        <v>12.651269203910617</v>
      </c>
      <c r="AI16" s="217">
        <f t="shared" si="21"/>
        <v>13.834172535211268</v>
      </c>
      <c r="AJ16" s="217">
        <f t="shared" si="22"/>
        <v>0</v>
      </c>
      <c r="AK16" s="217">
        <f t="shared" si="23"/>
        <v>0</v>
      </c>
      <c r="AL16" s="217">
        <f t="shared" si="24"/>
        <v>0</v>
      </c>
      <c r="AM16" s="498">
        <f t="shared" si="25"/>
        <v>0</v>
      </c>
      <c r="AN16" s="218">
        <f t="shared" si="3"/>
        <v>0.71035465979483581</v>
      </c>
      <c r="AO16" s="219">
        <f t="shared" si="3"/>
        <v>0.66473172773409139</v>
      </c>
      <c r="AP16" s="219">
        <f t="shared" si="3"/>
        <v>0.72688465187824269</v>
      </c>
      <c r="AQ16" s="219">
        <f t="shared" si="3"/>
        <v>0</v>
      </c>
      <c r="AR16" s="219">
        <f t="shared" si="3"/>
        <v>0</v>
      </c>
      <c r="AS16" s="219">
        <f t="shared" si="3"/>
        <v>0</v>
      </c>
      <c r="AT16" s="220">
        <f t="shared" si="3"/>
        <v>0</v>
      </c>
      <c r="AU16" s="219">
        <f t="shared" si="4"/>
        <v>13519.571364452428</v>
      </c>
      <c r="AV16" s="219">
        <f t="shared" si="4"/>
        <v>12651.269203910617</v>
      </c>
      <c r="AW16" s="219">
        <f t="shared" si="4"/>
        <v>13834.172535211268</v>
      </c>
      <c r="AX16" s="219">
        <f t="shared" si="4"/>
        <v>0</v>
      </c>
      <c r="AY16" s="219">
        <f t="shared" si="4"/>
        <v>0</v>
      </c>
      <c r="AZ16" s="219">
        <f t="shared" si="4"/>
        <v>0</v>
      </c>
      <c r="BA16" s="220">
        <f t="shared" si="4"/>
        <v>0</v>
      </c>
      <c r="BB16" s="221">
        <f t="shared" si="5"/>
        <v>0.71035465979483581</v>
      </c>
      <c r="BC16" s="222">
        <f t="shared" si="6"/>
        <v>0.69580818980616699</v>
      </c>
      <c r="BD16" s="223">
        <f t="shared" si="7"/>
        <v>0</v>
      </c>
      <c r="BE16" s="221">
        <f t="shared" si="8"/>
        <v>13519.571364452428</v>
      </c>
      <c r="BF16" s="222">
        <f t="shared" si="9"/>
        <v>13242.720869560942</v>
      </c>
      <c r="BG16" s="223">
        <f t="shared" si="10"/>
        <v>0</v>
      </c>
      <c r="BH16" s="472"/>
      <c r="BI16" s="472"/>
      <c r="BJ16" s="472"/>
      <c r="BK16" s="472"/>
      <c r="BL16" s="772" t="s">
        <v>601</v>
      </c>
      <c r="BM16" s="481" t="s">
        <v>388</v>
      </c>
      <c r="BN16" s="243">
        <v>4</v>
      </c>
      <c r="BO16" s="243">
        <v>1</v>
      </c>
      <c r="BP16" s="243">
        <v>9.8099999999999993E-3</v>
      </c>
      <c r="BQ16" s="244">
        <v>2.182725</v>
      </c>
      <c r="BR16" s="250">
        <v>9.389999999999999E-3</v>
      </c>
      <c r="BS16" s="511" t="s">
        <v>595</v>
      </c>
      <c r="BT16" s="365"/>
      <c r="BU16" s="365"/>
      <c r="BV16" s="365"/>
      <c r="BW16" s="365"/>
      <c r="BX16" s="365"/>
      <c r="BY16" s="365"/>
      <c r="BZ16" s="365"/>
      <c r="CA16" s="365"/>
      <c r="CB16" s="365"/>
      <c r="CC16" s="365"/>
      <c r="CD16" s="365"/>
      <c r="CE16" s="365"/>
      <c r="CF16" s="365"/>
      <c r="CG16" s="365"/>
      <c r="CH16" s="365"/>
      <c r="CI16" s="365"/>
      <c r="CJ16" s="365"/>
      <c r="CK16" s="365"/>
      <c r="CL16" s="365"/>
      <c r="CM16" s="365"/>
      <c r="CN16" s="365"/>
      <c r="CO16" s="365"/>
      <c r="CP16" s="365"/>
      <c r="CQ16" s="365"/>
      <c r="CR16" s="365"/>
      <c r="CS16" s="365"/>
      <c r="CT16" s="365"/>
      <c r="CU16" s="365"/>
      <c r="CV16" s="365"/>
      <c r="CW16" s="365"/>
      <c r="CX16" s="365"/>
      <c r="CY16" s="365"/>
      <c r="CZ16" s="365"/>
      <c r="DA16" s="365"/>
      <c r="DB16" s="365"/>
      <c r="DC16" s="365"/>
      <c r="DD16" s="365"/>
      <c r="DE16" s="365"/>
      <c r="DF16" s="365"/>
      <c r="DG16" s="365"/>
      <c r="DH16" s="365"/>
      <c r="DI16" s="365"/>
      <c r="DJ16" s="365"/>
      <c r="DK16" s="365"/>
      <c r="DL16" s="365"/>
      <c r="DM16" s="365"/>
      <c r="DN16" s="365"/>
      <c r="DO16" s="365"/>
      <c r="DP16" s="365"/>
      <c r="DQ16" s="365"/>
      <c r="DR16" s="365"/>
      <c r="DS16" s="365"/>
      <c r="DT16" s="365"/>
      <c r="DU16" s="365"/>
      <c r="DV16" s="365"/>
      <c r="DW16" s="365"/>
      <c r="DX16" s="365"/>
      <c r="DY16" s="365"/>
      <c r="DZ16" s="365"/>
      <c r="EA16" s="365"/>
    </row>
    <row r="17" spans="1:131" s="110" customFormat="1" ht="14.4" customHeight="1">
      <c r="A17" s="735"/>
      <c r="B17" s="296" t="s">
        <v>596</v>
      </c>
      <c r="C17" s="732"/>
      <c r="D17" s="211">
        <v>1</v>
      </c>
      <c r="E17" s="152">
        <v>1</v>
      </c>
      <c r="F17" s="152">
        <v>1</v>
      </c>
      <c r="G17" s="152">
        <f>Product_Inputs!I14</f>
        <v>0</v>
      </c>
      <c r="H17" s="152">
        <f>Product_Inputs!I14</f>
        <v>0</v>
      </c>
      <c r="I17" s="152">
        <f>Product_Inputs!I14</f>
        <v>0</v>
      </c>
      <c r="J17" s="212">
        <v>0</v>
      </c>
      <c r="K17" s="213">
        <f>Product_Inputs!I23</f>
        <v>0.13750000000000001</v>
      </c>
      <c r="L17" s="124">
        <f>L16</f>
        <v>7</v>
      </c>
      <c r="M17" s="124">
        <f>M16</f>
        <v>1</v>
      </c>
      <c r="N17" s="124">
        <v>9.8099999999999993E-3</v>
      </c>
      <c r="O17" s="214">
        <f>Product_Inputs!$I$39*1000*K17*N17</f>
        <v>1.2004987499999999</v>
      </c>
      <c r="P17" s="60">
        <f>$B$57</f>
        <v>1</v>
      </c>
      <c r="Q17" s="195">
        <f t="shared" si="11"/>
        <v>1.2004987499999999</v>
      </c>
      <c r="R17" s="215" t="s">
        <v>597</v>
      </c>
      <c r="S17" s="216">
        <f>(INDEX('Dermal Calcs'!$B$46:$L$52, MATCH($R17,'Dermal Calcs'!$A$46:$A$52, 0), MATCH(S$3, 'Dermal Calcs'!$B$45:$L$45, 0)))*$Q17*D17</f>
        <v>3.7178821252244174</v>
      </c>
      <c r="T17" s="216">
        <f>(INDEX('Dermal Calcs'!$B$46:$L$52, MATCH($R17,'Dermal Calcs'!$A$46:$A$52, 0), MATCH(T$3, 'Dermal Calcs'!$B$45:$L$45, 0)))*$Q17*E17</f>
        <v>3.4790990310754193</v>
      </c>
      <c r="U17" s="216">
        <f>(INDEX('Dermal Calcs'!$B$46:$L$52, MATCH($R17,'Dermal Calcs'!$A$46:$A$52, 0), MATCH(U$3, 'Dermal Calcs'!$B$45:$L$45, 0)))*$Q17*F17</f>
        <v>3.8043974471830988</v>
      </c>
      <c r="V17" s="216">
        <f>(INDEX('Dermal Calcs'!$B$46:$L$52, MATCH($R17,'Dermal Calcs'!$A$46:$A$52, 0), MATCH(V$3, 'Dermal Calcs'!$B$45:$L$45, 0)))*$Q17*G17</f>
        <v>0</v>
      </c>
      <c r="W17" s="216">
        <f>(INDEX('Dermal Calcs'!$B$46:$L$52, MATCH($R17,'Dermal Calcs'!$A$46:$A$52, 0), MATCH(W$3, 'Dermal Calcs'!$B$45:$L$45, 0)))*$Q17*H17</f>
        <v>0</v>
      </c>
      <c r="X17" s="216">
        <f>(INDEX('Dermal Calcs'!$B$46:$L$52, MATCH($R17,'Dermal Calcs'!$A$46:$A$52, 0), MATCH(X$3, 'Dermal Calcs'!$B$45:$L$45, 0)))*$Q17*I17</f>
        <v>0</v>
      </c>
      <c r="Y17" s="216">
        <f>(INDEX('Dermal Calcs'!$B$46:$L$52, MATCH($R17,'Dermal Calcs'!$A$46:$A$52, 0), MATCH(Y$3, 'Dermal Calcs'!$B$45:$L$45, 0)))*$Q17*J17</f>
        <v>0</v>
      </c>
      <c r="Z17" s="217">
        <f t="shared" si="12"/>
        <v>7.130184897690664E-2</v>
      </c>
      <c r="AA17" s="217">
        <f t="shared" si="13"/>
        <v>6.6722447171309401E-2</v>
      </c>
      <c r="AB17" s="217">
        <f t="shared" si="14"/>
        <v>7.2961046932278603E-2</v>
      </c>
      <c r="AC17" s="217">
        <f t="shared" si="15"/>
        <v>0</v>
      </c>
      <c r="AD17" s="217">
        <f t="shared" si="16"/>
        <v>0</v>
      </c>
      <c r="AE17" s="217">
        <f t="shared" si="17"/>
        <v>0</v>
      </c>
      <c r="AF17" s="217">
        <f t="shared" si="18"/>
        <v>0</v>
      </c>
      <c r="AG17" s="217">
        <f t="shared" si="19"/>
        <v>3.7178821252244174</v>
      </c>
      <c r="AH17" s="217">
        <f t="shared" si="20"/>
        <v>3.4790990310754193</v>
      </c>
      <c r="AI17" s="217">
        <f t="shared" si="21"/>
        <v>3.8043974471830988</v>
      </c>
      <c r="AJ17" s="217">
        <f t="shared" si="22"/>
        <v>0</v>
      </c>
      <c r="AK17" s="217">
        <f t="shared" si="23"/>
        <v>0</v>
      </c>
      <c r="AL17" s="217">
        <f t="shared" si="24"/>
        <v>0</v>
      </c>
      <c r="AM17" s="498">
        <f t="shared" si="25"/>
        <v>0</v>
      </c>
      <c r="AN17" s="218">
        <f t="shared" si="3"/>
        <v>0.19534753144357983</v>
      </c>
      <c r="AO17" s="219">
        <f t="shared" si="3"/>
        <v>0.18280122512687505</v>
      </c>
      <c r="AP17" s="219">
        <f t="shared" si="3"/>
        <v>0.19989327926651673</v>
      </c>
      <c r="AQ17" s="219">
        <f t="shared" si="3"/>
        <v>0</v>
      </c>
      <c r="AR17" s="219">
        <f t="shared" si="3"/>
        <v>0</v>
      </c>
      <c r="AS17" s="219">
        <f t="shared" si="3"/>
        <v>0</v>
      </c>
      <c r="AT17" s="220">
        <f t="shared" si="3"/>
        <v>0</v>
      </c>
      <c r="AU17" s="219">
        <f t="shared" si="4"/>
        <v>3717.8821252244175</v>
      </c>
      <c r="AV17" s="219">
        <f t="shared" si="4"/>
        <v>3479.0990310754191</v>
      </c>
      <c r="AW17" s="219">
        <f t="shared" si="4"/>
        <v>3804.3974471830988</v>
      </c>
      <c r="AX17" s="219">
        <f t="shared" si="4"/>
        <v>0</v>
      </c>
      <c r="AY17" s="219">
        <f t="shared" si="4"/>
        <v>0</v>
      </c>
      <c r="AZ17" s="219">
        <f t="shared" si="4"/>
        <v>0</v>
      </c>
      <c r="BA17" s="220">
        <f t="shared" si="4"/>
        <v>0</v>
      </c>
      <c r="BB17" s="224">
        <f t="shared" si="5"/>
        <v>0.19534753144357983</v>
      </c>
      <c r="BC17" s="54">
        <f t="shared" si="6"/>
        <v>0.19134725219669591</v>
      </c>
      <c r="BD17" s="225">
        <f t="shared" si="7"/>
        <v>0</v>
      </c>
      <c r="BE17" s="224">
        <f t="shared" si="8"/>
        <v>3717.8821252244175</v>
      </c>
      <c r="BF17" s="54">
        <f t="shared" si="9"/>
        <v>3641.7482391292592</v>
      </c>
      <c r="BG17" s="473">
        <f t="shared" si="10"/>
        <v>0</v>
      </c>
      <c r="BH17" s="472"/>
      <c r="BI17" s="472"/>
      <c r="BJ17" s="472"/>
      <c r="BK17" s="472"/>
      <c r="BL17" s="773"/>
      <c r="BM17" s="480" t="s">
        <v>598</v>
      </c>
      <c r="BN17" s="124">
        <v>4</v>
      </c>
      <c r="BO17" s="124">
        <v>1</v>
      </c>
      <c r="BP17" s="124">
        <v>9.8099999999999993E-3</v>
      </c>
      <c r="BQ17" s="214">
        <v>1.2004987499999999</v>
      </c>
      <c r="BR17" s="69">
        <v>5.0000000000000001E-4</v>
      </c>
      <c r="BS17" s="509" t="s">
        <v>597</v>
      </c>
      <c r="BT17" s="365"/>
      <c r="BU17" s="365"/>
      <c r="BV17" s="365"/>
      <c r="BW17" s="365"/>
      <c r="BX17" s="365"/>
      <c r="BY17" s="365"/>
      <c r="BZ17" s="365"/>
      <c r="CA17" s="365"/>
      <c r="CB17" s="365"/>
      <c r="CC17" s="365"/>
      <c r="CD17" s="365"/>
      <c r="CE17" s="365"/>
      <c r="CF17" s="365"/>
      <c r="CG17" s="365"/>
      <c r="CH17" s="365"/>
      <c r="CI17" s="365"/>
      <c r="CJ17" s="365"/>
      <c r="CK17" s="365"/>
      <c r="CL17" s="365"/>
      <c r="CM17" s="365"/>
      <c r="CN17" s="365"/>
      <c r="CO17" s="365"/>
      <c r="CP17" s="365"/>
      <c r="CQ17" s="365"/>
      <c r="CR17" s="365"/>
      <c r="CS17" s="365"/>
      <c r="CT17" s="365"/>
      <c r="CU17" s="365"/>
      <c r="CV17" s="365"/>
      <c r="CW17" s="365"/>
      <c r="CX17" s="365"/>
      <c r="CY17" s="365"/>
      <c r="CZ17" s="365"/>
      <c r="DA17" s="365"/>
      <c r="DB17" s="365"/>
      <c r="DC17" s="365"/>
      <c r="DD17" s="365"/>
      <c r="DE17" s="365"/>
      <c r="DF17" s="365"/>
      <c r="DG17" s="365"/>
      <c r="DH17" s="365"/>
      <c r="DI17" s="365"/>
      <c r="DJ17" s="365"/>
      <c r="DK17" s="365"/>
      <c r="DL17" s="365"/>
      <c r="DM17" s="365"/>
      <c r="DN17" s="365"/>
      <c r="DO17" s="365"/>
      <c r="DP17" s="365"/>
      <c r="DQ17" s="365"/>
      <c r="DR17" s="365"/>
      <c r="DS17" s="365"/>
      <c r="DT17" s="365"/>
      <c r="DU17" s="365"/>
      <c r="DV17" s="365"/>
      <c r="DW17" s="365"/>
      <c r="DX17" s="365"/>
      <c r="DY17" s="365"/>
      <c r="DZ17" s="365"/>
      <c r="EA17" s="365"/>
    </row>
    <row r="18" spans="1:131" s="238" customFormat="1" ht="14.4" customHeight="1" thickBot="1">
      <c r="A18" s="736"/>
      <c r="B18" s="297" t="s">
        <v>390</v>
      </c>
      <c r="C18" s="733"/>
      <c r="D18" s="306">
        <v>1</v>
      </c>
      <c r="E18" s="227">
        <v>1</v>
      </c>
      <c r="F18" s="227">
        <v>1</v>
      </c>
      <c r="G18" s="227">
        <f>Product_Inputs!I15</f>
        <v>0</v>
      </c>
      <c r="H18" s="227">
        <f>Product_Inputs!I15</f>
        <v>0</v>
      </c>
      <c r="I18" s="227">
        <f>Product_Inputs!I15</f>
        <v>0</v>
      </c>
      <c r="J18" s="228">
        <v>0</v>
      </c>
      <c r="K18" s="229">
        <f>Product_Inputs!I24</f>
        <v>7.0000000000000007E-2</v>
      </c>
      <c r="L18" s="230">
        <f>L16</f>
        <v>7</v>
      </c>
      <c r="M18" s="230">
        <f>M16</f>
        <v>1</v>
      </c>
      <c r="N18" s="230">
        <v>9.8099999999999993E-3</v>
      </c>
      <c r="O18" s="231">
        <f>Product_Inputs!$I$39*1000*K18*N18</f>
        <v>0.61116300000000001</v>
      </c>
      <c r="P18" s="232">
        <f>$B$58</f>
        <v>1</v>
      </c>
      <c r="Q18" s="233">
        <f t="shared" si="11"/>
        <v>0.61116300000000001</v>
      </c>
      <c r="R18" s="234" t="s">
        <v>599</v>
      </c>
      <c r="S18" s="216">
        <f>(INDEX('Dermal Calcs'!$B$46:$L$52, MATCH($R18,'Dermal Calcs'!$A$46:$A$52, 0), MATCH(S$3, 'Dermal Calcs'!$B$45:$L$45, 0)))*$Q18*D18</f>
        <v>0.757095996409336</v>
      </c>
      <c r="T18" s="216">
        <f>(INDEX('Dermal Calcs'!$B$46:$L$52, MATCH($R18,'Dermal Calcs'!$A$46:$A$52, 0), MATCH(T$3, 'Dermal Calcs'!$B$45:$L$45, 0)))*$Q18*E18</f>
        <v>0.70847107541899457</v>
      </c>
      <c r="U18" s="216">
        <f>(INDEX('Dermal Calcs'!$B$46:$L$52, MATCH($R18,'Dermal Calcs'!$A$46:$A$52, 0), MATCH(U$3, 'Dermal Calcs'!$B$45:$L$45, 0)))*$Q18*F18</f>
        <v>0.774713661971831</v>
      </c>
      <c r="V18" s="216">
        <f>(INDEX('Dermal Calcs'!$B$46:$L$52, MATCH($R18,'Dermal Calcs'!$A$46:$A$52, 0), MATCH(V$3, 'Dermal Calcs'!$B$45:$L$45, 0)))*$Q18*G18</f>
        <v>0</v>
      </c>
      <c r="W18" s="216">
        <f>(INDEX('Dermal Calcs'!$B$46:$L$52, MATCH($R18,'Dermal Calcs'!$A$46:$A$52, 0), MATCH(W$3, 'Dermal Calcs'!$B$45:$L$45, 0)))*$Q18*H18</f>
        <v>0</v>
      </c>
      <c r="X18" s="216">
        <f>(INDEX('Dermal Calcs'!$B$46:$L$52, MATCH($R18,'Dermal Calcs'!$A$46:$A$52, 0), MATCH(X$3, 'Dermal Calcs'!$B$45:$L$45, 0)))*$Q18*I18</f>
        <v>0</v>
      </c>
      <c r="Y18" s="216">
        <f>(INDEX('Dermal Calcs'!$B$46:$L$52, MATCH($R18,'Dermal Calcs'!$A$46:$A$52, 0), MATCH(Y$3, 'Dermal Calcs'!$B$45:$L$45, 0)))*$Q18*J18</f>
        <v>0</v>
      </c>
      <c r="Z18" s="217">
        <f t="shared" si="12"/>
        <v>1.4519649246206443E-2</v>
      </c>
      <c r="AA18" s="217">
        <f t="shared" si="13"/>
        <v>1.3587116514884827E-2</v>
      </c>
      <c r="AB18" s="217">
        <f t="shared" si="14"/>
        <v>1.4857522284391279E-2</v>
      </c>
      <c r="AC18" s="217">
        <f t="shared" si="15"/>
        <v>0</v>
      </c>
      <c r="AD18" s="217">
        <f t="shared" si="16"/>
        <v>0</v>
      </c>
      <c r="AE18" s="217">
        <f t="shared" si="17"/>
        <v>0</v>
      </c>
      <c r="AF18" s="217">
        <f t="shared" si="18"/>
        <v>0</v>
      </c>
      <c r="AG18" s="217">
        <f t="shared" si="19"/>
        <v>0.757095996409336</v>
      </c>
      <c r="AH18" s="217">
        <f t="shared" si="20"/>
        <v>0.70847107541899457</v>
      </c>
      <c r="AI18" s="217">
        <f t="shared" si="21"/>
        <v>0.774713661971831</v>
      </c>
      <c r="AJ18" s="217">
        <f t="shared" si="22"/>
        <v>0</v>
      </c>
      <c r="AK18" s="217">
        <f t="shared" si="23"/>
        <v>0</v>
      </c>
      <c r="AL18" s="217">
        <f t="shared" si="24"/>
        <v>0</v>
      </c>
      <c r="AM18" s="498">
        <f t="shared" si="25"/>
        <v>0</v>
      </c>
      <c r="AN18" s="218">
        <f t="shared" si="3"/>
        <v>3.9779860948510805E-2</v>
      </c>
      <c r="AO18" s="219">
        <f t="shared" si="3"/>
        <v>3.7224976753109117E-2</v>
      </c>
      <c r="AP18" s="219">
        <f t="shared" si="3"/>
        <v>4.0705540505181589E-2</v>
      </c>
      <c r="AQ18" s="219">
        <f t="shared" si="3"/>
        <v>0</v>
      </c>
      <c r="AR18" s="219">
        <f t="shared" si="3"/>
        <v>0</v>
      </c>
      <c r="AS18" s="219">
        <f t="shared" si="3"/>
        <v>0</v>
      </c>
      <c r="AT18" s="220">
        <f t="shared" si="3"/>
        <v>0</v>
      </c>
      <c r="AU18" s="219">
        <f t="shared" si="4"/>
        <v>757.09599640933595</v>
      </c>
      <c r="AV18" s="219">
        <f t="shared" si="4"/>
        <v>708.47107541899459</v>
      </c>
      <c r="AW18" s="219">
        <f t="shared" si="4"/>
        <v>774.71366197183102</v>
      </c>
      <c r="AX18" s="219">
        <f t="shared" si="4"/>
        <v>0</v>
      </c>
      <c r="AY18" s="219">
        <f t="shared" si="4"/>
        <v>0</v>
      </c>
      <c r="AZ18" s="219">
        <f t="shared" si="4"/>
        <v>0</v>
      </c>
      <c r="BA18" s="220">
        <f t="shared" si="4"/>
        <v>0</v>
      </c>
      <c r="BB18" s="235">
        <f t="shared" si="5"/>
        <v>3.9779860948510805E-2</v>
      </c>
      <c r="BC18" s="236">
        <f t="shared" si="6"/>
        <v>3.896525862914535E-2</v>
      </c>
      <c r="BD18" s="237">
        <f t="shared" si="7"/>
        <v>0</v>
      </c>
      <c r="BE18" s="235">
        <f t="shared" si="8"/>
        <v>757.09599640933595</v>
      </c>
      <c r="BF18" s="236">
        <f t="shared" si="9"/>
        <v>741.5923686954128</v>
      </c>
      <c r="BG18" s="237">
        <f t="shared" si="10"/>
        <v>0</v>
      </c>
      <c r="BH18" s="472"/>
      <c r="BI18" s="472"/>
      <c r="BJ18" s="472"/>
      <c r="BK18" s="472"/>
      <c r="BL18" s="780"/>
      <c r="BM18" s="482" t="s">
        <v>390</v>
      </c>
      <c r="BN18" s="230">
        <v>4</v>
      </c>
      <c r="BO18" s="230">
        <v>1</v>
      </c>
      <c r="BP18" s="230">
        <v>9.8099999999999993E-3</v>
      </c>
      <c r="BQ18" s="231">
        <v>0.61116300000000001</v>
      </c>
      <c r="BR18" s="232">
        <v>4.0000000000000003E-5</v>
      </c>
      <c r="BS18" s="510" t="s">
        <v>599</v>
      </c>
      <c r="BT18" s="365"/>
      <c r="BU18" s="365"/>
      <c r="BV18" s="365"/>
      <c r="BW18" s="365"/>
      <c r="BX18" s="365"/>
      <c r="BY18" s="365"/>
      <c r="BZ18" s="365"/>
      <c r="CA18" s="365"/>
      <c r="CB18" s="365"/>
      <c r="CC18" s="365"/>
      <c r="CD18" s="365"/>
      <c r="CE18" s="365"/>
      <c r="CF18" s="365"/>
      <c r="CG18" s="365"/>
      <c r="CH18" s="365"/>
      <c r="CI18" s="365"/>
      <c r="CJ18" s="365"/>
      <c r="CK18" s="365"/>
      <c r="CL18" s="365"/>
      <c r="CM18" s="365"/>
      <c r="CN18" s="365"/>
      <c r="CO18" s="365"/>
      <c r="CP18" s="365"/>
      <c r="CQ18" s="365"/>
      <c r="CR18" s="365"/>
      <c r="CS18" s="365"/>
      <c r="CT18" s="365"/>
      <c r="CU18" s="365"/>
      <c r="CV18" s="365"/>
      <c r="CW18" s="365"/>
      <c r="CX18" s="365"/>
      <c r="CY18" s="365"/>
      <c r="CZ18" s="365"/>
      <c r="DA18" s="365"/>
      <c r="DB18" s="365"/>
      <c r="DC18" s="365"/>
      <c r="DD18" s="365"/>
      <c r="DE18" s="365"/>
      <c r="DF18" s="365"/>
      <c r="DG18" s="365"/>
      <c r="DH18" s="365"/>
      <c r="DI18" s="365"/>
      <c r="DJ18" s="365"/>
      <c r="DK18" s="365"/>
      <c r="DL18" s="365"/>
      <c r="DM18" s="365"/>
      <c r="DN18" s="365"/>
      <c r="DO18" s="365"/>
      <c r="DP18" s="365"/>
      <c r="DQ18" s="365"/>
      <c r="DR18" s="365"/>
      <c r="DS18" s="365"/>
      <c r="DT18" s="365"/>
      <c r="DU18" s="365"/>
      <c r="DV18" s="365"/>
      <c r="DW18" s="365"/>
      <c r="DX18" s="365"/>
      <c r="DY18" s="365"/>
      <c r="DZ18" s="365"/>
      <c r="EA18" s="365"/>
    </row>
    <row r="19" spans="1:131" s="110" customFormat="1" ht="14.4" customHeight="1" thickTop="1">
      <c r="A19" s="734" t="str">
        <f>Product_Inputs!J1</f>
        <v>Pet Care</v>
      </c>
      <c r="B19" s="299" t="s">
        <v>388</v>
      </c>
      <c r="C19" s="737" t="s">
        <v>372</v>
      </c>
      <c r="D19" s="304">
        <v>1</v>
      </c>
      <c r="E19" s="305">
        <v>1</v>
      </c>
      <c r="F19" s="305">
        <v>1</v>
      </c>
      <c r="G19" s="240">
        <v>0</v>
      </c>
      <c r="H19" s="240">
        <f>Product_Inputs!J13</f>
        <v>0</v>
      </c>
      <c r="I19" s="240">
        <f>Product_Inputs!J13</f>
        <v>0</v>
      </c>
      <c r="J19" s="241">
        <f>Product_Inputs!J13</f>
        <v>0</v>
      </c>
      <c r="K19" s="242">
        <f>Product_Inputs!J22</f>
        <v>0.05</v>
      </c>
      <c r="L19" s="243">
        <f>Product_Inputs!J6</f>
        <v>52</v>
      </c>
      <c r="M19" s="243">
        <f>Product_Inputs!J5</f>
        <v>1</v>
      </c>
      <c r="N19" s="243">
        <v>3.2499999999999999E-3</v>
      </c>
      <c r="O19" s="244">
        <f>Product_Inputs!$J$39*K19*N19</f>
        <v>1.6249999999999999E-4</v>
      </c>
      <c r="P19" s="60">
        <f>$B$56</f>
        <v>1</v>
      </c>
      <c r="Q19" s="245">
        <f t="shared" si="11"/>
        <v>1.6249999999999999E-4</v>
      </c>
      <c r="R19" s="246" t="s">
        <v>595</v>
      </c>
      <c r="S19" s="216">
        <f>(INDEX('Dermal Calcs'!$B$46:$L$52, MATCH($R19,'Dermal Calcs'!$A$46:$A$52, 0), MATCH(S$3, 'Dermal Calcs'!$B$45:$L$45, 0)))*$Q19*D19</f>
        <v>1.0065080789946142E-3</v>
      </c>
      <c r="T19" s="216">
        <f>(INDEX('Dermal Calcs'!$B$46:$L$52, MATCH($R19,'Dermal Calcs'!$A$46:$A$52, 0), MATCH(T$3, 'Dermal Calcs'!$B$45:$L$45, 0)))*$Q19*E19</f>
        <v>9.4186452513966487E-4</v>
      </c>
      <c r="U19" s="216">
        <f>(INDEX('Dermal Calcs'!$B$46:$L$52, MATCH($R19,'Dermal Calcs'!$A$46:$A$52, 0), MATCH(U$3, 'Dermal Calcs'!$B$45:$L$45, 0)))*$Q19*F19</f>
        <v>1.0299295774647888E-3</v>
      </c>
      <c r="V19" s="216">
        <f>(INDEX('Dermal Calcs'!$B$46:$L$52, MATCH($R19,'Dermal Calcs'!$A$46:$A$52, 0), MATCH(V$3, 'Dermal Calcs'!$B$45:$L$45, 0)))*$Q19*G19</f>
        <v>0</v>
      </c>
      <c r="W19" s="216">
        <f>(INDEX('Dermal Calcs'!$B$46:$L$52, MATCH($R19,'Dermal Calcs'!$A$46:$A$52, 0), MATCH(W$3, 'Dermal Calcs'!$B$45:$L$45, 0)))*$Q19*H19</f>
        <v>0</v>
      </c>
      <c r="X19" s="216">
        <f>(INDEX('Dermal Calcs'!$B$46:$L$52, MATCH($R19,'Dermal Calcs'!$A$46:$A$52, 0), MATCH(X$3, 'Dermal Calcs'!$B$45:$L$45, 0)))*$Q19*I19</f>
        <v>0</v>
      </c>
      <c r="Y19" s="216">
        <f>(INDEX('Dermal Calcs'!$B$46:$L$52, MATCH($R19,'Dermal Calcs'!$A$46:$A$52, 0), MATCH(Y$3, 'Dermal Calcs'!$B$45:$L$45, 0)))*$Q19*J19</f>
        <v>0</v>
      </c>
      <c r="Z19" s="217">
        <f t="shared" si="12"/>
        <v>1.4339293180197241E-4</v>
      </c>
      <c r="AA19" s="217">
        <f t="shared" si="13"/>
        <v>1.3418343919797965E-4</v>
      </c>
      <c r="AB19" s="217">
        <f t="shared" si="14"/>
        <v>1.4672969322786033E-4</v>
      </c>
      <c r="AC19" s="217">
        <f t="shared" si="15"/>
        <v>0</v>
      </c>
      <c r="AD19" s="217">
        <f t="shared" si="16"/>
        <v>0</v>
      </c>
      <c r="AE19" s="217">
        <f t="shared" si="17"/>
        <v>0</v>
      </c>
      <c r="AF19" s="217">
        <f t="shared" si="18"/>
        <v>0</v>
      </c>
      <c r="AG19" s="217">
        <f t="shared" si="19"/>
        <v>1.0065080789946142E-3</v>
      </c>
      <c r="AH19" s="217">
        <f t="shared" si="20"/>
        <v>9.4186452513966487E-4</v>
      </c>
      <c r="AI19" s="217">
        <f t="shared" si="21"/>
        <v>1.0299295774647888E-3</v>
      </c>
      <c r="AJ19" s="217">
        <f t="shared" si="22"/>
        <v>0</v>
      </c>
      <c r="AK19" s="217">
        <f t="shared" si="23"/>
        <v>0</v>
      </c>
      <c r="AL19" s="217">
        <f t="shared" si="24"/>
        <v>0</v>
      </c>
      <c r="AM19" s="498">
        <f t="shared" si="25"/>
        <v>0</v>
      </c>
      <c r="AN19" s="218">
        <f t="shared" si="3"/>
        <v>3.9285734740266413E-4</v>
      </c>
      <c r="AO19" s="219">
        <f t="shared" si="3"/>
        <v>3.6762586081638259E-4</v>
      </c>
      <c r="AP19" s="219">
        <f t="shared" si="3"/>
        <v>4.0199915952838448E-4</v>
      </c>
      <c r="AQ19" s="219">
        <f t="shared" si="3"/>
        <v>0</v>
      </c>
      <c r="AR19" s="219">
        <f t="shared" si="3"/>
        <v>0</v>
      </c>
      <c r="AS19" s="219">
        <f t="shared" si="3"/>
        <v>0</v>
      </c>
      <c r="AT19" s="220">
        <f t="shared" si="3"/>
        <v>0</v>
      </c>
      <c r="AU19" s="219">
        <f t="shared" si="4"/>
        <v>1.0065080789946141</v>
      </c>
      <c r="AV19" s="219">
        <f t="shared" si="4"/>
        <v>0.9418645251396649</v>
      </c>
      <c r="AW19" s="219">
        <f t="shared" si="4"/>
        <v>1.0299295774647887</v>
      </c>
      <c r="AX19" s="219">
        <f t="shared" si="4"/>
        <v>0</v>
      </c>
      <c r="AY19" s="219">
        <f t="shared" si="4"/>
        <v>0</v>
      </c>
      <c r="AZ19" s="219">
        <f t="shared" si="4"/>
        <v>0</v>
      </c>
      <c r="BA19" s="220">
        <f t="shared" si="4"/>
        <v>0</v>
      </c>
      <c r="BB19" s="221">
        <f t="shared" si="5"/>
        <v>3.9285734740266413E-4</v>
      </c>
      <c r="BC19" s="222">
        <f t="shared" si="6"/>
        <v>3.8481251017238356E-4</v>
      </c>
      <c r="BD19" s="223">
        <f t="shared" si="7"/>
        <v>0</v>
      </c>
      <c r="BE19" s="221">
        <f t="shared" si="8"/>
        <v>1.0065080789946141</v>
      </c>
      <c r="BF19" s="222">
        <f t="shared" si="9"/>
        <v>0.98589705130222693</v>
      </c>
      <c r="BG19" s="223">
        <f t="shared" si="10"/>
        <v>0</v>
      </c>
      <c r="BH19" s="472"/>
      <c r="BI19" s="472"/>
      <c r="BJ19" s="472"/>
      <c r="BK19" s="472"/>
      <c r="BL19" s="772" t="s">
        <v>372</v>
      </c>
      <c r="BM19" s="481" t="s">
        <v>388</v>
      </c>
      <c r="BN19" s="243">
        <v>52</v>
      </c>
      <c r="BO19" s="243">
        <v>1</v>
      </c>
      <c r="BP19" s="243">
        <v>3.2499999999999999E-3</v>
      </c>
      <c r="BQ19" s="244">
        <v>1.6249999999999999E-4</v>
      </c>
      <c r="BR19" s="250">
        <v>9.389999999999999E-3</v>
      </c>
      <c r="BS19" s="511" t="s">
        <v>595</v>
      </c>
      <c r="BT19" s="365"/>
      <c r="BU19" s="365"/>
      <c r="BV19" s="365"/>
      <c r="BW19" s="365"/>
      <c r="BX19" s="365"/>
      <c r="BY19" s="365"/>
      <c r="BZ19" s="365"/>
      <c r="CA19" s="365"/>
      <c r="CB19" s="365"/>
      <c r="CC19" s="365"/>
      <c r="CD19" s="365"/>
      <c r="CE19" s="365"/>
      <c r="CF19" s="365"/>
      <c r="CG19" s="365"/>
      <c r="CH19" s="365"/>
      <c r="CI19" s="365"/>
      <c r="CJ19" s="365"/>
      <c r="CK19" s="365"/>
      <c r="CL19" s="365"/>
      <c r="CM19" s="365"/>
      <c r="CN19" s="365"/>
      <c r="CO19" s="365"/>
      <c r="CP19" s="365"/>
      <c r="CQ19" s="365"/>
      <c r="CR19" s="365"/>
      <c r="CS19" s="365"/>
      <c r="CT19" s="365"/>
      <c r="CU19" s="365"/>
      <c r="CV19" s="365"/>
      <c r="CW19" s="365"/>
      <c r="CX19" s="365"/>
      <c r="CY19" s="365"/>
      <c r="CZ19" s="365"/>
      <c r="DA19" s="365"/>
      <c r="DB19" s="365"/>
      <c r="DC19" s="365"/>
      <c r="DD19" s="365"/>
      <c r="DE19" s="365"/>
      <c r="DF19" s="365"/>
      <c r="DG19" s="365"/>
      <c r="DH19" s="365"/>
      <c r="DI19" s="365"/>
      <c r="DJ19" s="365"/>
      <c r="DK19" s="365"/>
      <c r="DL19" s="365"/>
      <c r="DM19" s="365"/>
      <c r="DN19" s="365"/>
      <c r="DO19" s="365"/>
      <c r="DP19" s="365"/>
      <c r="DQ19" s="365"/>
      <c r="DR19" s="365"/>
      <c r="DS19" s="365"/>
      <c r="DT19" s="365"/>
      <c r="DU19" s="365"/>
      <c r="DV19" s="365"/>
      <c r="DW19" s="365"/>
      <c r="DX19" s="365"/>
      <c r="DY19" s="365"/>
      <c r="DZ19" s="365"/>
      <c r="EA19" s="365"/>
    </row>
    <row r="20" spans="1:131" s="110" customFormat="1" ht="14.4" customHeight="1">
      <c r="A20" s="735"/>
      <c r="B20" s="296" t="s">
        <v>596</v>
      </c>
      <c r="C20" s="738"/>
      <c r="D20" s="211">
        <v>1</v>
      </c>
      <c r="E20" s="152">
        <v>1</v>
      </c>
      <c r="F20" s="152">
        <v>1</v>
      </c>
      <c r="G20" s="152">
        <f>Product_Inputs!J14</f>
        <v>0</v>
      </c>
      <c r="H20" s="152">
        <f>Product_Inputs!J14</f>
        <v>0</v>
      </c>
      <c r="I20" s="152">
        <f>Product_Inputs!J14</f>
        <v>0</v>
      </c>
      <c r="J20" s="212">
        <v>0</v>
      </c>
      <c r="K20" s="213">
        <f>Product_Inputs!J23</f>
        <v>0.03</v>
      </c>
      <c r="L20" s="124">
        <f>L19</f>
        <v>52</v>
      </c>
      <c r="M20" s="124">
        <f>M19</f>
        <v>1</v>
      </c>
      <c r="N20" s="124">
        <v>3.2499999999999999E-3</v>
      </c>
      <c r="O20" s="214">
        <f>Product_Inputs!$J$39*K20*N20</f>
        <v>9.7499999999999998E-5</v>
      </c>
      <c r="P20" s="60">
        <f>$B$57</f>
        <v>1</v>
      </c>
      <c r="Q20" s="195">
        <f t="shared" si="11"/>
        <v>9.7499999999999998E-5</v>
      </c>
      <c r="R20" s="215" t="s">
        <v>597</v>
      </c>
      <c r="S20" s="216">
        <f>(INDEX('Dermal Calcs'!$B$46:$L$52, MATCH($R20,'Dermal Calcs'!$A$46:$A$52, 0), MATCH(S$3, 'Dermal Calcs'!$B$45:$L$45, 0)))*$Q20*D20</f>
        <v>3.0195242369838429E-4</v>
      </c>
      <c r="T20" s="216">
        <f>(INDEX('Dermal Calcs'!$B$46:$L$52, MATCH($R20,'Dermal Calcs'!$A$46:$A$52, 0), MATCH(T$3, 'Dermal Calcs'!$B$45:$L$45, 0)))*$Q20*E20</f>
        <v>2.8255935754189945E-4</v>
      </c>
      <c r="U20" s="216">
        <f>(INDEX('Dermal Calcs'!$B$46:$L$52, MATCH($R20,'Dermal Calcs'!$A$46:$A$52, 0), MATCH(U$3, 'Dermal Calcs'!$B$45:$L$45, 0)))*$Q20*F20</f>
        <v>3.0897887323943666E-4</v>
      </c>
      <c r="V20" s="216">
        <f>(INDEX('Dermal Calcs'!$B$46:$L$52, MATCH($R20,'Dermal Calcs'!$A$46:$A$52, 0), MATCH(V$3, 'Dermal Calcs'!$B$45:$L$45, 0)))*$Q20*G20</f>
        <v>0</v>
      </c>
      <c r="W20" s="216">
        <f>(INDEX('Dermal Calcs'!$B$46:$L$52, MATCH($R20,'Dermal Calcs'!$A$46:$A$52, 0), MATCH(W$3, 'Dermal Calcs'!$B$45:$L$45, 0)))*$Q20*H20</f>
        <v>0</v>
      </c>
      <c r="X20" s="216">
        <f>(INDEX('Dermal Calcs'!$B$46:$L$52, MATCH($R20,'Dermal Calcs'!$A$46:$A$52, 0), MATCH(X$3, 'Dermal Calcs'!$B$45:$L$45, 0)))*$Q20*I20</f>
        <v>0</v>
      </c>
      <c r="Y20" s="216">
        <f>(INDEX('Dermal Calcs'!$B$46:$L$52, MATCH($R20,'Dermal Calcs'!$A$46:$A$52, 0), MATCH(Y$3, 'Dermal Calcs'!$B$45:$L$45, 0)))*$Q20*J20</f>
        <v>0</v>
      </c>
      <c r="Z20" s="217">
        <f t="shared" si="12"/>
        <v>4.3017879540591737E-5</v>
      </c>
      <c r="AA20" s="217">
        <f t="shared" si="13"/>
        <v>4.0255031759393895E-5</v>
      </c>
      <c r="AB20" s="217">
        <f t="shared" si="14"/>
        <v>4.4018907968358096E-5</v>
      </c>
      <c r="AC20" s="217">
        <f t="shared" si="15"/>
        <v>0</v>
      </c>
      <c r="AD20" s="217">
        <f t="shared" si="16"/>
        <v>0</v>
      </c>
      <c r="AE20" s="217">
        <f t="shared" si="17"/>
        <v>0</v>
      </c>
      <c r="AF20" s="217">
        <f t="shared" si="18"/>
        <v>0</v>
      </c>
      <c r="AG20" s="217">
        <f t="shared" si="19"/>
        <v>3.0195242369838429E-4</v>
      </c>
      <c r="AH20" s="217">
        <f t="shared" si="20"/>
        <v>2.8255935754189945E-4</v>
      </c>
      <c r="AI20" s="217">
        <f t="shared" si="21"/>
        <v>3.0897887323943666E-4</v>
      </c>
      <c r="AJ20" s="217">
        <f t="shared" si="22"/>
        <v>0</v>
      </c>
      <c r="AK20" s="217">
        <f t="shared" si="23"/>
        <v>0</v>
      </c>
      <c r="AL20" s="217">
        <f t="shared" si="24"/>
        <v>0</v>
      </c>
      <c r="AM20" s="498">
        <f t="shared" si="25"/>
        <v>0</v>
      </c>
      <c r="AN20" s="218">
        <f t="shared" si="3"/>
        <v>1.1785720422079928E-4</v>
      </c>
      <c r="AO20" s="219">
        <f t="shared" si="3"/>
        <v>1.102877582449148E-4</v>
      </c>
      <c r="AP20" s="219">
        <f t="shared" si="3"/>
        <v>1.2059974785851534E-4</v>
      </c>
      <c r="AQ20" s="219">
        <f t="shared" si="3"/>
        <v>0</v>
      </c>
      <c r="AR20" s="219">
        <f t="shared" si="3"/>
        <v>0</v>
      </c>
      <c r="AS20" s="219">
        <f t="shared" si="3"/>
        <v>0</v>
      </c>
      <c r="AT20" s="220">
        <f t="shared" si="3"/>
        <v>0</v>
      </c>
      <c r="AU20" s="219">
        <f t="shared" si="4"/>
        <v>0.30195242369838426</v>
      </c>
      <c r="AV20" s="219">
        <f t="shared" si="4"/>
        <v>0.28255935754189943</v>
      </c>
      <c r="AW20" s="219">
        <f t="shared" si="4"/>
        <v>0.30897887323943668</v>
      </c>
      <c r="AX20" s="219">
        <f t="shared" si="4"/>
        <v>0</v>
      </c>
      <c r="AY20" s="219">
        <f t="shared" si="4"/>
        <v>0</v>
      </c>
      <c r="AZ20" s="219">
        <f t="shared" si="4"/>
        <v>0</v>
      </c>
      <c r="BA20" s="220">
        <f t="shared" si="4"/>
        <v>0</v>
      </c>
      <c r="BB20" s="224">
        <f t="shared" si="5"/>
        <v>1.1785720422079928E-4</v>
      </c>
      <c r="BC20" s="54">
        <f t="shared" si="6"/>
        <v>1.1544375305171506E-4</v>
      </c>
      <c r="BD20" s="225">
        <f t="shared" si="7"/>
        <v>0</v>
      </c>
      <c r="BE20" s="224">
        <f t="shared" si="8"/>
        <v>0.30195242369838426</v>
      </c>
      <c r="BF20" s="54">
        <f t="shared" si="9"/>
        <v>0.29576911539066802</v>
      </c>
      <c r="BG20" s="473">
        <f t="shared" si="10"/>
        <v>0</v>
      </c>
      <c r="BH20" s="472"/>
      <c r="BI20" s="472"/>
      <c r="BJ20" s="472"/>
      <c r="BK20" s="472"/>
      <c r="BL20" s="773"/>
      <c r="BM20" s="480" t="s">
        <v>598</v>
      </c>
      <c r="BN20" s="124">
        <v>52</v>
      </c>
      <c r="BO20" s="124">
        <v>1</v>
      </c>
      <c r="BP20" s="124">
        <v>3.2499999999999999E-3</v>
      </c>
      <c r="BQ20" s="214">
        <v>9.7499999999999998E-5</v>
      </c>
      <c r="BR20" s="69">
        <v>5.0000000000000001E-4</v>
      </c>
      <c r="BS20" s="509" t="s">
        <v>597</v>
      </c>
      <c r="BT20" s="365"/>
      <c r="BU20" s="365"/>
      <c r="BV20" s="365"/>
      <c r="BW20" s="365"/>
      <c r="BX20" s="365"/>
      <c r="BY20" s="365"/>
      <c r="BZ20" s="365"/>
      <c r="CA20" s="365"/>
      <c r="CB20" s="365"/>
      <c r="CC20" s="365"/>
      <c r="CD20" s="365"/>
      <c r="CE20" s="365"/>
      <c r="CF20" s="365"/>
      <c r="CG20" s="365"/>
      <c r="CH20" s="365"/>
      <c r="CI20" s="365"/>
      <c r="CJ20" s="365"/>
      <c r="CK20" s="365"/>
      <c r="CL20" s="365"/>
      <c r="CM20" s="365"/>
      <c r="CN20" s="365"/>
      <c r="CO20" s="365"/>
      <c r="CP20" s="365"/>
      <c r="CQ20" s="365"/>
      <c r="CR20" s="365"/>
      <c r="CS20" s="365"/>
      <c r="CT20" s="365"/>
      <c r="CU20" s="365"/>
      <c r="CV20" s="365"/>
      <c r="CW20" s="365"/>
      <c r="CX20" s="365"/>
      <c r="CY20" s="365"/>
      <c r="CZ20" s="365"/>
      <c r="DA20" s="365"/>
      <c r="DB20" s="365"/>
      <c r="DC20" s="365"/>
      <c r="DD20" s="365"/>
      <c r="DE20" s="365"/>
      <c r="DF20" s="365"/>
      <c r="DG20" s="365"/>
      <c r="DH20" s="365"/>
      <c r="DI20" s="365"/>
      <c r="DJ20" s="365"/>
      <c r="DK20" s="365"/>
      <c r="DL20" s="365"/>
      <c r="DM20" s="365"/>
      <c r="DN20" s="365"/>
      <c r="DO20" s="365"/>
      <c r="DP20" s="365"/>
      <c r="DQ20" s="365"/>
      <c r="DR20" s="365"/>
      <c r="DS20" s="365"/>
      <c r="DT20" s="365"/>
      <c r="DU20" s="365"/>
      <c r="DV20" s="365"/>
      <c r="DW20" s="365"/>
      <c r="DX20" s="365"/>
      <c r="DY20" s="365"/>
      <c r="DZ20" s="365"/>
      <c r="EA20" s="365"/>
    </row>
    <row r="21" spans="1:131" s="110" customFormat="1" ht="14.4" customHeight="1" thickBot="1">
      <c r="A21" s="736"/>
      <c r="B21" s="297" t="s">
        <v>390</v>
      </c>
      <c r="C21" s="739"/>
      <c r="D21" s="483">
        <v>1</v>
      </c>
      <c r="E21" s="484">
        <v>1</v>
      </c>
      <c r="F21" s="484">
        <v>1</v>
      </c>
      <c r="G21" s="484">
        <f>Product_Inputs!J15</f>
        <v>0</v>
      </c>
      <c r="H21" s="484">
        <f>Product_Inputs!J15</f>
        <v>0</v>
      </c>
      <c r="I21" s="484">
        <f>Product_Inputs!J15</f>
        <v>0</v>
      </c>
      <c r="J21" s="485">
        <v>0</v>
      </c>
      <c r="K21" s="486">
        <f>Product_Inputs!J24</f>
        <v>0.01</v>
      </c>
      <c r="L21" s="487">
        <f>L19</f>
        <v>52</v>
      </c>
      <c r="M21" s="487">
        <f>M19</f>
        <v>1</v>
      </c>
      <c r="N21" s="487">
        <v>3.2499999999999999E-3</v>
      </c>
      <c r="O21" s="488">
        <f>Product_Inputs!$J$39*K21*N21</f>
        <v>3.2499999999999997E-5</v>
      </c>
      <c r="P21" s="11">
        <f>$B$58</f>
        <v>1</v>
      </c>
      <c r="Q21" s="489">
        <f t="shared" si="11"/>
        <v>3.2499999999999997E-5</v>
      </c>
      <c r="R21" s="490" t="s">
        <v>599</v>
      </c>
      <c r="S21" s="216">
        <f>(INDEX('Dermal Calcs'!$B$46:$L$52, MATCH($R21,'Dermal Calcs'!$A$46:$A$52, 0), MATCH(S$3, 'Dermal Calcs'!$B$45:$L$45, 0)))*$Q21*D21</f>
        <v>4.0260323159784567E-5</v>
      </c>
      <c r="T21" s="216">
        <f>(INDEX('Dermal Calcs'!$B$46:$L$52, MATCH($R21,'Dermal Calcs'!$A$46:$A$52, 0), MATCH(T$3, 'Dermal Calcs'!$B$45:$L$45, 0)))*$Q21*E21</f>
        <v>3.7674581005586597E-5</v>
      </c>
      <c r="U21" s="216">
        <f>(INDEX('Dermal Calcs'!$B$46:$L$52, MATCH($R21,'Dermal Calcs'!$A$46:$A$52, 0), MATCH(U$3, 'Dermal Calcs'!$B$45:$L$45, 0)))*$Q21*F21</f>
        <v>4.1197183098591551E-5</v>
      </c>
      <c r="V21" s="216">
        <f>(INDEX('Dermal Calcs'!$B$46:$L$52, MATCH($R21,'Dermal Calcs'!$A$46:$A$52, 0), MATCH(V$3, 'Dermal Calcs'!$B$45:$L$45, 0)))*$Q21*G21</f>
        <v>0</v>
      </c>
      <c r="W21" s="216">
        <f>(INDEX('Dermal Calcs'!$B$46:$L$52, MATCH($R21,'Dermal Calcs'!$A$46:$A$52, 0), MATCH(W$3, 'Dermal Calcs'!$B$45:$L$45, 0)))*$Q21*H21</f>
        <v>0</v>
      </c>
      <c r="X21" s="216">
        <f>(INDEX('Dermal Calcs'!$B$46:$L$52, MATCH($R21,'Dermal Calcs'!$A$46:$A$52, 0), MATCH(X$3, 'Dermal Calcs'!$B$45:$L$45, 0)))*$Q21*I21</f>
        <v>0</v>
      </c>
      <c r="Y21" s="216">
        <f>(INDEX('Dermal Calcs'!$B$46:$L$52, MATCH($R21,'Dermal Calcs'!$A$46:$A$52, 0), MATCH(Y$3, 'Dermal Calcs'!$B$45:$L$45, 0)))*$Q21*J21</f>
        <v>0</v>
      </c>
      <c r="Z21" s="217">
        <f t="shared" si="12"/>
        <v>5.7357172720788977E-6</v>
      </c>
      <c r="AA21" s="217">
        <f t="shared" si="13"/>
        <v>5.3673375679191873E-6</v>
      </c>
      <c r="AB21" s="217">
        <f t="shared" si="14"/>
        <v>5.8691877291144133E-6</v>
      </c>
      <c r="AC21" s="217">
        <f t="shared" si="15"/>
        <v>0</v>
      </c>
      <c r="AD21" s="217">
        <f t="shared" si="16"/>
        <v>0</v>
      </c>
      <c r="AE21" s="217">
        <f t="shared" si="17"/>
        <v>0</v>
      </c>
      <c r="AF21" s="217">
        <f t="shared" si="18"/>
        <v>0</v>
      </c>
      <c r="AG21" s="217">
        <f t="shared" si="19"/>
        <v>4.0260323159784567E-5</v>
      </c>
      <c r="AH21" s="217">
        <f t="shared" si="20"/>
        <v>3.7674581005586597E-5</v>
      </c>
      <c r="AI21" s="217">
        <f t="shared" si="21"/>
        <v>4.1197183098591551E-5</v>
      </c>
      <c r="AJ21" s="217">
        <f t="shared" si="22"/>
        <v>0</v>
      </c>
      <c r="AK21" s="217">
        <f t="shared" si="23"/>
        <v>0</v>
      </c>
      <c r="AL21" s="217">
        <f t="shared" si="24"/>
        <v>0</v>
      </c>
      <c r="AM21" s="499">
        <f t="shared" si="25"/>
        <v>0</v>
      </c>
      <c r="AN21" s="218">
        <f t="shared" si="3"/>
        <v>1.5714293896106571E-5</v>
      </c>
      <c r="AO21" s="219">
        <f t="shared" si="3"/>
        <v>1.4705034432655307E-5</v>
      </c>
      <c r="AP21" s="219">
        <f t="shared" si="3"/>
        <v>1.6079966381135379E-5</v>
      </c>
      <c r="AQ21" s="219">
        <f t="shared" si="3"/>
        <v>0</v>
      </c>
      <c r="AR21" s="219">
        <f t="shared" si="3"/>
        <v>0</v>
      </c>
      <c r="AS21" s="219">
        <f t="shared" si="3"/>
        <v>0</v>
      </c>
      <c r="AT21" s="220">
        <f t="shared" si="3"/>
        <v>0</v>
      </c>
      <c r="AU21" s="219">
        <f t="shared" si="4"/>
        <v>4.0260323159784568E-2</v>
      </c>
      <c r="AV21" s="219">
        <f t="shared" si="4"/>
        <v>3.7674581005586599E-2</v>
      </c>
      <c r="AW21" s="219">
        <f t="shared" si="4"/>
        <v>4.119718309859155E-2</v>
      </c>
      <c r="AX21" s="219">
        <f t="shared" si="4"/>
        <v>0</v>
      </c>
      <c r="AY21" s="219">
        <f t="shared" si="4"/>
        <v>0</v>
      </c>
      <c r="AZ21" s="219">
        <f t="shared" si="4"/>
        <v>0</v>
      </c>
      <c r="BA21" s="220">
        <f t="shared" si="4"/>
        <v>0</v>
      </c>
      <c r="BB21" s="235">
        <f t="shared" si="5"/>
        <v>1.5714293896106571E-5</v>
      </c>
      <c r="BC21" s="236">
        <f t="shared" si="6"/>
        <v>1.5392500406895341E-5</v>
      </c>
      <c r="BD21" s="237">
        <f t="shared" si="7"/>
        <v>0</v>
      </c>
      <c r="BE21" s="235">
        <f t="shared" si="8"/>
        <v>4.0260323159784568E-2</v>
      </c>
      <c r="BF21" s="236">
        <f t="shared" si="9"/>
        <v>3.9435882052089075E-2</v>
      </c>
      <c r="BG21" s="237">
        <f t="shared" si="10"/>
        <v>0</v>
      </c>
      <c r="BH21" s="472"/>
      <c r="BI21" s="472"/>
      <c r="BJ21" s="472"/>
      <c r="BK21" s="472"/>
      <c r="BL21" s="774"/>
      <c r="BM21" s="512" t="s">
        <v>390</v>
      </c>
      <c r="BN21" s="259">
        <v>52</v>
      </c>
      <c r="BO21" s="259">
        <v>1</v>
      </c>
      <c r="BP21" s="259">
        <v>3.2499999999999999E-3</v>
      </c>
      <c r="BQ21" s="513">
        <v>3.2499999999999997E-5</v>
      </c>
      <c r="BR21" s="70">
        <v>4.0000000000000003E-5</v>
      </c>
      <c r="BS21" s="514" t="s">
        <v>599</v>
      </c>
      <c r="BT21" s="365"/>
      <c r="BU21" s="365"/>
      <c r="BV21" s="365"/>
      <c r="BW21" s="365"/>
      <c r="BX21" s="365"/>
      <c r="BY21" s="365"/>
      <c r="BZ21" s="365"/>
      <c r="CA21" s="365"/>
      <c r="CB21" s="365"/>
      <c r="CC21" s="365"/>
      <c r="CD21" s="365"/>
      <c r="CE21" s="365"/>
      <c r="CF21" s="365"/>
      <c r="CG21" s="365"/>
      <c r="CH21" s="365"/>
      <c r="CI21" s="365"/>
      <c r="CJ21" s="365"/>
      <c r="CK21" s="365"/>
      <c r="CL21" s="365"/>
      <c r="CM21" s="365"/>
      <c r="CN21" s="365"/>
      <c r="CO21" s="365"/>
      <c r="CP21" s="365"/>
      <c r="CQ21" s="365"/>
      <c r="CR21" s="365"/>
      <c r="CS21" s="365"/>
      <c r="CT21" s="365"/>
      <c r="CU21" s="365"/>
      <c r="CV21" s="365"/>
      <c r="CW21" s="365"/>
      <c r="CX21" s="365"/>
      <c r="CY21" s="365"/>
      <c r="CZ21" s="365"/>
      <c r="DA21" s="365"/>
      <c r="DB21" s="365"/>
      <c r="DC21" s="365"/>
      <c r="DD21" s="365"/>
      <c r="DE21" s="365"/>
      <c r="DF21" s="365"/>
      <c r="DG21" s="365"/>
      <c r="DH21" s="365"/>
      <c r="DI21" s="365"/>
      <c r="DJ21" s="365"/>
      <c r="DK21" s="365"/>
      <c r="DL21" s="365"/>
      <c r="DM21" s="365"/>
      <c r="DN21" s="365"/>
      <c r="DO21" s="365"/>
      <c r="DP21" s="365"/>
      <c r="DQ21" s="365"/>
      <c r="DR21" s="365"/>
      <c r="DS21" s="365"/>
      <c r="DT21" s="365"/>
      <c r="DU21" s="365"/>
      <c r="DV21" s="365"/>
      <c r="DW21" s="365"/>
      <c r="DX21" s="365"/>
      <c r="DY21" s="365"/>
      <c r="DZ21" s="365"/>
      <c r="EA21" s="365"/>
    </row>
    <row r="22" spans="1:131" s="110" customFormat="1" ht="15" thickTop="1" thickBot="1">
      <c r="A22" s="766" t="s">
        <v>602</v>
      </c>
      <c r="B22" s="768" t="s">
        <v>378</v>
      </c>
      <c r="C22" s="770" t="s">
        <v>571</v>
      </c>
      <c r="D22" s="775" t="s">
        <v>851</v>
      </c>
      <c r="E22" s="776"/>
      <c r="F22" s="776"/>
      <c r="G22" s="699"/>
      <c r="H22" s="699"/>
      <c r="I22" s="699"/>
      <c r="J22" s="777"/>
      <c r="K22" s="779"/>
      <c r="L22" s="699"/>
      <c r="M22" s="699"/>
      <c r="N22" s="699"/>
      <c r="O22" s="699"/>
      <c r="P22" s="699"/>
      <c r="Q22" s="699"/>
      <c r="R22" s="777"/>
      <c r="S22" s="778" t="s">
        <v>847</v>
      </c>
      <c r="T22" s="776"/>
      <c r="U22" s="776"/>
      <c r="V22" s="776"/>
      <c r="W22" s="776"/>
      <c r="X22" s="776"/>
      <c r="Y22" s="776"/>
      <c r="Z22" s="776" t="s">
        <v>848</v>
      </c>
      <c r="AA22" s="776"/>
      <c r="AB22" s="776"/>
      <c r="AC22" s="776"/>
      <c r="AD22" s="776"/>
      <c r="AE22" s="776"/>
      <c r="AF22" s="776"/>
      <c r="AG22" s="776" t="s">
        <v>850</v>
      </c>
      <c r="AH22" s="776"/>
      <c r="AI22" s="776"/>
      <c r="AJ22" s="776"/>
      <c r="AK22" s="776"/>
      <c r="AL22" s="776"/>
      <c r="AM22" s="776"/>
      <c r="AN22" s="726" t="s">
        <v>573</v>
      </c>
      <c r="AO22" s="726"/>
      <c r="AP22" s="726"/>
      <c r="AQ22" s="726"/>
      <c r="AR22" s="726"/>
      <c r="AS22" s="726"/>
      <c r="AT22" s="727"/>
      <c r="AU22" s="726" t="s">
        <v>574</v>
      </c>
      <c r="AV22" s="726"/>
      <c r="AW22" s="726"/>
      <c r="AX22" s="726"/>
      <c r="AY22" s="726"/>
      <c r="AZ22" s="726"/>
      <c r="BA22" s="727"/>
      <c r="BB22" s="710" t="s">
        <v>575</v>
      </c>
      <c r="BC22" s="711"/>
      <c r="BD22" s="711"/>
      <c r="BE22" s="710" t="s">
        <v>576</v>
      </c>
      <c r="BF22" s="711"/>
      <c r="BG22" s="711"/>
      <c r="BH22" s="500"/>
      <c r="BI22" s="365"/>
      <c r="BJ22" s="365"/>
      <c r="BK22" s="365"/>
      <c r="BL22" s="365"/>
      <c r="BM22" s="365"/>
      <c r="BN22" s="365"/>
      <c r="BO22" s="365"/>
      <c r="BP22" s="365"/>
      <c r="BQ22" s="365"/>
      <c r="BR22" s="365"/>
      <c r="BS22" s="365"/>
      <c r="BT22" s="365"/>
      <c r="BU22" s="365"/>
      <c r="BV22" s="365"/>
      <c r="BW22" s="365"/>
      <c r="BX22" s="365"/>
      <c r="BY22" s="365"/>
    </row>
    <row r="23" spans="1:131" s="110" customFormat="1" ht="53.4" customHeight="1">
      <c r="A23" s="767"/>
      <c r="B23" s="769"/>
      <c r="C23" s="771"/>
      <c r="D23" s="492" t="s">
        <v>590</v>
      </c>
      <c r="E23" s="284" t="s">
        <v>941</v>
      </c>
      <c r="F23" s="284" t="s">
        <v>942</v>
      </c>
      <c r="G23" s="284" t="s">
        <v>943</v>
      </c>
      <c r="H23" s="284" t="s">
        <v>849</v>
      </c>
      <c r="I23" s="284" t="s">
        <v>944</v>
      </c>
      <c r="J23" s="495" t="s">
        <v>945</v>
      </c>
      <c r="K23" s="494" t="s">
        <v>584</v>
      </c>
      <c r="L23" s="116" t="s">
        <v>949</v>
      </c>
      <c r="M23" s="116" t="s">
        <v>948</v>
      </c>
      <c r="N23" s="116" t="s">
        <v>843</v>
      </c>
      <c r="O23" s="116" t="s">
        <v>844</v>
      </c>
      <c r="P23" s="404" t="s">
        <v>950</v>
      </c>
      <c r="Q23" s="284" t="s">
        <v>588</v>
      </c>
      <c r="R23" s="496" t="s">
        <v>589</v>
      </c>
      <c r="S23" s="492" t="s">
        <v>590</v>
      </c>
      <c r="T23" s="284" t="s">
        <v>941</v>
      </c>
      <c r="U23" s="284" t="s">
        <v>942</v>
      </c>
      <c r="V23" s="284" t="s">
        <v>943</v>
      </c>
      <c r="W23" s="284" t="s">
        <v>849</v>
      </c>
      <c r="X23" s="284" t="s">
        <v>944</v>
      </c>
      <c r="Y23" s="284" t="s">
        <v>945</v>
      </c>
      <c r="Z23" s="284" t="s">
        <v>590</v>
      </c>
      <c r="AA23" s="284" t="s">
        <v>941</v>
      </c>
      <c r="AB23" s="284" t="s">
        <v>942</v>
      </c>
      <c r="AC23" s="284" t="s">
        <v>943</v>
      </c>
      <c r="AD23" s="284" t="s">
        <v>849</v>
      </c>
      <c r="AE23" s="284" t="s">
        <v>944</v>
      </c>
      <c r="AF23" s="284" t="s">
        <v>945</v>
      </c>
      <c r="AG23" s="284" t="s">
        <v>590</v>
      </c>
      <c r="AH23" s="284" t="s">
        <v>941</v>
      </c>
      <c r="AI23" s="284" t="s">
        <v>942</v>
      </c>
      <c r="AJ23" s="284" t="s">
        <v>943</v>
      </c>
      <c r="AK23" s="284" t="s">
        <v>849</v>
      </c>
      <c r="AL23" s="284" t="s">
        <v>944</v>
      </c>
      <c r="AM23" s="496" t="s">
        <v>945</v>
      </c>
      <c r="AN23" s="205" t="s">
        <v>577</v>
      </c>
      <c r="AO23" s="53" t="s">
        <v>578</v>
      </c>
      <c r="AP23" s="53" t="s">
        <v>579</v>
      </c>
      <c r="AQ23" s="53" t="s">
        <v>580</v>
      </c>
      <c r="AR23" s="53" t="s">
        <v>581</v>
      </c>
      <c r="AS23" s="53" t="s">
        <v>582</v>
      </c>
      <c r="AT23" s="207" t="s">
        <v>583</v>
      </c>
      <c r="AU23" s="53" t="s">
        <v>577</v>
      </c>
      <c r="AV23" s="53" t="s">
        <v>578</v>
      </c>
      <c r="AW23" s="53" t="s">
        <v>579</v>
      </c>
      <c r="AX23" s="53" t="s">
        <v>580</v>
      </c>
      <c r="AY23" s="53" t="s">
        <v>581</v>
      </c>
      <c r="AZ23" s="53" t="s">
        <v>582</v>
      </c>
      <c r="BA23" s="53" t="s">
        <v>583</v>
      </c>
      <c r="BB23" s="208" t="s">
        <v>590</v>
      </c>
      <c r="BC23" s="206" t="s">
        <v>591</v>
      </c>
      <c r="BD23" s="209" t="s">
        <v>592</v>
      </c>
      <c r="BE23" s="208" t="s">
        <v>590</v>
      </c>
      <c r="BF23" s="206" t="s">
        <v>591</v>
      </c>
      <c r="BG23" s="209" t="s">
        <v>592</v>
      </c>
      <c r="BH23" s="472"/>
      <c r="BI23" s="472"/>
      <c r="BJ23" s="472"/>
      <c r="BK23" s="472"/>
      <c r="BL23" s="202" t="s">
        <v>571</v>
      </c>
      <c r="BM23" s="508" t="s">
        <v>378</v>
      </c>
      <c r="BN23" s="203" t="s">
        <v>950</v>
      </c>
      <c r="BO23" s="203" t="s">
        <v>603</v>
      </c>
      <c r="BP23" s="203" t="s">
        <v>604</v>
      </c>
      <c r="BQ23" s="203" t="s">
        <v>605</v>
      </c>
      <c r="BR23" s="204" t="s">
        <v>606</v>
      </c>
      <c r="BS23" s="248" t="s">
        <v>589</v>
      </c>
      <c r="BT23" s="365"/>
      <c r="BU23" s="365"/>
      <c r="BV23" s="365"/>
      <c r="BW23" s="365"/>
      <c r="BX23" s="365"/>
      <c r="BY23" s="365"/>
    </row>
    <row r="24" spans="1:131" ht="14.4" customHeight="1">
      <c r="A24" s="759" t="str">
        <f>Article_Inputs!J1</f>
        <v>Arts and Crafts (jewelry making, putties)</v>
      </c>
      <c r="B24" s="302" t="s">
        <v>388</v>
      </c>
      <c r="C24" s="757" t="s">
        <v>607</v>
      </c>
      <c r="D24" s="249">
        <f>Article_Inputs!J17</f>
        <v>60</v>
      </c>
      <c r="E24" s="250">
        <f>Article_Inputs!J14</f>
        <v>60</v>
      </c>
      <c r="F24" s="250">
        <f>Article_Inputs!J14</f>
        <v>60</v>
      </c>
      <c r="G24" s="250">
        <f>Article_Inputs!J11</f>
        <v>60</v>
      </c>
      <c r="H24" s="250">
        <f>Article_Inputs!J11</f>
        <v>60</v>
      </c>
      <c r="I24" s="250">
        <f>Article_Inputs!J11</f>
        <v>60</v>
      </c>
      <c r="J24" s="251">
        <f>Article_Inputs!J11</f>
        <v>60</v>
      </c>
      <c r="K24" s="273">
        <f>Article_Inputs!J4</f>
        <v>0.01</v>
      </c>
      <c r="L24" s="169">
        <v>52</v>
      </c>
      <c r="M24" s="169">
        <f>Article_Inputs!F9</f>
        <v>1</v>
      </c>
      <c r="N24" s="245">
        <f>'P-Chem'!$H$7*(10000/60)</f>
        <v>9.0356506501807751E-7</v>
      </c>
      <c r="O24" s="169">
        <f>Article_Data!$B$25</f>
        <v>1.34</v>
      </c>
      <c r="P24" s="245">
        <f>K24*O24*1000</f>
        <v>13.4</v>
      </c>
      <c r="Q24" s="253">
        <v>1</v>
      </c>
      <c r="R24" s="246" t="s">
        <v>597</v>
      </c>
      <c r="S24" s="218">
        <f>(INDEX('Dermal Calcs'!$B$46:$L$52,MATCH($R24,'Dermal Calcs'!$A$46:$A$52,0),MATCH(S$3,'Dermal Calcs'!$B$45:$L$45,0)))*(SQRT(2*$N24*D24))*$Q24*$P24</f>
        <v>0.43212465044435133</v>
      </c>
      <c r="T24" s="218">
        <f>(INDEX('Dermal Calcs'!$B$46:$L$52,MATCH($R24,'Dermal Calcs'!$A$46:$A$52,0),MATCH(T$3,'Dermal Calcs'!$B$45:$L$45,0)))*(SQRT(2*$N24*E24))*$Q24*$P24</f>
        <v>0.4043711989857664</v>
      </c>
      <c r="U24" s="218">
        <f>(INDEX('Dermal Calcs'!$B$46:$L$52,MATCH($R24,'Dermal Calcs'!$A$46:$A$52,0),MATCH(U$3,'Dermal Calcs'!$B$45:$L$45,0)))*(SQRT(2*$N24*F24))*$Q24*$P24</f>
        <v>0.44218021487600179</v>
      </c>
      <c r="V24" s="218">
        <f>(INDEX('Dermal Calcs'!$B$46:$L$52,MATCH($R24,'Dermal Calcs'!$A$46:$A$52,0),MATCH(V$3,'Dermal Calcs'!$B$45:$L$45,0)))*(SQRT(2*$N24*G24))*$Q24*$P24</f>
        <v>0.55944603706009854</v>
      </c>
      <c r="W24" s="218">
        <f>(INDEX('Dermal Calcs'!$B$46:$L$52,MATCH($R24,'Dermal Calcs'!$A$46:$A$52,0),MATCH(W$3,'Dermal Calcs'!$B$45:$L$45,0)))*(SQRT(2*$N24*H24))*$Q24*$P24</f>
        <v>0.6939112452086359</v>
      </c>
      <c r="X24" s="217">
        <f>(INDEX('Dermal Calcs'!$B$46:$L$52,MATCH($R24,'Dermal Calcs'!$A$46:$A$52,0),MATCH(X$3,'Dermal Calcs'!$B$45:$L$45,0)))*(SQRT(2*$N24*I24))*$Q24*$P24</f>
        <v>0.80286513441771379</v>
      </c>
      <c r="Y24" s="217">
        <f>(INDEX('Dermal Calcs'!$B$46:$L$52,MATCH($R24,'Dermal Calcs'!$A$46:$A$52,0),MATCH(Y$3,'Dermal Calcs'!$B$45:$L$45,0)))*(SQRT(2*$N24*J24))*$Q24*$P24</f>
        <v>0.93887508272075881</v>
      </c>
      <c r="Z24" s="217">
        <f>(S24*$L24)/365</f>
        <v>6.1562963898921283E-2</v>
      </c>
      <c r="AA24" s="217">
        <f t="shared" ref="AA24:AF24" si="26">(T24*$L24)/365</f>
        <v>5.7609047526739322E-2</v>
      </c>
      <c r="AB24" s="217">
        <f t="shared" si="26"/>
        <v>6.2995537461786558E-2</v>
      </c>
      <c r="AC24" s="217">
        <f t="shared" si="26"/>
        <v>7.9701901170205827E-2</v>
      </c>
      <c r="AD24" s="217">
        <f t="shared" si="26"/>
        <v>9.8858588358490582E-2</v>
      </c>
      <c r="AE24" s="217">
        <f t="shared" si="26"/>
        <v>0.11438078627320854</v>
      </c>
      <c r="AF24" s="217">
        <f t="shared" si="26"/>
        <v>0.13375754603145057</v>
      </c>
      <c r="AG24" s="217">
        <f>S24*$M24</f>
        <v>0.43212465044435133</v>
      </c>
      <c r="AH24" s="217">
        <f t="shared" ref="AH24:AM24" si="27">T24*$M24</f>
        <v>0.4043711989857664</v>
      </c>
      <c r="AI24" s="217">
        <f t="shared" si="27"/>
        <v>0.44218021487600179</v>
      </c>
      <c r="AJ24" s="217">
        <f t="shared" si="27"/>
        <v>0.55944603706009854</v>
      </c>
      <c r="AK24" s="217">
        <f t="shared" si="27"/>
        <v>0.6939112452086359</v>
      </c>
      <c r="AL24" s="217">
        <f t="shared" si="27"/>
        <v>0.80286513441771379</v>
      </c>
      <c r="AM24" s="217">
        <f t="shared" si="27"/>
        <v>0.93887508272075881</v>
      </c>
      <c r="AN24" s="218">
        <f t="shared" ref="AN24:AT25" si="28">(Z24*1000)/365</f>
        <v>0.16866565451759255</v>
      </c>
      <c r="AO24" s="219">
        <f t="shared" si="28"/>
        <v>0.15783300692257349</v>
      </c>
      <c r="AP24" s="219">
        <f t="shared" si="28"/>
        <v>0.17259051359393576</v>
      </c>
      <c r="AQ24" s="219">
        <f t="shared" si="28"/>
        <v>0.21836137306905706</v>
      </c>
      <c r="AR24" s="219">
        <f t="shared" si="28"/>
        <v>0.27084544755750845</v>
      </c>
      <c r="AS24" s="219">
        <f t="shared" si="28"/>
        <v>0.31337201718687274</v>
      </c>
      <c r="AT24" s="220">
        <f t="shared" si="28"/>
        <v>0.36645903022315224</v>
      </c>
      <c r="AU24" s="219">
        <f t="shared" ref="AU24:BA26" si="29">AG24*1000</f>
        <v>432.12465044435135</v>
      </c>
      <c r="AV24" s="219">
        <f t="shared" si="29"/>
        <v>404.3711989857664</v>
      </c>
      <c r="AW24" s="219">
        <f t="shared" si="29"/>
        <v>442.1802148760018</v>
      </c>
      <c r="AX24" s="219">
        <f t="shared" si="29"/>
        <v>559.44603706009855</v>
      </c>
      <c r="AY24" s="219">
        <f t="shared" si="29"/>
        <v>693.91124520863593</v>
      </c>
      <c r="AZ24" s="219">
        <f t="shared" si="29"/>
        <v>802.86513441771376</v>
      </c>
      <c r="BA24" s="220">
        <f t="shared" si="29"/>
        <v>938.87508272075877</v>
      </c>
      <c r="BB24" s="254">
        <f>(Z24*1000)/365</f>
        <v>0.16866565451759255</v>
      </c>
      <c r="BC24" s="225">
        <f>(AVERAGE(AA24:AB24)*1000)/365</f>
        <v>0.16521176025825463</v>
      </c>
      <c r="BD24" s="54">
        <f>(AVERAGE(AC24:AF24)*1000)/365</f>
        <v>0.29225946700914762</v>
      </c>
      <c r="BE24" s="254">
        <f>AG24*1000</f>
        <v>432.12465044435135</v>
      </c>
      <c r="BF24" s="225">
        <f>AVERAGE(AH24:AI24)*1000</f>
        <v>423.2757069308841</v>
      </c>
      <c r="BG24" s="276">
        <f>AVERAGE(AJ24:AM24)*1000</f>
        <v>748.77437485180167</v>
      </c>
      <c r="BH24" s="501"/>
      <c r="BI24" s="476"/>
      <c r="BJ24" s="476"/>
      <c r="BK24" s="476"/>
      <c r="BL24" s="781" t="s">
        <v>607</v>
      </c>
      <c r="BM24" s="474" t="s">
        <v>388</v>
      </c>
      <c r="BN24" s="477">
        <v>1.0720000000000001</v>
      </c>
      <c r="BO24" s="478">
        <v>120</v>
      </c>
      <c r="BP24" s="478">
        <v>120</v>
      </c>
      <c r="BQ24" s="478">
        <v>120</v>
      </c>
      <c r="BR24" s="364">
        <v>1.9310241192348314E-8</v>
      </c>
      <c r="BS24" s="524" t="s">
        <v>599</v>
      </c>
    </row>
    <row r="25" spans="1:131" ht="15.65" customHeight="1">
      <c r="A25" s="757"/>
      <c r="B25" s="300" t="s">
        <v>596</v>
      </c>
      <c r="C25" s="757"/>
      <c r="D25" s="249">
        <f>Article_Inputs!J18</f>
        <v>30</v>
      </c>
      <c r="E25" s="250">
        <f>Article_Inputs!J15</f>
        <v>30</v>
      </c>
      <c r="F25" s="250">
        <f>Article_Inputs!J15</f>
        <v>30</v>
      </c>
      <c r="G25" s="250">
        <f>Article_Inputs!J12</f>
        <v>30</v>
      </c>
      <c r="H25" s="250">
        <f>Article_Inputs!J12</f>
        <v>30</v>
      </c>
      <c r="I25" s="250">
        <f>Article_Inputs!J12</f>
        <v>30</v>
      </c>
      <c r="J25" s="251">
        <f>Article_Inputs!J12</f>
        <v>30</v>
      </c>
      <c r="K25" s="252">
        <f>Article_Inputs!J5</f>
        <v>5.0000000000000001E-3</v>
      </c>
      <c r="L25" s="124">
        <v>52</v>
      </c>
      <c r="M25" s="124">
        <f>M24</f>
        <v>1</v>
      </c>
      <c r="N25" s="195">
        <f>'P-Chem'!$H$7*(10000/60)</f>
        <v>9.0356506501807751E-7</v>
      </c>
      <c r="O25" s="104">
        <f>Article_Data!$B$25</f>
        <v>1.34</v>
      </c>
      <c r="P25" s="195">
        <f>K25*O25*1000</f>
        <v>6.7</v>
      </c>
      <c r="Q25" s="257">
        <v>1</v>
      </c>
      <c r="R25" s="215" t="s">
        <v>599</v>
      </c>
      <c r="S25" s="217">
        <f>(INDEX('Dermal Calcs'!$B$46:$L$52,MATCH($R25,'Dermal Calcs'!$A$46:$A$52,0),MATCH(S$3,'Dermal Calcs'!$B$45:$L$45,0)))*(SQRT(2*$N25*D25))*$Q25*$P25</f>
        <v>6.1111654129413447E-2</v>
      </c>
      <c r="T25" s="217">
        <f>(INDEX('Dermal Calcs'!$B$46:$L$52,MATCH($R25,'Dermal Calcs'!$A$46:$A$52,0),MATCH(T$3,'Dermal Calcs'!$B$45:$L$45,0)))*(SQRT(2*$N25*E25))*$Q25*$P25</f>
        <v>5.7186723383874032E-2</v>
      </c>
      <c r="U25" s="217">
        <f>(INDEX('Dermal Calcs'!$B$46:$L$52,MATCH($R25,'Dermal Calcs'!$A$46:$A$52,0),MATCH(U$3,'Dermal Calcs'!$B$45:$L$45,0)))*(SQRT(2*$N25*F25))*$Q25*$P25</f>
        <v>6.2533725689069106E-2</v>
      </c>
      <c r="V25" s="217">
        <f>(INDEX('Dermal Calcs'!$B$46:$L$52,MATCH($R25,'Dermal Calcs'!$A$46:$A$52,0),MATCH(V$3,'Dermal Calcs'!$B$45:$L$45,0)))*(SQRT(2*$N25*G25))*$Q25*$P25</f>
        <v>7.9117617302627258E-2</v>
      </c>
      <c r="W25" s="217">
        <f>(INDEX('Dermal Calcs'!$B$46:$L$52,MATCH($R25,'Dermal Calcs'!$A$46:$A$52,0),MATCH(W$3,'Dermal Calcs'!$B$45:$L$45,0)))*(SQRT(2*$N25*H25))*$Q25*$P25</f>
        <v>9.8133869405725521E-2</v>
      </c>
      <c r="X25" s="217">
        <f>(INDEX('Dermal Calcs'!$B$46:$L$52,MATCH($R25,'Dermal Calcs'!$A$46:$A$52,0),MATCH(X$3,'Dermal Calcs'!$B$45:$L$45,0)))*(SQRT(2*$N25*I25))*$Q25*$P25</f>
        <v>0.11354227618500287</v>
      </c>
      <c r="Y25" s="217">
        <f>(INDEX('Dermal Calcs'!$B$46:$L$52,MATCH($R25,'Dermal Calcs'!$A$46:$A$52,0),MATCH(Y$3,'Dermal Calcs'!$B$45:$L$45,0)))*(SQRT(2*$N25*J25))*$Q25*$P25</f>
        <v>0.13277698753578587</v>
      </c>
      <c r="Z25" s="217">
        <f t="shared" ref="Z25:Z39" si="30">(S25*$L25)/365</f>
        <v>8.7063178485739714E-3</v>
      </c>
      <c r="AA25" s="217">
        <f t="shared" ref="AA25:AA39" si="31">(T25*$L25)/365</f>
        <v>8.1471496327710953E-3</v>
      </c>
      <c r="AB25" s="217">
        <f t="shared" ref="AB25:AB39" si="32">(U25*$L25)/365</f>
        <v>8.9089143447440913E-3</v>
      </c>
      <c r="AC25" s="217">
        <f t="shared" ref="AC25:AC39" si="33">(V25*$L25)/365</f>
        <v>1.1271550958182512E-2</v>
      </c>
      <c r="AD25" s="217">
        <f t="shared" ref="AD25:AD39" si="34">(W25*$L25)/365</f>
        <v>1.3980715641363637E-2</v>
      </c>
      <c r="AE25" s="217">
        <f t="shared" ref="AE25:AE39" si="35">(X25*$L25)/365</f>
        <v>1.6175885922246985E-2</v>
      </c>
      <c r="AF25" s="217">
        <f t="shared" ref="AF25:AF39" si="36">(Y25*$L25)/365</f>
        <v>1.8916173566742096E-2</v>
      </c>
      <c r="AG25" s="217">
        <f t="shared" ref="AG25:AG39" si="37">S25*$M25</f>
        <v>6.1111654129413447E-2</v>
      </c>
      <c r="AH25" s="217">
        <f t="shared" ref="AH25:AH39" si="38">T25*$M25</f>
        <v>5.7186723383874032E-2</v>
      </c>
      <c r="AI25" s="217">
        <f t="shared" ref="AI25:AI39" si="39">U25*$M25</f>
        <v>6.2533725689069106E-2</v>
      </c>
      <c r="AJ25" s="217">
        <f t="shared" ref="AJ25:AJ39" si="40">V25*$M25</f>
        <v>7.9117617302627258E-2</v>
      </c>
      <c r="AK25" s="217">
        <f t="shared" ref="AK25:AK39" si="41">W25*$M25</f>
        <v>9.8133869405725521E-2</v>
      </c>
      <c r="AL25" s="217">
        <f t="shared" ref="AL25:AL39" si="42">X25*$M25</f>
        <v>0.11354227618500287</v>
      </c>
      <c r="AM25" s="217">
        <f t="shared" ref="AM25:AM39" si="43">Y25*$M25</f>
        <v>0.13277698753578587</v>
      </c>
      <c r="AN25" s="218">
        <f t="shared" si="28"/>
        <v>2.3852925612531425E-2</v>
      </c>
      <c r="AO25" s="219">
        <f t="shared" si="28"/>
        <v>2.2320957898003001E-2</v>
      </c>
      <c r="AP25" s="219">
        <f t="shared" si="28"/>
        <v>2.4407984506148197E-2</v>
      </c>
      <c r="AQ25" s="219">
        <f t="shared" si="28"/>
        <v>3.0880961529267156E-2</v>
      </c>
      <c r="AR25" s="219">
        <f t="shared" si="28"/>
        <v>3.8303330524283939E-2</v>
      </c>
      <c r="AS25" s="219">
        <f t="shared" si="28"/>
        <v>4.4317495677388997E-2</v>
      </c>
      <c r="AT25" s="220">
        <f t="shared" si="28"/>
        <v>5.1825133059567388E-2</v>
      </c>
      <c r="AU25" s="219">
        <f t="shared" si="29"/>
        <v>61.111654129413445</v>
      </c>
      <c r="AV25" s="219">
        <f t="shared" si="29"/>
        <v>57.186723383874032</v>
      </c>
      <c r="AW25" s="219">
        <f t="shared" si="29"/>
        <v>62.533725689069108</v>
      </c>
      <c r="AX25" s="219">
        <f t="shared" si="29"/>
        <v>79.117617302627252</v>
      </c>
      <c r="AY25" s="219">
        <f t="shared" si="29"/>
        <v>98.13386940572552</v>
      </c>
      <c r="AZ25" s="219">
        <f t="shared" si="29"/>
        <v>113.54227618500288</v>
      </c>
      <c r="BA25" s="220">
        <f t="shared" si="29"/>
        <v>132.77698753578588</v>
      </c>
      <c r="BB25" s="254">
        <f>(Z25*1000)/365</f>
        <v>2.3852925612531425E-2</v>
      </c>
      <c r="BC25" s="225">
        <f>(AVERAGE(AA25:AB25)*1000)/365</f>
        <v>2.3364471202075597E-2</v>
      </c>
      <c r="BD25" s="54">
        <f>(AVERAGE(AC25:AF25)*1000)/365</f>
        <v>4.133173019762687E-2</v>
      </c>
      <c r="BE25" s="254">
        <f>AG25*1000</f>
        <v>61.111654129413445</v>
      </c>
      <c r="BF25" s="225">
        <f>AVERAGE(AH25:AI25)*1000</f>
        <v>59.860224536471563</v>
      </c>
      <c r="BG25" s="276">
        <f>AVERAGE(AJ25:AM25)*1000</f>
        <v>105.89268760728538</v>
      </c>
      <c r="BH25" s="501"/>
      <c r="BI25" s="476"/>
      <c r="BJ25" s="476"/>
      <c r="BK25" s="476"/>
      <c r="BL25" s="781"/>
      <c r="BM25" s="474" t="s">
        <v>598</v>
      </c>
      <c r="BN25" s="477">
        <v>0.67</v>
      </c>
      <c r="BO25" s="478">
        <v>60</v>
      </c>
      <c r="BP25" s="478">
        <v>60</v>
      </c>
      <c r="BQ25" s="478">
        <v>60</v>
      </c>
      <c r="BR25" s="364">
        <v>1.9310241192348314E-8</v>
      </c>
      <c r="BS25" s="524" t="s">
        <v>599</v>
      </c>
    </row>
    <row r="26" spans="1:131" ht="14.5" thickBot="1">
      <c r="A26" s="758"/>
      <c r="B26" s="303" t="s">
        <v>390</v>
      </c>
      <c r="C26" s="760"/>
      <c r="D26" s="249">
        <f>Article_Inputs!J19</f>
        <v>15</v>
      </c>
      <c r="E26" s="250">
        <f>Article_Inputs!J16</f>
        <v>15</v>
      </c>
      <c r="F26" s="250">
        <f>Article_Inputs!J16</f>
        <v>15</v>
      </c>
      <c r="G26" s="250">
        <f>Article_Inputs!J13</f>
        <v>15</v>
      </c>
      <c r="H26" s="250">
        <f>Article_Inputs!J13</f>
        <v>15</v>
      </c>
      <c r="I26" s="250">
        <f>Article_Inputs!J13</f>
        <v>15</v>
      </c>
      <c r="J26" s="251">
        <f>Article_Inputs!J13</f>
        <v>15</v>
      </c>
      <c r="K26" s="258">
        <f>Article_Inputs!J6</f>
        <v>1E-4</v>
      </c>
      <c r="L26" s="259">
        <f>L24</f>
        <v>52</v>
      </c>
      <c r="M26" s="259">
        <f>M24</f>
        <v>1</v>
      </c>
      <c r="N26" s="260">
        <f>'P-Chem'!$H$7*(10000/60)</f>
        <v>9.0356506501807751E-7</v>
      </c>
      <c r="O26" s="167">
        <f>Article_Data!$B$25</f>
        <v>1.34</v>
      </c>
      <c r="P26" s="260">
        <f>K26*O26*1000</f>
        <v>0.13400000000000001</v>
      </c>
      <c r="Q26" s="261">
        <v>1</v>
      </c>
      <c r="R26" s="262" t="s">
        <v>599</v>
      </c>
      <c r="S26" s="217">
        <f>(INDEX('Dermal Calcs'!$B$46:$L$52,MATCH($R26,'Dermal Calcs'!$A$46:$A$52,0),MATCH(S$3,'Dermal Calcs'!$B$45:$L$45,0)))*(SQRT(2*$N26*D26))*$Q26*$P26</f>
        <v>8.6424930088870261E-4</v>
      </c>
      <c r="T26" s="217">
        <f>(INDEX('Dermal Calcs'!$B$46:$L$52,MATCH($R26,'Dermal Calcs'!$A$46:$A$52,0),MATCH(T$3,'Dermal Calcs'!$B$45:$L$45,0)))*(SQRT(2*$N26*E26))*$Q26*$P26</f>
        <v>8.0874239797153278E-4</v>
      </c>
      <c r="U26" s="217">
        <f>(INDEX('Dermal Calcs'!$B$46:$L$52,MATCH($R26,'Dermal Calcs'!$A$46:$A$52,0),MATCH(U$3,'Dermal Calcs'!$B$45:$L$45,0)))*(SQRT(2*$N26*F26))*$Q26*$P26</f>
        <v>8.8436042975200357E-4</v>
      </c>
      <c r="V26" s="217">
        <f>(INDEX('Dermal Calcs'!$B$46:$L$52,MATCH($R26,'Dermal Calcs'!$A$46:$A$52,0),MATCH(V$3,'Dermal Calcs'!$B$45:$L$45,0)))*(SQRT(2*$N26*G26))*$Q26*$P26</f>
        <v>1.118892074120197E-3</v>
      </c>
      <c r="W26" s="217">
        <f>(INDEX('Dermal Calcs'!$B$46:$L$52,MATCH($R26,'Dermal Calcs'!$A$46:$A$52,0),MATCH(W$3,'Dermal Calcs'!$B$45:$L$45,0)))*(SQRT(2*$N26*H26))*$Q26*$P26</f>
        <v>1.387822490417272E-3</v>
      </c>
      <c r="X26" s="217">
        <f>(INDEX('Dermal Calcs'!$B$46:$L$52,MATCH($R26,'Dermal Calcs'!$A$46:$A$52,0),MATCH(X$3,'Dermal Calcs'!$B$45:$L$45,0)))*(SQRT(2*$N26*I26))*$Q26*$P26</f>
        <v>1.6057302688354275E-3</v>
      </c>
      <c r="Y26" s="217">
        <f>(INDEX('Dermal Calcs'!$B$46:$L$52,MATCH($R26,'Dermal Calcs'!$A$46:$A$52,0),MATCH(Y$3,'Dermal Calcs'!$B$45:$L$45,0)))*(SQRT(2*$N26*J26))*$Q26*$P26</f>
        <v>1.8777501654415178E-3</v>
      </c>
      <c r="Z26" s="217">
        <f t="shared" si="30"/>
        <v>1.2312592779784257E-4</v>
      </c>
      <c r="AA26" s="217">
        <f t="shared" si="31"/>
        <v>1.1521809505347863E-4</v>
      </c>
      <c r="AB26" s="217">
        <f t="shared" si="32"/>
        <v>1.2599107492357309E-4</v>
      </c>
      <c r="AC26" s="217">
        <f t="shared" si="33"/>
        <v>1.5940380234041163E-4</v>
      </c>
      <c r="AD26" s="217">
        <f t="shared" si="34"/>
        <v>1.9771717671698122E-4</v>
      </c>
      <c r="AE26" s="217">
        <f t="shared" si="35"/>
        <v>2.2876157254641706E-4</v>
      </c>
      <c r="AF26" s="217">
        <f t="shared" si="36"/>
        <v>2.6751509206290116E-4</v>
      </c>
      <c r="AG26" s="217">
        <f t="shared" si="37"/>
        <v>8.6424930088870261E-4</v>
      </c>
      <c r="AH26" s="217">
        <f t="shared" si="38"/>
        <v>8.0874239797153278E-4</v>
      </c>
      <c r="AI26" s="217">
        <f t="shared" si="39"/>
        <v>8.8436042975200357E-4</v>
      </c>
      <c r="AJ26" s="217">
        <f t="shared" si="40"/>
        <v>1.118892074120197E-3</v>
      </c>
      <c r="AK26" s="217">
        <f t="shared" si="41"/>
        <v>1.387822490417272E-3</v>
      </c>
      <c r="AL26" s="217">
        <f t="shared" si="42"/>
        <v>1.6057302688354275E-3</v>
      </c>
      <c r="AM26" s="217">
        <f t="shared" si="43"/>
        <v>1.8777501654415178E-3</v>
      </c>
      <c r="AN26" s="218">
        <f>(Z26*1000)/365</f>
        <v>3.373313090351851E-4</v>
      </c>
      <c r="AO26" s="219">
        <f>(AA26*1000)/365</f>
        <v>3.1566601384514691E-4</v>
      </c>
      <c r="AP26" s="219">
        <f>(AB26*1000)/365</f>
        <v>3.4518102718787149E-4</v>
      </c>
      <c r="AQ26" s="219">
        <f t="shared" ref="AQ26:AT26" si="44">(AC26*1000)/365</f>
        <v>4.3672274613811403E-4</v>
      </c>
      <c r="AR26" s="219">
        <f t="shared" si="44"/>
        <v>5.4169089511501699E-4</v>
      </c>
      <c r="AS26" s="219">
        <f t="shared" si="44"/>
        <v>6.2674403437374532E-4</v>
      </c>
      <c r="AT26" s="220">
        <f t="shared" si="44"/>
        <v>7.3291806044630447E-4</v>
      </c>
      <c r="AU26" s="219">
        <f t="shared" si="29"/>
        <v>0.86424930088870267</v>
      </c>
      <c r="AV26" s="219">
        <f t="shared" si="29"/>
        <v>0.8087423979715328</v>
      </c>
      <c r="AW26" s="219">
        <f t="shared" si="29"/>
        <v>0.88436042975200357</v>
      </c>
      <c r="AX26" s="219">
        <f t="shared" si="29"/>
        <v>1.1188920741201971</v>
      </c>
      <c r="AY26" s="219">
        <f t="shared" si="29"/>
        <v>1.387822490417272</v>
      </c>
      <c r="AZ26" s="219">
        <f t="shared" si="29"/>
        <v>1.6057302688354276</v>
      </c>
      <c r="BA26" s="220">
        <f t="shared" si="29"/>
        <v>1.8777501654415178</v>
      </c>
      <c r="BB26" s="254">
        <f>(Z26*1000)/365</f>
        <v>3.373313090351851E-4</v>
      </c>
      <c r="BC26" s="225">
        <f>(AVERAGE(AA26:AB26)*1000)/365</f>
        <v>3.3042352051650923E-4</v>
      </c>
      <c r="BD26" s="54">
        <f>(AVERAGE(AC26:AF26)*1000)/365</f>
        <v>5.8451893401829523E-4</v>
      </c>
      <c r="BE26" s="254">
        <f>AG26*1000</f>
        <v>0.86424930088870267</v>
      </c>
      <c r="BF26" s="225">
        <f>AVERAGE(AH26:AI26)*1000</f>
        <v>0.84655141386176813</v>
      </c>
      <c r="BG26" s="276">
        <f>AVERAGE(AJ26:AM26)*1000</f>
        <v>1.4975487497036035</v>
      </c>
      <c r="BH26" s="501"/>
      <c r="BI26" s="476"/>
      <c r="BJ26" s="476"/>
      <c r="BK26" s="476"/>
      <c r="BL26" s="782"/>
      <c r="BM26" s="520" t="s">
        <v>390</v>
      </c>
      <c r="BN26" s="521">
        <v>0.13400000000000001</v>
      </c>
      <c r="BO26" s="522">
        <v>30</v>
      </c>
      <c r="BP26" s="522">
        <v>30</v>
      </c>
      <c r="BQ26" s="522">
        <v>30</v>
      </c>
      <c r="BR26" s="523">
        <v>1.9310241192348314E-8</v>
      </c>
      <c r="BS26" s="525" t="s">
        <v>599</v>
      </c>
    </row>
    <row r="27" spans="1:131" ht="14.4" customHeight="1" thickTop="1" thickBot="1">
      <c r="A27" s="753" t="str">
        <f>Article_Inputs!D1</f>
        <v>Clothing</v>
      </c>
      <c r="B27" s="299" t="s">
        <v>388</v>
      </c>
      <c r="C27" s="756" t="s">
        <v>522</v>
      </c>
      <c r="D27" s="263">
        <f>Article_Inputs!D17</f>
        <v>960</v>
      </c>
      <c r="E27" s="264">
        <f>Article_Inputs!D14</f>
        <v>960</v>
      </c>
      <c r="F27" s="264">
        <f>Article_Inputs!D14</f>
        <v>960</v>
      </c>
      <c r="G27" s="264">
        <f>Article_Inputs!D11</f>
        <v>960</v>
      </c>
      <c r="H27" s="264">
        <f>Article_Inputs!D11</f>
        <v>960</v>
      </c>
      <c r="I27" s="264">
        <f>Article_Inputs!D11</f>
        <v>960</v>
      </c>
      <c r="J27" s="264">
        <f>Article_Inputs!D11</f>
        <v>960</v>
      </c>
      <c r="K27" s="252">
        <f>Article_Inputs!D4</f>
        <v>5.0000000000000001E-4</v>
      </c>
      <c r="L27" s="104">
        <f>Article_Inputs!D10</f>
        <v>365</v>
      </c>
      <c r="M27" s="104">
        <f>Article_Inputs!D9</f>
        <v>1</v>
      </c>
      <c r="N27" s="195">
        <f>'P-Chem'!$H$3*(10000/60)</f>
        <v>9.6536487014712557E-8</v>
      </c>
      <c r="O27" s="104">
        <f>Article_Data!$B$28</f>
        <v>1.55</v>
      </c>
      <c r="P27" s="195">
        <f>K27*O27*1000</f>
        <v>0.77500000000000013</v>
      </c>
      <c r="Q27" s="257">
        <v>1</v>
      </c>
      <c r="R27" s="215" t="s">
        <v>608</v>
      </c>
      <c r="S27" s="217">
        <f>(INDEX('Dermal Calcs'!$B$46:$L$52,MATCH($R27,'Dermal Calcs'!$A$46:$A$52,0),MATCH(S$3,'Dermal Calcs'!$B$45:$L$45,0)))*(SQRT(2*$N27*D27))*$Q27*$P27</f>
        <v>2.5943826171397144</v>
      </c>
      <c r="T27" s="217">
        <f>(INDEX('Dermal Calcs'!$B$46:$L$52,MATCH($R27,'Dermal Calcs'!$A$46:$A$52,0),MATCH(T$3,'Dermal Calcs'!$B$45:$L$45,0)))*(SQRT(2*$N27*E27))*$Q27*$P27</f>
        <v>2.7114578827900626</v>
      </c>
      <c r="U27" s="217">
        <f>(INDEX('Dermal Calcs'!$B$46:$L$52,MATCH($R27,'Dermal Calcs'!$A$46:$A$52,0),MATCH(U$3,'Dermal Calcs'!$B$45:$L$45,0)))*(SQRT(2*$N27*F27))*$Q27*$P27</f>
        <v>2.9535671617455588</v>
      </c>
      <c r="V27" s="217">
        <f>(INDEX('Dermal Calcs'!$B$46:$L$52,MATCH($R27,'Dermal Calcs'!$A$46:$A$52,0),MATCH(V$3,'Dermal Calcs'!$B$45:$L$45,0)))*(SQRT(2*$N27*G27))*$Q27*$P27</f>
        <v>3.5833951182730024</v>
      </c>
      <c r="W27" s="217">
        <f>(INDEX('Dermal Calcs'!$B$46:$L$52,MATCH($R27,'Dermal Calcs'!$A$46:$A$52,0),MATCH(W$3,'Dermal Calcs'!$B$45:$L$45,0)))*(SQRT(2*$N27*H27))*$Q27*$P27</f>
        <v>4.3112053573487614</v>
      </c>
      <c r="X27" s="217">
        <f>(INDEX('Dermal Calcs'!$B$46:$L$52,MATCH($R27,'Dermal Calcs'!$A$46:$A$52,0),MATCH(X$3,'Dermal Calcs'!$B$45:$L$45,0)))*(SQRT(2*$N27*I27))*$Q27*$P27</f>
        <v>4.7731202170647009</v>
      </c>
      <c r="Y27" s="217">
        <f>(INDEX('Dermal Calcs'!$B$46:$L$52,MATCH($R27,'Dermal Calcs'!$A$46:$A$52,0),MATCH(Y$3,'Dermal Calcs'!$B$45:$L$45,0)))*(SQRT(2*$N27*J27))*$Q27*$P27</f>
        <v>5.376575169479711</v>
      </c>
      <c r="Z27" s="217">
        <f t="shared" si="30"/>
        <v>2.5943826171397144</v>
      </c>
      <c r="AA27" s="217">
        <f t="shared" si="31"/>
        <v>2.7114578827900626</v>
      </c>
      <c r="AB27" s="217">
        <f t="shared" si="32"/>
        <v>2.9535671617455583</v>
      </c>
      <c r="AC27" s="217">
        <f t="shared" si="33"/>
        <v>3.5833951182730028</v>
      </c>
      <c r="AD27" s="217">
        <f t="shared" si="34"/>
        <v>4.3112053573487614</v>
      </c>
      <c r="AE27" s="217">
        <f t="shared" si="35"/>
        <v>4.7731202170647009</v>
      </c>
      <c r="AF27" s="217">
        <f t="shared" si="36"/>
        <v>5.376575169479711</v>
      </c>
      <c r="AG27" s="217">
        <f t="shared" si="37"/>
        <v>2.5943826171397144</v>
      </c>
      <c r="AH27" s="217">
        <f t="shared" si="38"/>
        <v>2.7114578827900626</v>
      </c>
      <c r="AI27" s="217">
        <f t="shared" si="39"/>
        <v>2.9535671617455588</v>
      </c>
      <c r="AJ27" s="217">
        <f t="shared" si="40"/>
        <v>3.5833951182730024</v>
      </c>
      <c r="AK27" s="217">
        <f t="shared" si="41"/>
        <v>4.3112053573487614</v>
      </c>
      <c r="AL27" s="217">
        <f t="shared" si="42"/>
        <v>4.7731202170647009</v>
      </c>
      <c r="AM27" s="217">
        <f t="shared" si="43"/>
        <v>5.376575169479711</v>
      </c>
      <c r="AN27" s="218">
        <f t="shared" ref="AN27:AT36" si="45">(Z27*1000)/365</f>
        <v>7.1078975812046972</v>
      </c>
      <c r="AO27" s="219">
        <f t="shared" si="45"/>
        <v>7.4286517336714049</v>
      </c>
      <c r="AP27" s="219">
        <f t="shared" si="45"/>
        <v>8.0919648267001598</v>
      </c>
      <c r="AQ27" s="219">
        <f t="shared" si="45"/>
        <v>9.8175208719808307</v>
      </c>
      <c r="AR27" s="219">
        <f t="shared" si="45"/>
        <v>11.811521526982906</v>
      </c>
      <c r="AS27" s="219">
        <f t="shared" si="45"/>
        <v>13.077041690588223</v>
      </c>
      <c r="AT27" s="220">
        <f t="shared" si="45"/>
        <v>14.730342930081399</v>
      </c>
      <c r="AU27" s="219">
        <f t="shared" ref="AU27:BA36" si="46">AG27*1000</f>
        <v>2594.3826171397145</v>
      </c>
      <c r="AV27" s="219">
        <f t="shared" si="46"/>
        <v>2711.4578827900627</v>
      </c>
      <c r="AW27" s="219">
        <f t="shared" si="46"/>
        <v>2953.5671617455587</v>
      </c>
      <c r="AX27" s="219">
        <f t="shared" si="46"/>
        <v>3583.3951182730025</v>
      </c>
      <c r="AY27" s="219">
        <f t="shared" si="46"/>
        <v>4311.205357348761</v>
      </c>
      <c r="AZ27" s="219">
        <f t="shared" si="46"/>
        <v>4773.1202170647011</v>
      </c>
      <c r="BA27" s="220">
        <f t="shared" si="46"/>
        <v>5376.5751694797109</v>
      </c>
      <c r="BB27" s="224">
        <f t="shared" ref="BB27:BB36" si="47">(Z27*1000)/365</f>
        <v>7.1078975812046972</v>
      </c>
      <c r="BC27" s="54">
        <f t="shared" si="6"/>
        <v>7.7603082801857823</v>
      </c>
      <c r="BD27" s="225">
        <f t="shared" si="7"/>
        <v>12.359106754908341</v>
      </c>
      <c r="BE27" s="224">
        <f t="shared" si="8"/>
        <v>2594.3826171397145</v>
      </c>
      <c r="BF27" s="54">
        <f t="shared" si="9"/>
        <v>2832.5125222678107</v>
      </c>
      <c r="BG27" s="473">
        <f t="shared" si="10"/>
        <v>4511.0739655415446</v>
      </c>
      <c r="BH27" s="501"/>
      <c r="BI27" s="476"/>
      <c r="BJ27" s="476"/>
      <c r="BK27" s="476"/>
      <c r="BL27" s="781" t="s">
        <v>522</v>
      </c>
      <c r="BM27" s="474" t="s">
        <v>388</v>
      </c>
      <c r="BN27" s="477">
        <v>0.77500000000000013</v>
      </c>
      <c r="BO27" s="364">
        <f>12*60</f>
        <v>720</v>
      </c>
      <c r="BP27" s="364">
        <f>12*60</f>
        <v>720</v>
      </c>
      <c r="BQ27" s="364">
        <f>12*60</f>
        <v>720</v>
      </c>
      <c r="BR27" s="364">
        <v>9.6536487014712569E-12</v>
      </c>
      <c r="BS27" s="524" t="s">
        <v>608</v>
      </c>
    </row>
    <row r="28" spans="1:131" ht="15" thickTop="1" thickBot="1">
      <c r="A28" s="754"/>
      <c r="B28" s="302" t="s">
        <v>596</v>
      </c>
      <c r="C28" s="757"/>
      <c r="D28" s="265">
        <f>Article_Inputs!D18</f>
        <v>480</v>
      </c>
      <c r="E28" s="60">
        <f>Article_Inputs!D15</f>
        <v>480</v>
      </c>
      <c r="F28" s="60">
        <f>Article_Inputs!D15</f>
        <v>480</v>
      </c>
      <c r="G28" s="60">
        <f>Article_Inputs!D12</f>
        <v>480</v>
      </c>
      <c r="H28" s="60">
        <f>Article_Inputs!D12</f>
        <v>480</v>
      </c>
      <c r="I28" s="60">
        <f>Article_Inputs!D12</f>
        <v>480</v>
      </c>
      <c r="J28" s="264">
        <f>Article_Inputs!D12</f>
        <v>480</v>
      </c>
      <c r="K28" s="252">
        <f>Article_Inputs!D5</f>
        <v>1E-4</v>
      </c>
      <c r="L28" s="124">
        <f>L27</f>
        <v>365</v>
      </c>
      <c r="M28" s="124">
        <f>M27</f>
        <v>1</v>
      </c>
      <c r="N28" s="195">
        <f>'P-Chem'!$H$3*(10000/60)</f>
        <v>9.6536487014712557E-8</v>
      </c>
      <c r="O28" s="104">
        <f>Article_Data!$B$28</f>
        <v>1.55</v>
      </c>
      <c r="P28" s="195">
        <f t="shared" ref="P28:P39" si="48">K28*O28*1000</f>
        <v>0.155</v>
      </c>
      <c r="Q28" s="257">
        <v>1</v>
      </c>
      <c r="R28" s="215" t="s">
        <v>608</v>
      </c>
      <c r="S28" s="217">
        <f>(INDEX('Dermal Calcs'!$B$46:$L$52,MATCH($R28,'Dermal Calcs'!$A$46:$A$52,0),MATCH(S$3,'Dermal Calcs'!$B$45:$L$45,0)))*(SQRT(2*$N28*D28))*$Q28*$P28</f>
        <v>0.36690110831439887</v>
      </c>
      <c r="T28" s="217">
        <f>(INDEX('Dermal Calcs'!$B$46:$L$52,MATCH($R28,'Dermal Calcs'!$A$46:$A$52,0),MATCH(T$3,'Dermal Calcs'!$B$45:$L$45,0)))*(SQRT(2*$N28*E28))*$Q28*$P28</f>
        <v>0.38345805116451437</v>
      </c>
      <c r="U28" s="217">
        <f>(INDEX('Dermal Calcs'!$B$46:$L$52,MATCH($R28,'Dermal Calcs'!$A$46:$A$52,0),MATCH(U$3,'Dermal Calcs'!$B$45:$L$45,0)))*(SQRT(2*$N28*F28))*$Q28*$P28</f>
        <v>0.41769747375203775</v>
      </c>
      <c r="V28" s="217">
        <f>(INDEX('Dermal Calcs'!$B$46:$L$52,MATCH($R28,'Dermal Calcs'!$A$46:$A$52,0),MATCH(V$3,'Dermal Calcs'!$B$45:$L$45,0)))*(SQRT(2*$N28*G28))*$Q28*$P28</f>
        <v>0.506768597560322</v>
      </c>
      <c r="W28" s="217">
        <f>(INDEX('Dermal Calcs'!$B$46:$L$52,MATCH($R28,'Dermal Calcs'!$A$46:$A$52,0),MATCH(W$3,'Dermal Calcs'!$B$45:$L$45,0)))*(SQRT(2*$N28*H28))*$Q28*$P28</f>
        <v>0.6096965086538163</v>
      </c>
      <c r="X28" s="217">
        <f>(INDEX('Dermal Calcs'!$B$46:$L$52,MATCH($R28,'Dermal Calcs'!$A$46:$A$52,0),MATCH(X$3,'Dermal Calcs'!$B$45:$L$45,0)))*(SQRT(2*$N28*I28))*$Q28*$P28</f>
        <v>0.6750211345810111</v>
      </c>
      <c r="Y28" s="217">
        <f>(INDEX('Dermal Calcs'!$B$46:$L$52,MATCH($R28,'Dermal Calcs'!$A$46:$A$52,0),MATCH(Y$3,'Dermal Calcs'!$B$45:$L$45,0)))*(SQRT(2*$N28*J28))*$Q28*$P28</f>
        <v>0.76036255237966288</v>
      </c>
      <c r="Z28" s="217">
        <f t="shared" si="30"/>
        <v>0.36690110831439887</v>
      </c>
      <c r="AA28" s="217">
        <f t="shared" si="31"/>
        <v>0.38345805116451437</v>
      </c>
      <c r="AB28" s="217">
        <f t="shared" si="32"/>
        <v>0.4176974737520377</v>
      </c>
      <c r="AC28" s="217">
        <f t="shared" si="33"/>
        <v>0.506768597560322</v>
      </c>
      <c r="AD28" s="217">
        <f t="shared" si="34"/>
        <v>0.6096965086538163</v>
      </c>
      <c r="AE28" s="217">
        <f t="shared" si="35"/>
        <v>0.6750211345810111</v>
      </c>
      <c r="AF28" s="217">
        <f t="shared" si="36"/>
        <v>0.76036255237966288</v>
      </c>
      <c r="AG28" s="217">
        <f t="shared" si="37"/>
        <v>0.36690110831439887</v>
      </c>
      <c r="AH28" s="217">
        <f t="shared" si="38"/>
        <v>0.38345805116451437</v>
      </c>
      <c r="AI28" s="217">
        <f t="shared" si="39"/>
        <v>0.41769747375203775</v>
      </c>
      <c r="AJ28" s="217">
        <f t="shared" si="40"/>
        <v>0.506768597560322</v>
      </c>
      <c r="AK28" s="217">
        <f t="shared" si="41"/>
        <v>0.6096965086538163</v>
      </c>
      <c r="AL28" s="217">
        <f t="shared" si="42"/>
        <v>0.6750211345810111</v>
      </c>
      <c r="AM28" s="217">
        <f t="shared" si="43"/>
        <v>0.76036255237966288</v>
      </c>
      <c r="AN28" s="218">
        <f t="shared" si="45"/>
        <v>1.0052085159298598</v>
      </c>
      <c r="AO28" s="219">
        <f t="shared" si="45"/>
        <v>1.0505700031904504</v>
      </c>
      <c r="AP28" s="219">
        <f t="shared" si="45"/>
        <v>1.1443766404165416</v>
      </c>
      <c r="AQ28" s="219">
        <f t="shared" si="45"/>
        <v>1.388407116603622</v>
      </c>
      <c r="AR28" s="219">
        <f t="shared" si="45"/>
        <v>1.6704013935720994</v>
      </c>
      <c r="AS28" s="219">
        <f t="shared" si="45"/>
        <v>1.8493729714548248</v>
      </c>
      <c r="AT28" s="220">
        <f t="shared" si="45"/>
        <v>2.0831850750127749</v>
      </c>
      <c r="AU28" s="219">
        <f t="shared" si="46"/>
        <v>366.90110831439887</v>
      </c>
      <c r="AV28" s="219">
        <f t="shared" si="46"/>
        <v>383.45805116451436</v>
      </c>
      <c r="AW28" s="219">
        <f t="shared" si="46"/>
        <v>417.69747375203775</v>
      </c>
      <c r="AX28" s="219">
        <f t="shared" si="46"/>
        <v>506.76859756032201</v>
      </c>
      <c r="AY28" s="219">
        <f t="shared" si="46"/>
        <v>609.6965086538163</v>
      </c>
      <c r="AZ28" s="219">
        <f t="shared" si="46"/>
        <v>675.0211345810111</v>
      </c>
      <c r="BA28" s="220">
        <f t="shared" si="46"/>
        <v>760.36255237966293</v>
      </c>
      <c r="BB28" s="224">
        <f t="shared" si="47"/>
        <v>1.0052085159298598</v>
      </c>
      <c r="BC28" s="54">
        <f t="shared" ref="BC28:BC36" si="49">(AVERAGE(AA28:AB28)*1000)/365</f>
        <v>1.097473321803496</v>
      </c>
      <c r="BD28" s="225">
        <f t="shared" ref="BD28:BD36" si="50">(AVERAGE(AC28:AF28)*1000)/365</f>
        <v>1.7478416391608302</v>
      </c>
      <c r="BE28" s="224">
        <f t="shared" ref="BE28:BE36" si="51">AG28*1000</f>
        <v>366.90110831439887</v>
      </c>
      <c r="BF28" s="54">
        <f t="shared" ref="BF28:BF36" si="52">AVERAGE(AH28:AI28)*1000</f>
        <v>400.57776245827603</v>
      </c>
      <c r="BG28" s="473">
        <f t="shared" ref="BG28:BG36" si="53">AVERAGE(AJ28:AM28)*1000</f>
        <v>637.96219829370307</v>
      </c>
      <c r="BH28" s="501"/>
      <c r="BI28" s="476"/>
      <c r="BJ28" s="476"/>
      <c r="BK28" s="476"/>
      <c r="BL28" s="781"/>
      <c r="BM28" s="474" t="s">
        <v>598</v>
      </c>
      <c r="BN28" s="477">
        <v>0.155</v>
      </c>
      <c r="BO28" s="364">
        <f>6*60</f>
        <v>360</v>
      </c>
      <c r="BP28" s="364">
        <f>6*60</f>
        <v>360</v>
      </c>
      <c r="BQ28" s="364">
        <f>6*60</f>
        <v>360</v>
      </c>
      <c r="BR28" s="364">
        <v>9.6536487014712569E-12</v>
      </c>
      <c r="BS28" s="524" t="s">
        <v>609</v>
      </c>
      <c r="BY28" s="479"/>
      <c r="BZ28" s="247"/>
    </row>
    <row r="29" spans="1:131" ht="15" thickTop="1" thickBot="1">
      <c r="A29" s="755"/>
      <c r="B29" s="297" t="s">
        <v>390</v>
      </c>
      <c r="C29" s="758"/>
      <c r="D29" s="266">
        <f>Article_Inputs!D19</f>
        <v>240</v>
      </c>
      <c r="E29" s="232">
        <f>Article_Inputs!D16</f>
        <v>240</v>
      </c>
      <c r="F29" s="232">
        <f>Article_Inputs!D16</f>
        <v>240</v>
      </c>
      <c r="G29" s="232">
        <f>Article_Inputs!D13</f>
        <v>240</v>
      </c>
      <c r="H29" s="232">
        <f>Article_Inputs!D13</f>
        <v>240</v>
      </c>
      <c r="I29" s="232">
        <f>Article_Inputs!D13</f>
        <v>240</v>
      </c>
      <c r="J29" s="264">
        <f>Article_Inputs!D13</f>
        <v>240</v>
      </c>
      <c r="K29" s="267">
        <f>Article_Inputs!D6</f>
        <v>2.9999999999999999E-7</v>
      </c>
      <c r="L29" s="230">
        <f>L27</f>
        <v>365</v>
      </c>
      <c r="M29" s="230">
        <f>M27</f>
        <v>1</v>
      </c>
      <c r="N29" s="233">
        <f>'P-Chem'!$H$3*(10000/60)</f>
        <v>9.6536487014712557E-8</v>
      </c>
      <c r="O29" s="268">
        <f>Article_Data!$B$28</f>
        <v>1.55</v>
      </c>
      <c r="P29" s="233">
        <f t="shared" si="48"/>
        <v>4.6499999999999997E-4</v>
      </c>
      <c r="Q29" s="269">
        <v>1</v>
      </c>
      <c r="R29" s="234" t="s">
        <v>608</v>
      </c>
      <c r="S29" s="217">
        <f>(INDEX('Dermal Calcs'!$B$46:$L$52,MATCH($R29,'Dermal Calcs'!$A$46:$A$52,0),MATCH(S$3,'Dermal Calcs'!$B$45:$L$45,0)))*(SQRT(2*$N29*D29))*$Q29*$P29</f>
        <v>7.7831478514191416E-4</v>
      </c>
      <c r="T29" s="217">
        <f>(INDEX('Dermal Calcs'!$B$46:$L$52,MATCH($R29,'Dermal Calcs'!$A$46:$A$52,0),MATCH(T$3,'Dermal Calcs'!$B$45:$L$45,0)))*(SQRT(2*$N29*E29))*$Q29*$P29</f>
        <v>8.1343736483701864E-4</v>
      </c>
      <c r="U29" s="217">
        <f>(INDEX('Dermal Calcs'!$B$46:$L$52,MATCH($R29,'Dermal Calcs'!$A$46:$A$52,0),MATCH(U$3,'Dermal Calcs'!$B$45:$L$45,0)))*(SQRT(2*$N29*F29))*$Q29*$P29</f>
        <v>8.8607014852366741E-4</v>
      </c>
      <c r="V29" s="217">
        <f>(INDEX('Dermal Calcs'!$B$46:$L$52,MATCH($R29,'Dermal Calcs'!$A$46:$A$52,0),MATCH(V$3,'Dermal Calcs'!$B$45:$L$45,0)))*(SQRT(2*$N29*G29))*$Q29*$P29</f>
        <v>1.0750185354819004E-3</v>
      </c>
      <c r="W29" s="217">
        <f>(INDEX('Dermal Calcs'!$B$46:$L$52,MATCH($R29,'Dermal Calcs'!$A$46:$A$52,0),MATCH(W$3,'Dermal Calcs'!$B$45:$L$45,0)))*(SQRT(2*$N29*H29))*$Q29*$P29</f>
        <v>1.2933616072046282E-3</v>
      </c>
      <c r="X29" s="217">
        <f>(INDEX('Dermal Calcs'!$B$46:$L$52,MATCH($R29,'Dermal Calcs'!$A$46:$A$52,0),MATCH(X$3,'Dermal Calcs'!$B$45:$L$45,0)))*(SQRT(2*$N29*I29))*$Q29*$P29</f>
        <v>1.4319360651194098E-3</v>
      </c>
      <c r="Y29" s="217">
        <f>(INDEX('Dermal Calcs'!$B$46:$L$52,MATCH($R29,'Dermal Calcs'!$A$46:$A$52,0),MATCH(Y$3,'Dermal Calcs'!$B$45:$L$45,0)))*(SQRT(2*$N29*J29))*$Q29*$P29</f>
        <v>1.6129725508439131E-3</v>
      </c>
      <c r="Z29" s="217">
        <f t="shared" si="30"/>
        <v>7.7831478514191427E-4</v>
      </c>
      <c r="AA29" s="217">
        <f t="shared" si="31"/>
        <v>8.1343736483701875E-4</v>
      </c>
      <c r="AB29" s="217">
        <f t="shared" si="32"/>
        <v>8.8607014852366752E-4</v>
      </c>
      <c r="AC29" s="217">
        <f t="shared" si="33"/>
        <v>1.0750185354819004E-3</v>
      </c>
      <c r="AD29" s="217">
        <f t="shared" si="34"/>
        <v>1.2933616072046282E-3</v>
      </c>
      <c r="AE29" s="217">
        <f t="shared" si="35"/>
        <v>1.4319360651194096E-3</v>
      </c>
      <c r="AF29" s="217">
        <f t="shared" si="36"/>
        <v>1.6129725508439131E-3</v>
      </c>
      <c r="AG29" s="217">
        <f t="shared" si="37"/>
        <v>7.7831478514191416E-4</v>
      </c>
      <c r="AH29" s="217">
        <f t="shared" si="38"/>
        <v>8.1343736483701864E-4</v>
      </c>
      <c r="AI29" s="217">
        <f t="shared" si="39"/>
        <v>8.8607014852366741E-4</v>
      </c>
      <c r="AJ29" s="217">
        <f t="shared" si="40"/>
        <v>1.0750185354819004E-3</v>
      </c>
      <c r="AK29" s="217">
        <f t="shared" si="41"/>
        <v>1.2933616072046282E-3</v>
      </c>
      <c r="AL29" s="217">
        <f t="shared" si="42"/>
        <v>1.4319360651194098E-3</v>
      </c>
      <c r="AM29" s="217">
        <f t="shared" si="43"/>
        <v>1.6129725508439131E-3</v>
      </c>
      <c r="AN29" s="218">
        <f t="shared" si="45"/>
        <v>2.1323692743614093E-3</v>
      </c>
      <c r="AO29" s="219">
        <f t="shared" si="45"/>
        <v>2.2285955201014214E-3</v>
      </c>
      <c r="AP29" s="219">
        <f t="shared" si="45"/>
        <v>2.4275894480100479E-3</v>
      </c>
      <c r="AQ29" s="219">
        <f t="shared" si="45"/>
        <v>2.9452562615942478E-3</v>
      </c>
      <c r="AR29" s="219">
        <f t="shared" si="45"/>
        <v>3.5434564580948714E-3</v>
      </c>
      <c r="AS29" s="219">
        <f t="shared" si="45"/>
        <v>3.9231125071764643E-3</v>
      </c>
      <c r="AT29" s="220">
        <f t="shared" si="45"/>
        <v>4.4191028790244195E-3</v>
      </c>
      <c r="AU29" s="219">
        <f t="shared" si="46"/>
        <v>0.77831478514191421</v>
      </c>
      <c r="AV29" s="219">
        <f t="shared" si="46"/>
        <v>0.81343736483701867</v>
      </c>
      <c r="AW29" s="219">
        <f t="shared" si="46"/>
        <v>0.88607014852366739</v>
      </c>
      <c r="AX29" s="219">
        <f t="shared" si="46"/>
        <v>1.0750185354819004</v>
      </c>
      <c r="AY29" s="219">
        <f t="shared" si="46"/>
        <v>1.2933616072046281</v>
      </c>
      <c r="AZ29" s="219">
        <f t="shared" si="46"/>
        <v>1.4319360651194097</v>
      </c>
      <c r="BA29" s="220">
        <f t="shared" si="46"/>
        <v>1.612972550843913</v>
      </c>
      <c r="BB29" s="224">
        <f t="shared" si="47"/>
        <v>2.1323692743614093E-3</v>
      </c>
      <c r="BC29" s="54">
        <f t="shared" si="49"/>
        <v>2.3280924840557347E-3</v>
      </c>
      <c r="BD29" s="225">
        <f t="shared" si="50"/>
        <v>3.7077320264725009E-3</v>
      </c>
      <c r="BE29" s="224">
        <f t="shared" si="51"/>
        <v>0.77831478514191421</v>
      </c>
      <c r="BF29" s="54">
        <f t="shared" si="52"/>
        <v>0.84975375668034303</v>
      </c>
      <c r="BG29" s="473">
        <f t="shared" si="53"/>
        <v>1.353322189662463</v>
      </c>
      <c r="BH29" s="501"/>
      <c r="BI29" s="476"/>
      <c r="BJ29" s="476"/>
      <c r="BK29" s="476"/>
      <c r="BL29" s="782"/>
      <c r="BM29" s="520" t="s">
        <v>390</v>
      </c>
      <c r="BN29" s="521">
        <v>4.6499999999999997E-4</v>
      </c>
      <c r="BO29" s="523">
        <f>4*60</f>
        <v>240</v>
      </c>
      <c r="BP29" s="523">
        <f>4*60</f>
        <v>240</v>
      </c>
      <c r="BQ29" s="523">
        <f>4*60</f>
        <v>240</v>
      </c>
      <c r="BR29" s="523">
        <v>9.6536487014712569E-12</v>
      </c>
      <c r="BS29" s="525" t="s">
        <v>610</v>
      </c>
      <c r="BV29" s="783"/>
      <c r="BW29" s="622"/>
      <c r="BX29" s="475"/>
    </row>
    <row r="30" spans="1:131" ht="14.4" customHeight="1" thickTop="1">
      <c r="A30" s="756" t="str">
        <f>Article_Inputs!E1</f>
        <v>Bedding</v>
      </c>
      <c r="B30" s="298" t="s">
        <v>388</v>
      </c>
      <c r="C30" s="756" t="s">
        <v>523</v>
      </c>
      <c r="D30" s="270">
        <v>705</v>
      </c>
      <c r="E30" s="271">
        <v>780</v>
      </c>
      <c r="F30" s="271">
        <v>780</v>
      </c>
      <c r="G30" s="271">
        <v>930</v>
      </c>
      <c r="H30" s="271">
        <v>930</v>
      </c>
      <c r="I30" s="271">
        <v>930</v>
      </c>
      <c r="J30" s="272">
        <v>930</v>
      </c>
      <c r="K30" s="273">
        <f>Article_Inputs!$E$4</f>
        <v>5.0000000000000001E-4</v>
      </c>
      <c r="L30" s="169">
        <f>Article_Inputs!E10</f>
        <v>365</v>
      </c>
      <c r="M30" s="169">
        <f>Article_Inputs!E9</f>
        <v>1</v>
      </c>
      <c r="N30" s="245">
        <f>'P-Chem'!$H$3*(10000/60)</f>
        <v>9.6536487014712557E-8</v>
      </c>
      <c r="O30" s="169">
        <f>Article_Data!$B$28</f>
        <v>1.55</v>
      </c>
      <c r="P30" s="245">
        <f t="shared" si="48"/>
        <v>0.77500000000000013</v>
      </c>
      <c r="Q30" s="253">
        <v>1</v>
      </c>
      <c r="R30" s="246" t="s">
        <v>608</v>
      </c>
      <c r="S30" s="217">
        <f>(INDEX('Dermal Calcs'!$B$46:$L$52,MATCH($R30,'Dermal Calcs'!$A$46:$A$52,0),MATCH(S$3,'Dermal Calcs'!$B$45:$L$45,0)))*(SQRT(2*$N30*D30))*$Q30*$P30</f>
        <v>2.2232738905492981</v>
      </c>
      <c r="T30" s="217">
        <f>(INDEX('Dermal Calcs'!$B$46:$L$52,MATCH($R30,'Dermal Calcs'!$A$46:$A$52,0),MATCH(T$3,'Dermal Calcs'!$B$45:$L$45,0)))*(SQRT(2*$N30*E30))*$Q30*$P30</f>
        <v>2.4440751069151494</v>
      </c>
      <c r="U30" s="217">
        <f>(INDEX('Dermal Calcs'!$B$46:$L$52,MATCH($R30,'Dermal Calcs'!$A$46:$A$52,0),MATCH(U$3,'Dermal Calcs'!$B$45:$L$45,0)))*(SQRT(2*$N30*F30))*$Q30*$P30</f>
        <v>2.6623094618000636</v>
      </c>
      <c r="V30" s="217">
        <f>(INDEX('Dermal Calcs'!$B$46:$L$52,MATCH($R30,'Dermal Calcs'!$A$46:$A$52,0),MATCH(V$3,'Dermal Calcs'!$B$45:$L$45,0)))*(SQRT(2*$N30*G30))*$Q30*$P30</f>
        <v>3.5269601721221382</v>
      </c>
      <c r="W30" s="217">
        <f>(INDEX('Dermal Calcs'!$B$46:$L$52,MATCH($R30,'Dermal Calcs'!$A$46:$A$52,0),MATCH(W$3,'Dermal Calcs'!$B$45:$L$45,0)))*(SQRT(2*$N30*H30))*$Q30*$P30</f>
        <v>4.2433081162807564</v>
      </c>
      <c r="X30" s="217">
        <f>(INDEX('Dermal Calcs'!$B$46:$L$52,MATCH($R30,'Dermal Calcs'!$A$46:$A$52,0),MATCH(X$3,'Dermal Calcs'!$B$45:$L$45,0)))*(SQRT(2*$N30*I30))*$Q30*$P30</f>
        <v>4.6979482715965526</v>
      </c>
      <c r="Y30" s="217">
        <f>(INDEX('Dermal Calcs'!$B$46:$L$52,MATCH($R30,'Dermal Calcs'!$A$46:$A$52,0),MATCH(Y$3,'Dermal Calcs'!$B$45:$L$45,0)))*(SQRT(2*$N30*J30))*$Q30*$P30</f>
        <v>5.2918994024624544</v>
      </c>
      <c r="Z30" s="217">
        <f t="shared" si="30"/>
        <v>2.2232738905492981</v>
      </c>
      <c r="AA30" s="217">
        <f t="shared" si="31"/>
        <v>2.4440751069151494</v>
      </c>
      <c r="AB30" s="217">
        <f t="shared" si="32"/>
        <v>2.6623094618000636</v>
      </c>
      <c r="AC30" s="217">
        <f t="shared" si="33"/>
        <v>3.5269601721221386</v>
      </c>
      <c r="AD30" s="217">
        <f t="shared" si="34"/>
        <v>4.2433081162807564</v>
      </c>
      <c r="AE30" s="217">
        <f t="shared" si="35"/>
        <v>4.6979482715965526</v>
      </c>
      <c r="AF30" s="217">
        <f t="shared" si="36"/>
        <v>5.2918994024624544</v>
      </c>
      <c r="AG30" s="217">
        <f t="shared" si="37"/>
        <v>2.2232738905492981</v>
      </c>
      <c r="AH30" s="217">
        <f t="shared" si="38"/>
        <v>2.4440751069151494</v>
      </c>
      <c r="AI30" s="217">
        <f t="shared" si="39"/>
        <v>2.6623094618000636</v>
      </c>
      <c r="AJ30" s="217">
        <f t="shared" si="40"/>
        <v>3.5269601721221382</v>
      </c>
      <c r="AK30" s="217">
        <f t="shared" si="41"/>
        <v>4.2433081162807564</v>
      </c>
      <c r="AL30" s="217">
        <f t="shared" si="42"/>
        <v>4.6979482715965526</v>
      </c>
      <c r="AM30" s="217">
        <f t="shared" si="43"/>
        <v>5.2918994024624544</v>
      </c>
      <c r="AN30" s="218">
        <f t="shared" si="45"/>
        <v>6.0911613439706809</v>
      </c>
      <c r="AO30" s="219">
        <f t="shared" si="45"/>
        <v>6.6960961833291757</v>
      </c>
      <c r="AP30" s="219">
        <f t="shared" si="45"/>
        <v>7.2939985254796262</v>
      </c>
      <c r="AQ30" s="219">
        <f t="shared" si="45"/>
        <v>9.6629045811565444</v>
      </c>
      <c r="AR30" s="219">
        <f t="shared" si="45"/>
        <v>11.62550168844043</v>
      </c>
      <c r="AS30" s="219">
        <f t="shared" si="45"/>
        <v>12.871091155059048</v>
      </c>
      <c r="AT30" s="220">
        <f t="shared" si="45"/>
        <v>14.498354527294396</v>
      </c>
      <c r="AU30" s="219">
        <f t="shared" si="46"/>
        <v>2223.2738905492984</v>
      </c>
      <c r="AV30" s="219">
        <f t="shared" si="46"/>
        <v>2444.0751069151493</v>
      </c>
      <c r="AW30" s="219">
        <f t="shared" si="46"/>
        <v>2662.3094618000637</v>
      </c>
      <c r="AX30" s="219">
        <f t="shared" si="46"/>
        <v>3526.9601721221384</v>
      </c>
      <c r="AY30" s="219">
        <f t="shared" si="46"/>
        <v>4243.3081162807566</v>
      </c>
      <c r="AZ30" s="219">
        <f t="shared" si="46"/>
        <v>4697.9482715965523</v>
      </c>
      <c r="BA30" s="220">
        <f t="shared" si="46"/>
        <v>5291.8994024624544</v>
      </c>
      <c r="BB30" s="221">
        <f t="shared" si="47"/>
        <v>6.0911613439706809</v>
      </c>
      <c r="BC30" s="222">
        <f t="shared" si="49"/>
        <v>6.9950473544044023</v>
      </c>
      <c r="BD30" s="222">
        <f t="shared" si="50"/>
        <v>12.164462987987605</v>
      </c>
      <c r="BE30" s="221">
        <f t="shared" si="51"/>
        <v>2223.2738905492984</v>
      </c>
      <c r="BF30" s="222">
        <f t="shared" si="52"/>
        <v>2553.1922843576067</v>
      </c>
      <c r="BG30" s="222">
        <f t="shared" si="53"/>
        <v>4440.0289906154758</v>
      </c>
      <c r="BH30" s="501"/>
      <c r="BI30" s="476"/>
      <c r="BJ30" s="476"/>
      <c r="BK30" s="476"/>
      <c r="BL30" s="784" t="s">
        <v>523</v>
      </c>
      <c r="BM30" s="474" t="s">
        <v>388</v>
      </c>
      <c r="BN30" s="477">
        <v>0.77500000000000013</v>
      </c>
      <c r="BO30" s="478">
        <f>BO31+124.3</f>
        <v>856.69999999999993</v>
      </c>
      <c r="BP30" s="478">
        <f>BP31+110.8</f>
        <v>674.5</v>
      </c>
      <c r="BQ30" s="478">
        <f>BQ31+123</f>
        <v>619.9</v>
      </c>
      <c r="BR30" s="364">
        <v>9.6536487014712569E-12</v>
      </c>
      <c r="BS30" s="524" t="s">
        <v>608</v>
      </c>
      <c r="BV30" s="783"/>
      <c r="BW30" s="622"/>
      <c r="BX30" s="475"/>
    </row>
    <row r="31" spans="1:131" ht="14.4" customHeight="1">
      <c r="A31" s="757"/>
      <c r="B31" s="296" t="s">
        <v>611</v>
      </c>
      <c r="C31" s="757"/>
      <c r="D31" s="274">
        <v>705</v>
      </c>
      <c r="E31" s="275">
        <v>780</v>
      </c>
      <c r="F31" s="275">
        <v>780</v>
      </c>
      <c r="G31" s="275">
        <v>930</v>
      </c>
      <c r="H31" s="275">
        <v>930</v>
      </c>
      <c r="I31" s="275">
        <v>930</v>
      </c>
      <c r="J31" s="251">
        <v>930</v>
      </c>
      <c r="K31" s="273">
        <f>Article_Inputs!$E$4</f>
        <v>5.0000000000000001E-4</v>
      </c>
      <c r="L31" s="169">
        <v>365</v>
      </c>
      <c r="M31" s="169">
        <v>1</v>
      </c>
      <c r="N31" s="245">
        <f>'P-Chem'!$H$3*(10000/60)</f>
        <v>9.6536487014712557E-8</v>
      </c>
      <c r="O31" s="169">
        <f>Article_Data!$B$28</f>
        <v>1.55</v>
      </c>
      <c r="P31" s="245">
        <f t="shared" ref="P31" si="54">K31*O31*1000</f>
        <v>0.77500000000000013</v>
      </c>
      <c r="Q31" s="253">
        <v>1</v>
      </c>
      <c r="R31" s="246" t="s">
        <v>609</v>
      </c>
      <c r="S31" s="217">
        <f>(INDEX('Dermal Calcs'!$B$46:$L$52,MATCH($R31,'Dermal Calcs'!$A$46:$A$52,0),MATCH(S$3,'Dermal Calcs'!$B$45:$L$45,0)))*(SQRT(2*$N31*D31))*$Q31*$P31</f>
        <v>1.1116369452746491</v>
      </c>
      <c r="T31" s="217">
        <f>(INDEX('Dermal Calcs'!$B$46:$L$52,MATCH($R31,'Dermal Calcs'!$A$46:$A$52,0),MATCH(T$3,'Dermal Calcs'!$B$45:$L$45,0)))*(SQRT(2*$N31*E31))*$Q31*$P31</f>
        <v>1.2220375534575747</v>
      </c>
      <c r="U31" s="217">
        <f>(INDEX('Dermal Calcs'!$B$46:$L$52,MATCH($R31,'Dermal Calcs'!$A$46:$A$52,0),MATCH(U$3,'Dermal Calcs'!$B$45:$L$45,0)))*(SQRT(2*$N31*F31))*$Q31*$P31</f>
        <v>1.3311547309000318</v>
      </c>
      <c r="V31" s="217">
        <f>(INDEX('Dermal Calcs'!$B$46:$L$52,MATCH($R31,'Dermal Calcs'!$A$46:$A$52,0),MATCH(V$3,'Dermal Calcs'!$B$45:$L$45,0)))*(SQRT(2*$N31*G31))*$Q31*$P31</f>
        <v>1.7634800860610691</v>
      </c>
      <c r="W31" s="217">
        <f>(INDEX('Dermal Calcs'!$B$46:$L$52,MATCH($R31,'Dermal Calcs'!$A$46:$A$52,0),MATCH(W$3,'Dermal Calcs'!$B$45:$L$45,0)))*(SQRT(2*$N31*H31))*$Q31*$P31</f>
        <v>2.1216540581403782</v>
      </c>
      <c r="X31" s="217">
        <f>(INDEX('Dermal Calcs'!$B$46:$L$52,MATCH($R31,'Dermal Calcs'!$A$46:$A$52,0),MATCH(X$3,'Dermal Calcs'!$B$45:$L$45,0)))*(SQRT(2*$N31*I31))*$Q31*$P31</f>
        <v>2.3489741357982763</v>
      </c>
      <c r="Y31" s="217">
        <f>(INDEX('Dermal Calcs'!$B$46:$L$52,MATCH($R31,'Dermal Calcs'!$A$46:$A$52,0),MATCH(Y$3,'Dermal Calcs'!$B$45:$L$45,0)))*(SQRT(2*$N31*J31))*$Q31*$P31</f>
        <v>2.6459497012312272</v>
      </c>
      <c r="Z31" s="217">
        <f t="shared" ref="Z31" si="55">(S31*$L31)/365</f>
        <v>1.1116369452746491</v>
      </c>
      <c r="AA31" s="217">
        <f t="shared" ref="AA31" si="56">(T31*$L31)/365</f>
        <v>1.2220375534575747</v>
      </c>
      <c r="AB31" s="217">
        <f t="shared" ref="AB31" si="57">(U31*$L31)/365</f>
        <v>1.3311547309000318</v>
      </c>
      <c r="AC31" s="217">
        <f t="shared" ref="AC31" si="58">(V31*$L31)/365</f>
        <v>1.7634800860610693</v>
      </c>
      <c r="AD31" s="217">
        <f t="shared" ref="AD31" si="59">(W31*$L31)/365</f>
        <v>2.1216540581403782</v>
      </c>
      <c r="AE31" s="217">
        <f t="shared" ref="AE31" si="60">(X31*$L31)/365</f>
        <v>2.3489741357982763</v>
      </c>
      <c r="AF31" s="217">
        <f t="shared" ref="AF31" si="61">(Y31*$L31)/365</f>
        <v>2.6459497012312272</v>
      </c>
      <c r="AG31" s="217">
        <f t="shared" ref="AG31" si="62">S31*$M31</f>
        <v>1.1116369452746491</v>
      </c>
      <c r="AH31" s="217">
        <f t="shared" ref="AH31" si="63">T31*$M31</f>
        <v>1.2220375534575747</v>
      </c>
      <c r="AI31" s="217">
        <f t="shared" ref="AI31" si="64">U31*$M31</f>
        <v>1.3311547309000318</v>
      </c>
      <c r="AJ31" s="217">
        <f t="shared" ref="AJ31" si="65">V31*$M31</f>
        <v>1.7634800860610691</v>
      </c>
      <c r="AK31" s="217">
        <f t="shared" ref="AK31" si="66">W31*$M31</f>
        <v>2.1216540581403782</v>
      </c>
      <c r="AL31" s="217">
        <f t="shared" ref="AL31" si="67">X31*$M31</f>
        <v>2.3489741357982763</v>
      </c>
      <c r="AM31" s="217">
        <f t="shared" ref="AM31" si="68">Y31*$M31</f>
        <v>2.6459497012312272</v>
      </c>
      <c r="AN31" s="218"/>
      <c r="AO31" s="219"/>
      <c r="AP31" s="219"/>
      <c r="AQ31" s="219"/>
      <c r="AR31" s="219"/>
      <c r="AS31" s="219"/>
      <c r="AT31" s="220"/>
      <c r="AU31" s="219"/>
      <c r="AV31" s="219"/>
      <c r="AW31" s="219"/>
      <c r="AX31" s="219"/>
      <c r="AY31" s="219"/>
      <c r="AZ31" s="219"/>
      <c r="BA31" s="220"/>
      <c r="BB31" s="224"/>
      <c r="BC31" s="276"/>
      <c r="BD31" s="276"/>
      <c r="BE31" s="224"/>
      <c r="BF31" s="276"/>
      <c r="BG31" s="276"/>
      <c r="BH31" s="501"/>
      <c r="BI31" s="476"/>
      <c r="BJ31" s="476"/>
      <c r="BK31" s="476"/>
      <c r="BL31" s="781"/>
      <c r="BM31" s="474" t="s">
        <v>598</v>
      </c>
      <c r="BN31" s="477">
        <v>0.155</v>
      </c>
      <c r="BO31" s="478">
        <v>732.4</v>
      </c>
      <c r="BP31" s="478">
        <v>563.70000000000005</v>
      </c>
      <c r="BQ31" s="478">
        <v>496.9</v>
      </c>
      <c r="BR31" s="364">
        <v>9.6536487014712569E-12</v>
      </c>
      <c r="BS31" s="524" t="s">
        <v>609</v>
      </c>
      <c r="BV31" s="783"/>
      <c r="BW31" s="622"/>
      <c r="BX31" s="475"/>
    </row>
    <row r="32" spans="1:131" ht="14.5" thickBot="1">
      <c r="A32" s="757"/>
      <c r="B32" s="302" t="s">
        <v>596</v>
      </c>
      <c r="C32" s="757"/>
      <c r="D32" s="277">
        <f>Article_Inputs!E18</f>
        <v>496.9</v>
      </c>
      <c r="E32" s="278">
        <f>Article_Inputs!E15</f>
        <v>563.70000000000005</v>
      </c>
      <c r="F32" s="278">
        <f>Article_Inputs!E15</f>
        <v>563.70000000000005</v>
      </c>
      <c r="G32" s="278">
        <f>Article_Inputs!E12</f>
        <v>732.4</v>
      </c>
      <c r="H32" s="278">
        <f>Article_Inputs!E12</f>
        <v>732.4</v>
      </c>
      <c r="I32" s="278">
        <f>Article_Inputs!E12</f>
        <v>732.4</v>
      </c>
      <c r="J32" s="279">
        <f>Article_Inputs!E12</f>
        <v>732.4</v>
      </c>
      <c r="K32" s="252">
        <f>Article_Inputs!E5</f>
        <v>1E-4</v>
      </c>
      <c r="L32" s="124">
        <f>L30</f>
        <v>365</v>
      </c>
      <c r="M32" s="124">
        <f>M30</f>
        <v>1</v>
      </c>
      <c r="N32" s="195">
        <f>'P-Chem'!$H$3*(10000/60)</f>
        <v>9.6536487014712557E-8</v>
      </c>
      <c r="O32" s="104">
        <f>Article_Data!$B$28</f>
        <v>1.55</v>
      </c>
      <c r="P32" s="195">
        <f t="shared" si="48"/>
        <v>0.155</v>
      </c>
      <c r="Q32" s="257">
        <v>1</v>
      </c>
      <c r="R32" s="215" t="s">
        <v>609</v>
      </c>
      <c r="S32" s="217">
        <f>(INDEX('Dermal Calcs'!$B$46:$L$52,MATCH($R32,'Dermal Calcs'!$A$46:$A$52,0),MATCH(S$3,'Dermal Calcs'!$B$45:$L$45,0)))*(SQRT(2*$N32*D32))*$Q32*$P32</f>
        <v>0.18665211168467913</v>
      </c>
      <c r="T32" s="217">
        <f>(INDEX('Dermal Calcs'!$B$46:$L$52,MATCH($R32,'Dermal Calcs'!$A$46:$A$52,0),MATCH(T$3,'Dermal Calcs'!$B$45:$L$45,0)))*(SQRT(2*$N32*E32))*$Q32*$P32</f>
        <v>0.20777403015672208</v>
      </c>
      <c r="U32" s="217">
        <f>(INDEX('Dermal Calcs'!$B$46:$L$52,MATCH($R32,'Dermal Calcs'!$A$46:$A$52,0),MATCH(U$3,'Dermal Calcs'!$B$45:$L$45,0)))*(SQRT(2*$N32*F32))*$Q32*$P32</f>
        <v>0.22632641887210908</v>
      </c>
      <c r="V32" s="217">
        <f>(INDEX('Dermal Calcs'!$B$46:$L$52,MATCH($R32,'Dermal Calcs'!$A$46:$A$52,0),MATCH(V$3,'Dermal Calcs'!$B$45:$L$45,0)))*(SQRT(2*$N32*G32))*$Q32*$P32</f>
        <v>0.31299200848674863</v>
      </c>
      <c r="W32" s="217">
        <f>(INDEX('Dermal Calcs'!$B$46:$L$52,MATCH($R32,'Dermal Calcs'!$A$46:$A$52,0),MATCH(W$3,'Dermal Calcs'!$B$45:$L$45,0)))*(SQRT(2*$N32*H32))*$Q32*$P32</f>
        <v>0.37656266731918264</v>
      </c>
      <c r="X32" s="217">
        <f>(INDEX('Dermal Calcs'!$B$46:$L$52,MATCH($R32,'Dermal Calcs'!$A$46:$A$52,0),MATCH(X$3,'Dermal Calcs'!$B$45:$L$45,0)))*(SQRT(2*$N32*I32))*$Q32*$P32</f>
        <v>0.41690866738909516</v>
      </c>
      <c r="Y32" s="217">
        <f>(INDEX('Dermal Calcs'!$B$46:$L$52,MATCH($R32,'Dermal Calcs'!$A$46:$A$52,0),MATCH(Y$3,'Dermal Calcs'!$B$45:$L$45,0)))*(SQRT(2*$N32*J32))*$Q32*$P32</f>
        <v>0.46961750114970974</v>
      </c>
      <c r="Z32" s="217">
        <f t="shared" si="30"/>
        <v>0.18665211168467916</v>
      </c>
      <c r="AA32" s="217">
        <f t="shared" si="31"/>
        <v>0.20777403015672208</v>
      </c>
      <c r="AB32" s="217">
        <f t="shared" si="32"/>
        <v>0.22632641887210905</v>
      </c>
      <c r="AC32" s="217">
        <f t="shared" si="33"/>
        <v>0.31299200848674863</v>
      </c>
      <c r="AD32" s="217">
        <f t="shared" si="34"/>
        <v>0.3765626673191827</v>
      </c>
      <c r="AE32" s="217">
        <f t="shared" si="35"/>
        <v>0.41690866738909521</v>
      </c>
      <c r="AF32" s="217">
        <f t="shared" si="36"/>
        <v>0.46961750114970974</v>
      </c>
      <c r="AG32" s="217">
        <f t="shared" si="37"/>
        <v>0.18665211168467913</v>
      </c>
      <c r="AH32" s="217">
        <f t="shared" si="38"/>
        <v>0.20777403015672208</v>
      </c>
      <c r="AI32" s="217">
        <f t="shared" si="39"/>
        <v>0.22632641887210908</v>
      </c>
      <c r="AJ32" s="217">
        <f t="shared" si="40"/>
        <v>0.31299200848674863</v>
      </c>
      <c r="AK32" s="217">
        <f t="shared" si="41"/>
        <v>0.37656266731918264</v>
      </c>
      <c r="AL32" s="217">
        <f t="shared" si="42"/>
        <v>0.41690866738909516</v>
      </c>
      <c r="AM32" s="217">
        <f t="shared" si="43"/>
        <v>0.46961750114970974</v>
      </c>
      <c r="AN32" s="218">
        <f t="shared" si="45"/>
        <v>0.51137564845117578</v>
      </c>
      <c r="AO32" s="219">
        <f t="shared" si="45"/>
        <v>0.56924391823759479</v>
      </c>
      <c r="AP32" s="219">
        <f t="shared" si="45"/>
        <v>0.62007238047153168</v>
      </c>
      <c r="AQ32" s="219">
        <f t="shared" si="45"/>
        <v>0.8575123520184893</v>
      </c>
      <c r="AR32" s="219">
        <f t="shared" si="45"/>
        <v>1.0316785406005005</v>
      </c>
      <c r="AS32" s="219">
        <f t="shared" si="45"/>
        <v>1.1422155270934116</v>
      </c>
      <c r="AT32" s="220">
        <f t="shared" si="45"/>
        <v>1.2866232908211226</v>
      </c>
      <c r="AU32" s="219">
        <f t="shared" si="46"/>
        <v>186.65211168467914</v>
      </c>
      <c r="AV32" s="219">
        <f t="shared" si="46"/>
        <v>207.77403015672209</v>
      </c>
      <c r="AW32" s="219">
        <f t="shared" si="46"/>
        <v>226.32641887210909</v>
      </c>
      <c r="AX32" s="219">
        <f t="shared" si="46"/>
        <v>312.9920084867486</v>
      </c>
      <c r="AY32" s="219">
        <f t="shared" si="46"/>
        <v>376.56266731918265</v>
      </c>
      <c r="AZ32" s="219">
        <f t="shared" si="46"/>
        <v>416.90866738909517</v>
      </c>
      <c r="BA32" s="220">
        <f t="shared" si="46"/>
        <v>469.61750114970971</v>
      </c>
      <c r="BB32" s="224">
        <f t="shared" si="47"/>
        <v>0.51137564845117578</v>
      </c>
      <c r="BC32" s="54">
        <f t="shared" si="49"/>
        <v>0.59465814935456329</v>
      </c>
      <c r="BD32" s="54">
        <f t="shared" si="50"/>
        <v>1.0795074276333809</v>
      </c>
      <c r="BE32" s="224">
        <f t="shared" si="51"/>
        <v>186.65211168467914</v>
      </c>
      <c r="BF32" s="54">
        <f t="shared" si="52"/>
        <v>217.05022451441559</v>
      </c>
      <c r="BG32" s="276">
        <f t="shared" si="53"/>
        <v>394.02021108618402</v>
      </c>
      <c r="BH32" s="501"/>
      <c r="BI32" s="476"/>
      <c r="BJ32" s="476"/>
      <c r="BK32" s="476"/>
      <c r="BL32" s="782"/>
      <c r="BM32" s="520" t="s">
        <v>390</v>
      </c>
      <c r="BN32" s="521">
        <v>4.6499999999999997E-4</v>
      </c>
      <c r="BO32" s="522">
        <f>BO31-124.3</f>
        <v>608.1</v>
      </c>
      <c r="BP32" s="522">
        <f>BP31-110.8</f>
        <v>452.90000000000003</v>
      </c>
      <c r="BQ32" s="522">
        <f>BQ31-123</f>
        <v>373.9</v>
      </c>
      <c r="BR32" s="523">
        <v>9.6536487014712569E-12</v>
      </c>
      <c r="BS32" s="525" t="s">
        <v>610</v>
      </c>
      <c r="BV32" s="783"/>
      <c r="BW32" s="622"/>
      <c r="BX32" s="475"/>
    </row>
    <row r="33" spans="1:76" ht="15" thickTop="1" thickBot="1">
      <c r="A33" s="758"/>
      <c r="B33" s="297" t="s">
        <v>390</v>
      </c>
      <c r="C33" s="758"/>
      <c r="D33" s="280">
        <f>Article_Inputs!E19</f>
        <v>373.9</v>
      </c>
      <c r="E33" s="281">
        <f>Article_Inputs!E16</f>
        <v>452.90000000000003</v>
      </c>
      <c r="F33" s="281">
        <f>Article_Inputs!E16</f>
        <v>452.90000000000003</v>
      </c>
      <c r="G33" s="281">
        <f>Article_Inputs!E13</f>
        <v>608.1</v>
      </c>
      <c r="H33" s="281">
        <f>Article_Inputs!E13</f>
        <v>608.1</v>
      </c>
      <c r="I33" s="281">
        <f>Article_Inputs!E13</f>
        <v>608.1</v>
      </c>
      <c r="J33" s="282">
        <f>Article_Inputs!E13</f>
        <v>608.1</v>
      </c>
      <c r="K33" s="267">
        <f>Article_Inputs!E6</f>
        <v>2.9999999999999999E-7</v>
      </c>
      <c r="L33" s="230">
        <f>L30</f>
        <v>365</v>
      </c>
      <c r="M33" s="230">
        <f>M30</f>
        <v>1</v>
      </c>
      <c r="N33" s="233">
        <f>'P-Chem'!$H$3*(10000/60)</f>
        <v>9.6536487014712557E-8</v>
      </c>
      <c r="O33" s="268">
        <f>Article_Data!$B$28</f>
        <v>1.55</v>
      </c>
      <c r="P33" s="233">
        <f t="shared" si="48"/>
        <v>4.6499999999999997E-4</v>
      </c>
      <c r="Q33" s="269">
        <v>1</v>
      </c>
      <c r="R33" s="234" t="s">
        <v>610</v>
      </c>
      <c r="S33" s="217">
        <f>(INDEX('Dermal Calcs'!$B$46:$L$52,MATCH($R33,'Dermal Calcs'!$A$46:$A$52,0),MATCH(S$3,'Dermal Calcs'!$B$45:$L$45,0)))*(SQRT(2*$N33*D33))*$Q33*$P33</f>
        <v>6.2239259915753848E-5</v>
      </c>
      <c r="T33" s="217">
        <f>(INDEX('Dermal Calcs'!$B$46:$L$52,MATCH($R33,'Dermal Calcs'!$A$46:$A$52,0),MATCH(T$3,'Dermal Calcs'!$B$45:$L$45,0)))*(SQRT(2*$N33*E33))*$Q33*$P33</f>
        <v>6.4829058996464939E-5</v>
      </c>
      <c r="U33" s="217">
        <f>(INDEX('Dermal Calcs'!$B$46:$L$52,MATCH($R33,'Dermal Calcs'!$A$46:$A$52,0),MATCH(U$3,'Dermal Calcs'!$B$45:$L$45,0)))*(SQRT(2*$N33*F33))*$Q33*$P33</f>
        <v>7.11949958844313E-5</v>
      </c>
      <c r="V33" s="217">
        <f>(INDEX('Dermal Calcs'!$B$46:$L$52,MATCH($R33,'Dermal Calcs'!$A$46:$A$52,0),MATCH(V$3,'Dermal Calcs'!$B$45:$L$45,0)))*(SQRT(2*$N33*G33))*$Q33*$P33</f>
        <v>1.0615705955338186E-4</v>
      </c>
      <c r="W33" s="217">
        <f>(INDEX('Dermal Calcs'!$B$46:$L$52,MATCH($R33,'Dermal Calcs'!$A$46:$A$52,0),MATCH(W$3,'Dermal Calcs'!$B$45:$L$45,0)))*(SQRT(2*$N33*H33))*$Q33*$P33</f>
        <v>1.3815239863880171E-4</v>
      </c>
      <c r="X33" s="217">
        <f>(INDEX('Dermal Calcs'!$B$46:$L$52,MATCH($R33,'Dermal Calcs'!$A$46:$A$52,0),MATCH(X$3,'Dermal Calcs'!$B$45:$L$45,0)))*(SQRT(2*$N33*I33))*$Q33*$P33</f>
        <v>1.7644744377969269E-4</v>
      </c>
      <c r="Y33" s="217">
        <f>(INDEX('Dermal Calcs'!$B$46:$L$52,MATCH($R33,'Dermal Calcs'!$A$46:$A$52,0),MATCH(Y$3,'Dermal Calcs'!$B$45:$L$45,0)))*(SQRT(2*$N33*J33))*$Q33*$P33</f>
        <v>4.1286213224000601E-4</v>
      </c>
      <c r="Z33" s="217">
        <f t="shared" si="30"/>
        <v>6.2239259915753848E-5</v>
      </c>
      <c r="AA33" s="217">
        <f t="shared" si="31"/>
        <v>6.4829058996464939E-5</v>
      </c>
      <c r="AB33" s="217">
        <f t="shared" si="32"/>
        <v>7.11949958844313E-5</v>
      </c>
      <c r="AC33" s="217">
        <f t="shared" si="33"/>
        <v>1.0615705955338187E-4</v>
      </c>
      <c r="AD33" s="217">
        <f t="shared" si="34"/>
        <v>1.3815239863880171E-4</v>
      </c>
      <c r="AE33" s="217">
        <f t="shared" si="35"/>
        <v>1.7644744377969269E-4</v>
      </c>
      <c r="AF33" s="217">
        <f t="shared" si="36"/>
        <v>4.1286213224000601E-4</v>
      </c>
      <c r="AG33" s="217">
        <f t="shared" si="37"/>
        <v>6.2239259915753848E-5</v>
      </c>
      <c r="AH33" s="217">
        <f t="shared" si="38"/>
        <v>6.4829058996464939E-5</v>
      </c>
      <c r="AI33" s="217">
        <f t="shared" si="39"/>
        <v>7.11949958844313E-5</v>
      </c>
      <c r="AJ33" s="217">
        <f t="shared" si="40"/>
        <v>1.0615705955338186E-4</v>
      </c>
      <c r="AK33" s="217">
        <f t="shared" si="41"/>
        <v>1.3815239863880171E-4</v>
      </c>
      <c r="AL33" s="217">
        <f t="shared" si="42"/>
        <v>1.7644744377969269E-4</v>
      </c>
      <c r="AM33" s="217">
        <f t="shared" si="43"/>
        <v>4.1286213224000601E-4</v>
      </c>
      <c r="AN33" s="218">
        <f t="shared" si="45"/>
        <v>1.7051852031713382E-4</v>
      </c>
      <c r="AO33" s="219">
        <f t="shared" si="45"/>
        <v>1.7761386026428748E-4</v>
      </c>
      <c r="AP33" s="219">
        <f t="shared" si="45"/>
        <v>1.9505478324501727E-4</v>
      </c>
      <c r="AQ33" s="219">
        <f t="shared" si="45"/>
        <v>2.9084125905036126E-4</v>
      </c>
      <c r="AR33" s="219">
        <f t="shared" si="45"/>
        <v>3.7849972229808687E-4</v>
      </c>
      <c r="AS33" s="219">
        <f t="shared" si="45"/>
        <v>4.8341765419093887E-4</v>
      </c>
      <c r="AT33" s="220">
        <f t="shared" si="45"/>
        <v>1.1311291294246739E-3</v>
      </c>
      <c r="AU33" s="219">
        <f t="shared" si="46"/>
        <v>6.2239259915753846E-2</v>
      </c>
      <c r="AV33" s="219">
        <f t="shared" si="46"/>
        <v>6.4829058996464933E-2</v>
      </c>
      <c r="AW33" s="219">
        <f t="shared" si="46"/>
        <v>7.1194995884431303E-2</v>
      </c>
      <c r="AX33" s="219">
        <f t="shared" si="46"/>
        <v>0.10615705955338185</v>
      </c>
      <c r="AY33" s="219">
        <f t="shared" si="46"/>
        <v>0.13815239863880172</v>
      </c>
      <c r="AZ33" s="219">
        <f t="shared" si="46"/>
        <v>0.17644744377969268</v>
      </c>
      <c r="BA33" s="220">
        <f t="shared" si="46"/>
        <v>0.41286213224000601</v>
      </c>
      <c r="BB33" s="235">
        <f t="shared" si="47"/>
        <v>1.7051852031713382E-4</v>
      </c>
      <c r="BC33" s="236">
        <f t="shared" si="49"/>
        <v>1.863343217546524E-4</v>
      </c>
      <c r="BD33" s="283">
        <f t="shared" si="50"/>
        <v>5.7097194124101534E-4</v>
      </c>
      <c r="BE33" s="235">
        <f t="shared" si="51"/>
        <v>6.2239259915753846E-2</v>
      </c>
      <c r="BF33" s="236">
        <f t="shared" si="52"/>
        <v>6.8012027440448125E-2</v>
      </c>
      <c r="BG33" s="236">
        <f t="shared" si="53"/>
        <v>0.20840475855297058</v>
      </c>
      <c r="BH33" s="501"/>
      <c r="BI33" s="476"/>
      <c r="BJ33" s="476"/>
      <c r="BK33" s="476"/>
      <c r="BL33" s="784" t="s">
        <v>526</v>
      </c>
      <c r="BM33" s="474" t="s">
        <v>388</v>
      </c>
      <c r="BN33" s="477">
        <v>13.4</v>
      </c>
      <c r="BO33" s="478">
        <v>137</v>
      </c>
      <c r="BP33" s="785" t="s">
        <v>612</v>
      </c>
      <c r="BQ33" s="785" t="s">
        <v>612</v>
      </c>
      <c r="BR33" s="364">
        <v>1.9310241192348314E-8</v>
      </c>
      <c r="BS33" s="524" t="s">
        <v>595</v>
      </c>
      <c r="BV33" s="783"/>
      <c r="BW33" s="622"/>
      <c r="BX33" s="475"/>
    </row>
    <row r="34" spans="1:76" ht="14.4" customHeight="1" thickTop="1">
      <c r="A34" s="754" t="str">
        <f>Article_Inputs!H1</f>
        <v>Plastic and Rubber Toys</v>
      </c>
      <c r="B34" s="299" t="s">
        <v>388</v>
      </c>
      <c r="C34" s="763" t="s">
        <v>526</v>
      </c>
      <c r="D34" s="263">
        <v>0</v>
      </c>
      <c r="E34" s="383">
        <v>0</v>
      </c>
      <c r="F34" s="507">
        <v>0</v>
      </c>
      <c r="G34" s="250">
        <f>Article_Inputs!H11</f>
        <v>137</v>
      </c>
      <c r="H34" s="250">
        <f>Article_Inputs!H11</f>
        <v>137</v>
      </c>
      <c r="I34" s="250">
        <f>Article_Inputs!H11</f>
        <v>137</v>
      </c>
      <c r="J34" s="251">
        <f>Article_Inputs!H11</f>
        <v>137</v>
      </c>
      <c r="K34" s="273">
        <f>Article_Inputs!H4</f>
        <v>1E-3</v>
      </c>
      <c r="L34" s="169">
        <v>365</v>
      </c>
      <c r="M34" s="169">
        <v>1</v>
      </c>
      <c r="N34" s="245">
        <f>'P-Chem'!$H$7*(10000/60)</f>
        <v>9.0356506501807751E-7</v>
      </c>
      <c r="O34" s="169">
        <f>Article_Data!$B$25</f>
        <v>1.34</v>
      </c>
      <c r="P34" s="245">
        <f t="shared" si="48"/>
        <v>1.34</v>
      </c>
      <c r="Q34" s="253">
        <v>1</v>
      </c>
      <c r="R34" s="246" t="s">
        <v>595</v>
      </c>
      <c r="S34" s="217">
        <f>(INDEX('Dermal Calcs'!$B$46:$L$52,MATCH($R34,'Dermal Calcs'!$A$46:$A$52,0),MATCH(S$3,'Dermal Calcs'!$B$45:$L$45,0)))*(SQRT(2*$N34*D34))*$Q34*$P34</f>
        <v>0</v>
      </c>
      <c r="T34" s="217">
        <f>(INDEX('Dermal Calcs'!$B$46:$L$52,MATCH($R34,'Dermal Calcs'!$A$46:$A$52,0),MATCH(T$3,'Dermal Calcs'!$B$45:$L$45,0)))*(SQRT(2*$N34*E34))*$Q34*$P34</f>
        <v>0</v>
      </c>
      <c r="U34" s="217">
        <f>(INDEX('Dermal Calcs'!$B$46:$L$52,MATCH($R34,'Dermal Calcs'!$A$46:$A$52,0),MATCH(U$3,'Dermal Calcs'!$B$45:$L$45,0)))*(SQRT(2*$N34*F34))*$Q34*$P34</f>
        <v>0</v>
      </c>
      <c r="V34" s="217">
        <f>(INDEX('Dermal Calcs'!$B$46:$L$52,MATCH($R34,'Dermal Calcs'!$A$46:$A$52,0),MATCH(V$3,'Dermal Calcs'!$B$45:$L$45,0)))*(SQRT(2*$N34*G34))*$Q34*$P34</f>
        <v>0.1690724538343806</v>
      </c>
      <c r="W34" s="217">
        <f>(INDEX('Dermal Calcs'!$B$46:$L$52,MATCH($R34,'Dermal Calcs'!$A$46:$A$52,0),MATCH(W$3,'Dermal Calcs'!$B$45:$L$45,0)))*(SQRT(2*$N34*H34))*$Q34*$P34</f>
        <v>0.20970972926579404</v>
      </c>
      <c r="X34" s="217">
        <f>(INDEX('Dermal Calcs'!$B$46:$L$52,MATCH($R34,'Dermal Calcs'!$A$46:$A$52,0),MATCH(X$3,'Dermal Calcs'!$B$45:$L$45,0)))*(SQRT(2*$N34*I34))*$Q34*$P34</f>
        <v>0.24263712562412976</v>
      </c>
      <c r="Y34" s="217">
        <f>(INDEX('Dermal Calcs'!$B$46:$L$52,MATCH($R34,'Dermal Calcs'!$A$46:$A$52,0),MATCH(Y$3,'Dermal Calcs'!$B$45:$L$45,0)))*(SQRT(2*$N34*J34))*$Q34*$P34</f>
        <v>0.28374124323719774</v>
      </c>
      <c r="Z34" s="217">
        <f t="shared" si="30"/>
        <v>0</v>
      </c>
      <c r="AA34" s="217">
        <f t="shared" si="31"/>
        <v>0</v>
      </c>
      <c r="AB34" s="217">
        <f t="shared" si="32"/>
        <v>0</v>
      </c>
      <c r="AC34" s="217">
        <f t="shared" si="33"/>
        <v>0.1690724538343806</v>
      </c>
      <c r="AD34" s="217">
        <f t="shared" si="34"/>
        <v>0.20970972926579404</v>
      </c>
      <c r="AE34" s="217">
        <f t="shared" si="35"/>
        <v>0.24263712562412976</v>
      </c>
      <c r="AF34" s="217">
        <f t="shared" si="36"/>
        <v>0.28374124323719774</v>
      </c>
      <c r="AG34" s="217">
        <f t="shared" si="37"/>
        <v>0</v>
      </c>
      <c r="AH34" s="217">
        <f t="shared" si="38"/>
        <v>0</v>
      </c>
      <c r="AI34" s="217">
        <f t="shared" si="39"/>
        <v>0</v>
      </c>
      <c r="AJ34" s="217">
        <f t="shared" si="40"/>
        <v>0.1690724538343806</v>
      </c>
      <c r="AK34" s="217">
        <f t="shared" si="41"/>
        <v>0.20970972926579404</v>
      </c>
      <c r="AL34" s="217">
        <f t="shared" si="42"/>
        <v>0.24263712562412976</v>
      </c>
      <c r="AM34" s="217">
        <f t="shared" si="43"/>
        <v>0.28374124323719774</v>
      </c>
      <c r="AN34" s="218">
        <f t="shared" si="45"/>
        <v>0</v>
      </c>
      <c r="AO34" s="219">
        <f t="shared" si="45"/>
        <v>0</v>
      </c>
      <c r="AP34" s="219">
        <f t="shared" si="45"/>
        <v>0</v>
      </c>
      <c r="AQ34" s="219">
        <f t="shared" si="45"/>
        <v>0.46321220228597426</v>
      </c>
      <c r="AR34" s="219">
        <f t="shared" si="45"/>
        <v>0.57454720346792887</v>
      </c>
      <c r="AS34" s="219">
        <f t="shared" si="45"/>
        <v>0.66475924828528699</v>
      </c>
      <c r="AT34" s="220">
        <f t="shared" si="45"/>
        <v>0.77737326914300753</v>
      </c>
      <c r="AU34" s="219">
        <f t="shared" si="46"/>
        <v>0</v>
      </c>
      <c r="AV34" s="219">
        <f t="shared" si="46"/>
        <v>0</v>
      </c>
      <c r="AW34" s="219">
        <f t="shared" si="46"/>
        <v>0</v>
      </c>
      <c r="AX34" s="219">
        <f t="shared" si="46"/>
        <v>169.07245383438061</v>
      </c>
      <c r="AY34" s="219">
        <f t="shared" si="46"/>
        <v>209.70972926579404</v>
      </c>
      <c r="AZ34" s="219">
        <f t="shared" si="46"/>
        <v>242.63712562412977</v>
      </c>
      <c r="BA34" s="220">
        <f t="shared" si="46"/>
        <v>283.74124323719775</v>
      </c>
      <c r="BB34" s="254">
        <f t="shared" si="47"/>
        <v>0</v>
      </c>
      <c r="BC34" s="225">
        <f t="shared" si="49"/>
        <v>0</v>
      </c>
      <c r="BD34" s="54">
        <f t="shared" si="50"/>
        <v>0.61997298079554941</v>
      </c>
      <c r="BE34" s="254">
        <f t="shared" si="51"/>
        <v>0</v>
      </c>
      <c r="BF34" s="225">
        <f t="shared" si="52"/>
        <v>0</v>
      </c>
      <c r="BG34" s="276">
        <f t="shared" si="53"/>
        <v>226.29013799037554</v>
      </c>
      <c r="BH34" s="501"/>
      <c r="BI34" s="476"/>
      <c r="BJ34" s="476"/>
      <c r="BK34" s="476"/>
      <c r="BL34" s="781"/>
      <c r="BM34" s="474" t="s">
        <v>598</v>
      </c>
      <c r="BN34" s="477">
        <v>0.40200000000000002</v>
      </c>
      <c r="BO34" s="478">
        <v>88</v>
      </c>
      <c r="BP34" s="786"/>
      <c r="BQ34" s="786"/>
      <c r="BR34" s="364">
        <v>1.9310241192348314E-8</v>
      </c>
      <c r="BS34" s="524" t="s">
        <v>597</v>
      </c>
      <c r="BV34" s="783"/>
      <c r="BW34" s="622"/>
      <c r="BX34" s="475"/>
    </row>
    <row r="35" spans="1:76" ht="15.65" customHeight="1" thickBot="1">
      <c r="A35" s="754"/>
      <c r="B35" s="302" t="s">
        <v>596</v>
      </c>
      <c r="C35" s="764"/>
      <c r="D35" s="265">
        <v>0</v>
      </c>
      <c r="E35" s="507">
        <v>0</v>
      </c>
      <c r="F35" s="507">
        <v>0</v>
      </c>
      <c r="G35" s="250">
        <f>Article_Inputs!H12</f>
        <v>88</v>
      </c>
      <c r="H35" s="250">
        <f>Article_Inputs!H12</f>
        <v>88</v>
      </c>
      <c r="I35" s="250">
        <f>Article_Inputs!H12</f>
        <v>88</v>
      </c>
      <c r="J35" s="251">
        <f>Article_Inputs!H12</f>
        <v>88</v>
      </c>
      <c r="K35" s="252">
        <f>Article_Inputs!H5</f>
        <v>2.9999999999999997E-4</v>
      </c>
      <c r="L35" s="124">
        <f>L34</f>
        <v>365</v>
      </c>
      <c r="M35" s="124">
        <f>M34</f>
        <v>1</v>
      </c>
      <c r="N35" s="195">
        <f>'P-Chem'!$H$7*(10000/60)</f>
        <v>9.0356506501807751E-7</v>
      </c>
      <c r="O35" s="104">
        <f>Article_Data!$B$25</f>
        <v>1.34</v>
      </c>
      <c r="P35" s="195">
        <f t="shared" si="48"/>
        <v>0.40200000000000002</v>
      </c>
      <c r="Q35" s="257">
        <v>1</v>
      </c>
      <c r="R35" s="215" t="s">
        <v>597</v>
      </c>
      <c r="S35" s="217">
        <f>(INDEX('Dermal Calcs'!$B$46:$L$52,MATCH($R35,'Dermal Calcs'!$A$46:$A$52,0),MATCH(S$3,'Dermal Calcs'!$B$45:$L$45,0)))*(SQRT(2*$N35*D35))*$Q35*$P35</f>
        <v>0</v>
      </c>
      <c r="T35" s="217">
        <f>(INDEX('Dermal Calcs'!$B$46:$L$52,MATCH($R35,'Dermal Calcs'!$A$46:$A$52,0),MATCH(T$3,'Dermal Calcs'!$B$45:$L$45,0)))*(SQRT(2*$N35*E35))*$Q35*$P35</f>
        <v>0</v>
      </c>
      <c r="U35" s="217">
        <f>(INDEX('Dermal Calcs'!$B$46:$L$52,MATCH($R35,'Dermal Calcs'!$A$46:$A$52,0),MATCH(U$3,'Dermal Calcs'!$B$45:$L$45,0)))*(SQRT(2*$N35*F35))*$Q35*$P35</f>
        <v>0</v>
      </c>
      <c r="V35" s="217">
        <f>(INDEX('Dermal Calcs'!$B$46:$L$52,MATCH($R35,'Dermal Calcs'!$A$46:$A$52,0),MATCH(V$3,'Dermal Calcs'!$B$45:$L$45,0)))*(SQRT(2*$N35*G35))*$Q35*$P35</f>
        <v>2.032568390644135E-2</v>
      </c>
      <c r="W35" s="217">
        <f>(INDEX('Dermal Calcs'!$B$46:$L$52,MATCH($R35,'Dermal Calcs'!$A$46:$A$52,0),MATCH(W$3,'Dermal Calcs'!$B$45:$L$45,0)))*(SQRT(2*$N35*H35))*$Q35*$P35</f>
        <v>2.5211047527217891E-2</v>
      </c>
      <c r="X35" s="217">
        <f>(INDEX('Dermal Calcs'!$B$46:$L$52,MATCH($R35,'Dermal Calcs'!$A$46:$A$52,0),MATCH(X$3,'Dermal Calcs'!$B$45:$L$45,0)))*(SQRT(2*$N35*I35))*$Q35*$P35</f>
        <v>2.9169538902147858E-2</v>
      </c>
      <c r="Y35" s="217">
        <f>(INDEX('Dermal Calcs'!$B$46:$L$52,MATCH($R35,'Dermal Calcs'!$A$46:$A$52,0),MATCH(Y$3,'Dermal Calcs'!$B$45:$L$45,0)))*(SQRT(2*$N35*J35))*$Q35*$P35</f>
        <v>3.4111025719833807E-2</v>
      </c>
      <c r="Z35" s="217">
        <f t="shared" si="30"/>
        <v>0</v>
      </c>
      <c r="AA35" s="217">
        <f t="shared" si="31"/>
        <v>0</v>
      </c>
      <c r="AB35" s="217">
        <f t="shared" si="32"/>
        <v>0</v>
      </c>
      <c r="AC35" s="217">
        <f t="shared" si="33"/>
        <v>2.032568390644135E-2</v>
      </c>
      <c r="AD35" s="217">
        <f t="shared" si="34"/>
        <v>2.5211047527217891E-2</v>
      </c>
      <c r="AE35" s="217">
        <f t="shared" si="35"/>
        <v>2.9169538902147858E-2</v>
      </c>
      <c r="AF35" s="217">
        <f t="shared" si="36"/>
        <v>3.4111025719833807E-2</v>
      </c>
      <c r="AG35" s="217">
        <f t="shared" si="37"/>
        <v>0</v>
      </c>
      <c r="AH35" s="217">
        <f t="shared" si="38"/>
        <v>0</v>
      </c>
      <c r="AI35" s="217">
        <f t="shared" si="39"/>
        <v>0</v>
      </c>
      <c r="AJ35" s="217">
        <f t="shared" si="40"/>
        <v>2.032568390644135E-2</v>
      </c>
      <c r="AK35" s="217">
        <f t="shared" si="41"/>
        <v>2.5211047527217891E-2</v>
      </c>
      <c r="AL35" s="217">
        <f t="shared" si="42"/>
        <v>2.9169538902147858E-2</v>
      </c>
      <c r="AM35" s="217">
        <f t="shared" si="43"/>
        <v>3.4111025719833807E-2</v>
      </c>
      <c r="AN35" s="218">
        <f t="shared" si="45"/>
        <v>0</v>
      </c>
      <c r="AO35" s="219">
        <f t="shared" si="45"/>
        <v>0</v>
      </c>
      <c r="AP35" s="219">
        <f t="shared" si="45"/>
        <v>0</v>
      </c>
      <c r="AQ35" s="219">
        <f t="shared" si="45"/>
        <v>5.5686805223126981E-2</v>
      </c>
      <c r="AR35" s="219">
        <f t="shared" si="45"/>
        <v>6.9071363088268195E-2</v>
      </c>
      <c r="AS35" s="219">
        <f t="shared" si="45"/>
        <v>7.9916544937391393E-2</v>
      </c>
      <c r="AT35" s="220">
        <f t="shared" si="45"/>
        <v>9.3454864985846042E-2</v>
      </c>
      <c r="AU35" s="219">
        <f t="shared" si="46"/>
        <v>0</v>
      </c>
      <c r="AV35" s="219">
        <f t="shared" si="46"/>
        <v>0</v>
      </c>
      <c r="AW35" s="219">
        <f t="shared" si="46"/>
        <v>0</v>
      </c>
      <c r="AX35" s="219">
        <f t="shared" si="46"/>
        <v>20.325683906441348</v>
      </c>
      <c r="AY35" s="219">
        <f t="shared" si="46"/>
        <v>25.21104752721789</v>
      </c>
      <c r="AZ35" s="219">
        <f t="shared" si="46"/>
        <v>29.16953890214786</v>
      </c>
      <c r="BA35" s="220">
        <f t="shared" si="46"/>
        <v>34.111025719833805</v>
      </c>
      <c r="BB35" s="254">
        <f t="shared" si="47"/>
        <v>0</v>
      </c>
      <c r="BC35" s="225">
        <f t="shared" si="49"/>
        <v>0</v>
      </c>
      <c r="BD35" s="54">
        <f t="shared" si="50"/>
        <v>7.4532394558658163E-2</v>
      </c>
      <c r="BE35" s="254">
        <f t="shared" si="51"/>
        <v>0</v>
      </c>
      <c r="BF35" s="225">
        <f t="shared" si="52"/>
        <v>0</v>
      </c>
      <c r="BG35" s="276">
        <f t="shared" si="53"/>
        <v>27.204324013910227</v>
      </c>
      <c r="BH35" s="501"/>
      <c r="BI35" s="476"/>
      <c r="BJ35" s="476"/>
      <c r="BK35" s="476"/>
      <c r="BL35" s="782"/>
      <c r="BM35" s="520" t="s">
        <v>390</v>
      </c>
      <c r="BN35" s="521">
        <v>0.13400000000000001</v>
      </c>
      <c r="BO35" s="522">
        <v>24</v>
      </c>
      <c r="BP35" s="787"/>
      <c r="BQ35" s="787"/>
      <c r="BR35" s="523">
        <v>1.9310241192348314E-8</v>
      </c>
      <c r="BS35" s="525" t="s">
        <v>599</v>
      </c>
      <c r="BV35" s="783"/>
      <c r="BW35" s="622"/>
      <c r="BX35" s="475"/>
    </row>
    <row r="36" spans="1:76" ht="15" thickTop="1" thickBot="1">
      <c r="A36" s="762"/>
      <c r="B36" s="303" t="s">
        <v>390</v>
      </c>
      <c r="C36" s="765"/>
      <c r="D36" s="249">
        <v>0</v>
      </c>
      <c r="E36" s="507">
        <v>0</v>
      </c>
      <c r="F36" s="507">
        <v>0</v>
      </c>
      <c r="G36" s="250">
        <f>Article_Inputs!H13</f>
        <v>24</v>
      </c>
      <c r="H36" s="250">
        <f>Article_Inputs!H13</f>
        <v>24</v>
      </c>
      <c r="I36" s="250">
        <f>Article_Inputs!H13</f>
        <v>24</v>
      </c>
      <c r="J36" s="251">
        <f>Article_Inputs!H13</f>
        <v>24</v>
      </c>
      <c r="K36" s="252">
        <f>Article_Inputs!H6</f>
        <v>1E-4</v>
      </c>
      <c r="L36" s="230">
        <f>L34</f>
        <v>365</v>
      </c>
      <c r="M36" s="230">
        <f>M34</f>
        <v>1</v>
      </c>
      <c r="N36" s="233">
        <f>'P-Chem'!$H$7*(10000/60)</f>
        <v>9.0356506501807751E-7</v>
      </c>
      <c r="O36" s="268">
        <f>Article_Data!$B$25</f>
        <v>1.34</v>
      </c>
      <c r="P36" s="233">
        <f t="shared" si="48"/>
        <v>0.13400000000000001</v>
      </c>
      <c r="Q36" s="269">
        <v>1</v>
      </c>
      <c r="R36" s="234" t="s">
        <v>599</v>
      </c>
      <c r="S36" s="217">
        <f>(INDEX('Dermal Calcs'!$B$46:$L$52,MATCH($R36,'Dermal Calcs'!$A$46:$A$52,0),MATCH(S$3,'Dermal Calcs'!$B$45:$L$45,0)))*(SQRT(2*$N36*D36))*$Q36*$P36</f>
        <v>0</v>
      </c>
      <c r="T36" s="217">
        <f>(INDEX('Dermal Calcs'!$B$46:$L$52,MATCH($R36,'Dermal Calcs'!$A$46:$A$52,0),MATCH(T$3,'Dermal Calcs'!$B$45:$L$45,0)))*(SQRT(2*$N36*E36))*$Q36*$P36</f>
        <v>0</v>
      </c>
      <c r="U36" s="217">
        <f>(INDEX('Dermal Calcs'!$B$46:$L$52,MATCH($R36,'Dermal Calcs'!$A$46:$A$52,0),MATCH(U$3,'Dermal Calcs'!$B$45:$L$45,0)))*(SQRT(2*$N36*F36))*$Q36*$P36</f>
        <v>0</v>
      </c>
      <c r="V36" s="217">
        <f>(INDEX('Dermal Calcs'!$B$46:$L$52,MATCH($R36,'Dermal Calcs'!$A$46:$A$52,0),MATCH(V$3,'Dermal Calcs'!$B$45:$L$45,0)))*(SQRT(2*$N36*G36))*$Q36*$P36</f>
        <v>1.4152989640519049E-3</v>
      </c>
      <c r="W36" s="217">
        <f>(INDEX('Dermal Calcs'!$B$46:$L$52,MATCH($R36,'Dermal Calcs'!$A$46:$A$52,0),MATCH(W$3,'Dermal Calcs'!$B$45:$L$45,0)))*(SQRT(2*$N36*H36))*$Q36*$P36</f>
        <v>1.7554720230903134E-3</v>
      </c>
      <c r="X36" s="217">
        <f>(INDEX('Dermal Calcs'!$B$46:$L$52,MATCH($R36,'Dermal Calcs'!$A$46:$A$52,0),MATCH(X$3,'Dermal Calcs'!$B$45:$L$45,0)))*(SQRT(2*$N36*I36))*$Q36*$P36</f>
        <v>2.0311059829577756E-3</v>
      </c>
      <c r="Y36" s="217">
        <f>(INDEX('Dermal Calcs'!$B$46:$L$52,MATCH($R36,'Dermal Calcs'!$A$46:$A$52,0),MATCH(Y$3,'Dermal Calcs'!$B$45:$L$45,0)))*(SQRT(2*$N36*J36))*$Q36*$P36</f>
        <v>2.3751869598212759E-3</v>
      </c>
      <c r="Z36" s="217">
        <f t="shared" si="30"/>
        <v>0</v>
      </c>
      <c r="AA36" s="217">
        <f t="shared" si="31"/>
        <v>0</v>
      </c>
      <c r="AB36" s="217">
        <f t="shared" si="32"/>
        <v>0</v>
      </c>
      <c r="AC36" s="217">
        <f t="shared" si="33"/>
        <v>1.4152989640519049E-3</v>
      </c>
      <c r="AD36" s="217">
        <f t="shared" si="34"/>
        <v>1.7554720230903134E-3</v>
      </c>
      <c r="AE36" s="217">
        <f t="shared" si="35"/>
        <v>2.0311059829577756E-3</v>
      </c>
      <c r="AF36" s="217">
        <f t="shared" si="36"/>
        <v>2.3751869598212759E-3</v>
      </c>
      <c r="AG36" s="217">
        <f t="shared" si="37"/>
        <v>0</v>
      </c>
      <c r="AH36" s="217">
        <f t="shared" si="38"/>
        <v>0</v>
      </c>
      <c r="AI36" s="217">
        <f t="shared" si="39"/>
        <v>0</v>
      </c>
      <c r="AJ36" s="217">
        <f t="shared" si="40"/>
        <v>1.4152989640519049E-3</v>
      </c>
      <c r="AK36" s="217">
        <f t="shared" si="41"/>
        <v>1.7554720230903134E-3</v>
      </c>
      <c r="AL36" s="217">
        <f t="shared" si="42"/>
        <v>2.0311059829577756E-3</v>
      </c>
      <c r="AM36" s="217">
        <f t="shared" si="43"/>
        <v>2.3751869598212759E-3</v>
      </c>
      <c r="AN36" s="218">
        <f t="shared" si="45"/>
        <v>0</v>
      </c>
      <c r="AO36" s="219">
        <f t="shared" si="45"/>
        <v>0</v>
      </c>
      <c r="AP36" s="219">
        <f t="shared" si="45"/>
        <v>0</v>
      </c>
      <c r="AQ36" s="219">
        <f t="shared" si="45"/>
        <v>3.8775314083613834E-3</v>
      </c>
      <c r="AR36" s="219">
        <f t="shared" si="45"/>
        <v>4.8095123920282555E-3</v>
      </c>
      <c r="AS36" s="219">
        <f t="shared" si="45"/>
        <v>5.5646739259117145E-3</v>
      </c>
      <c r="AT36" s="220">
        <f t="shared" si="45"/>
        <v>6.5073615337569203E-3</v>
      </c>
      <c r="AU36" s="219">
        <f t="shared" si="46"/>
        <v>0</v>
      </c>
      <c r="AV36" s="219">
        <f t="shared" si="46"/>
        <v>0</v>
      </c>
      <c r="AW36" s="219">
        <f t="shared" si="46"/>
        <v>0</v>
      </c>
      <c r="AX36" s="219">
        <f t="shared" si="46"/>
        <v>1.4152989640519049</v>
      </c>
      <c r="AY36" s="219">
        <f t="shared" si="46"/>
        <v>1.7554720230903134</v>
      </c>
      <c r="AZ36" s="219">
        <f t="shared" si="46"/>
        <v>2.0311059829577758</v>
      </c>
      <c r="BA36" s="220">
        <f t="shared" si="46"/>
        <v>2.375186959821276</v>
      </c>
      <c r="BB36" s="254">
        <f t="shared" si="47"/>
        <v>0</v>
      </c>
      <c r="BC36" s="225">
        <f t="shared" si="49"/>
        <v>0</v>
      </c>
      <c r="BD36" s="54">
        <f t="shared" si="50"/>
        <v>5.1897698150145692E-3</v>
      </c>
      <c r="BE36" s="254">
        <f t="shared" si="51"/>
        <v>0</v>
      </c>
      <c r="BF36" s="225">
        <f t="shared" si="52"/>
        <v>0</v>
      </c>
      <c r="BG36" s="276">
        <f t="shared" si="53"/>
        <v>1.8942659824803176</v>
      </c>
      <c r="BH36" s="501"/>
      <c r="BI36" s="476"/>
      <c r="BJ36" s="476"/>
      <c r="BK36" s="476"/>
      <c r="BL36" s="784" t="s">
        <v>613</v>
      </c>
      <c r="BM36" s="474" t="s">
        <v>388</v>
      </c>
      <c r="BN36" s="477">
        <v>0.67</v>
      </c>
      <c r="BO36" s="478">
        <v>720</v>
      </c>
      <c r="BP36" s="478">
        <v>720</v>
      </c>
      <c r="BQ36" s="478">
        <v>720</v>
      </c>
      <c r="BR36" s="364">
        <v>1.9310241192348314E-8</v>
      </c>
      <c r="BS36" s="524" t="s">
        <v>595</v>
      </c>
      <c r="BV36" s="783"/>
      <c r="BW36" s="622"/>
      <c r="BX36" s="475"/>
    </row>
    <row r="37" spans="1:76" ht="14.4" customHeight="1" thickTop="1">
      <c r="A37" s="756" t="str">
        <f>Article_Inputs!I1</f>
        <v>Rubber Footwear Components</v>
      </c>
      <c r="B37" s="300" t="s">
        <v>388</v>
      </c>
      <c r="C37" s="757" t="s">
        <v>613</v>
      </c>
      <c r="D37" s="249">
        <f>Article_Inputs!I17</f>
        <v>960</v>
      </c>
      <c r="E37" s="250">
        <f>Article_Inputs!I14</f>
        <v>960</v>
      </c>
      <c r="F37" s="250">
        <f>Article_Inputs!I14</f>
        <v>960</v>
      </c>
      <c r="G37" s="250">
        <f>Article_Inputs!I11</f>
        <v>960</v>
      </c>
      <c r="H37" s="250">
        <f>Article_Inputs!I11</f>
        <v>960</v>
      </c>
      <c r="I37" s="250">
        <f>Article_Inputs!I11</f>
        <v>960</v>
      </c>
      <c r="J37" s="251">
        <f>Article_Inputs!I11</f>
        <v>960</v>
      </c>
      <c r="K37" s="252">
        <f>Article_Inputs!I4</f>
        <v>5.0000000000000001E-4</v>
      </c>
      <c r="L37" s="169">
        <v>365</v>
      </c>
      <c r="M37" s="169">
        <v>1</v>
      </c>
      <c r="N37" s="245">
        <f>'P-Chem'!$H$7*(10000/60)</f>
        <v>9.0356506501807751E-7</v>
      </c>
      <c r="O37" s="169">
        <f>Article_Data!$B$25</f>
        <v>1.34</v>
      </c>
      <c r="P37" s="245">
        <f t="shared" si="48"/>
        <v>0.67</v>
      </c>
      <c r="Q37" s="253">
        <v>1</v>
      </c>
      <c r="R37" s="246" t="s">
        <v>595</v>
      </c>
      <c r="S37" s="217">
        <f>(INDEX('Dermal Calcs'!$B$46:$L$52,MATCH($R37,'Dermal Calcs'!$A$46:$A$52,0),MATCH(S$3,'Dermal Calcs'!$B$45:$L$45,0)))*(SQRT(2*$N37*D37))*$Q37*$P37</f>
        <v>0.17284986017774054</v>
      </c>
      <c r="T37" s="217">
        <f>(INDEX('Dermal Calcs'!$B$46:$L$52,MATCH($R37,'Dermal Calcs'!$A$46:$A$52,0),MATCH(T$3,'Dermal Calcs'!$B$45:$L$45,0)))*(SQRT(2*$N37*E37))*$Q37*$P37</f>
        <v>0.16174847959430655</v>
      </c>
      <c r="U37" s="217">
        <f>(INDEX('Dermal Calcs'!$B$46:$L$52,MATCH($R37,'Dermal Calcs'!$A$46:$A$52,0),MATCH(U$3,'Dermal Calcs'!$B$45:$L$45,0)))*(SQRT(2*$N37*F37))*$Q37*$P37</f>
        <v>0.17687208595040071</v>
      </c>
      <c r="V37" s="217">
        <f>(INDEX('Dermal Calcs'!$B$46:$L$52,MATCH($R37,'Dermal Calcs'!$A$46:$A$52,0),MATCH(V$3,'Dermal Calcs'!$B$45:$L$45,0)))*(SQRT(2*$N37*G37))*$Q37*$P37</f>
        <v>0.22377841482403943</v>
      </c>
      <c r="W37" s="217">
        <f>(INDEX('Dermal Calcs'!$B$46:$L$52,MATCH($R37,'Dermal Calcs'!$A$46:$A$52,0),MATCH(W$3,'Dermal Calcs'!$B$45:$L$45,0)))*(SQRT(2*$N37*H37))*$Q37*$P37</f>
        <v>0.27756449808345435</v>
      </c>
      <c r="X37" s="217">
        <f>(INDEX('Dermal Calcs'!$B$46:$L$52,MATCH($R37,'Dermal Calcs'!$A$46:$A$52,0),MATCH(X$3,'Dermal Calcs'!$B$45:$L$45,0)))*(SQRT(2*$N37*I37))*$Q37*$P37</f>
        <v>0.32114605376708549</v>
      </c>
      <c r="Y37" s="217">
        <f>(INDEX('Dermal Calcs'!$B$46:$L$52,MATCH($R37,'Dermal Calcs'!$A$46:$A$52,0),MATCH(Y$3,'Dermal Calcs'!$B$45:$L$45,0)))*(SQRT(2*$N37*J37))*$Q37*$P37</f>
        <v>0.37555003308830354</v>
      </c>
      <c r="Z37" s="217">
        <f t="shared" si="30"/>
        <v>0.17284986017774054</v>
      </c>
      <c r="AA37" s="217">
        <f t="shared" si="31"/>
        <v>0.16174847959430655</v>
      </c>
      <c r="AB37" s="217">
        <f t="shared" si="32"/>
        <v>0.17687208595040074</v>
      </c>
      <c r="AC37" s="217">
        <f t="shared" si="33"/>
        <v>0.2237784148240394</v>
      </c>
      <c r="AD37" s="217">
        <f t="shared" si="34"/>
        <v>0.27756449808345435</v>
      </c>
      <c r="AE37" s="217">
        <f t="shared" si="35"/>
        <v>0.32114605376708549</v>
      </c>
      <c r="AF37" s="217">
        <f t="shared" si="36"/>
        <v>0.37555003308830354</v>
      </c>
      <c r="AG37" s="217">
        <f t="shared" si="37"/>
        <v>0.17284986017774054</v>
      </c>
      <c r="AH37" s="217">
        <f t="shared" si="38"/>
        <v>0.16174847959430655</v>
      </c>
      <c r="AI37" s="217">
        <f t="shared" si="39"/>
        <v>0.17687208595040071</v>
      </c>
      <c r="AJ37" s="217">
        <f t="shared" si="40"/>
        <v>0.22377841482403943</v>
      </c>
      <c r="AK37" s="217">
        <f t="shared" si="41"/>
        <v>0.27756449808345435</v>
      </c>
      <c r="AL37" s="217">
        <f t="shared" si="42"/>
        <v>0.32114605376708549</v>
      </c>
      <c r="AM37" s="498">
        <f t="shared" si="43"/>
        <v>0.37555003308830354</v>
      </c>
      <c r="AN37" s="218">
        <f t="shared" ref="AN37:AN39" si="69">(Z37*1000)/365</f>
        <v>0.47356126076093297</v>
      </c>
      <c r="AO37" s="219">
        <f t="shared" ref="AO37:AO39" si="70">(AA37*1000)/365</f>
        <v>0.44314651943645633</v>
      </c>
      <c r="AP37" s="219">
        <f t="shared" ref="AP37:AP39" si="71">(AB37*1000)/365</f>
        <v>0.48458105739835816</v>
      </c>
      <c r="AQ37" s="219">
        <f t="shared" ref="AQ37:AQ39" si="72">(AC37*1000)/365</f>
        <v>0.61309154746312167</v>
      </c>
      <c r="AR37" s="219">
        <f t="shared" ref="AR37:AR39" si="73">(AD37*1000)/365</f>
        <v>0.76045067968069679</v>
      </c>
      <c r="AS37" s="219">
        <f t="shared" ref="AS37:AS39" si="74">(AE37*1000)/365</f>
        <v>0.87985220210160409</v>
      </c>
      <c r="AT37" s="220">
        <f t="shared" ref="AT37:AT39" si="75">(AF37*1000)/365</f>
        <v>1.0289042002419275</v>
      </c>
      <c r="AU37" s="219">
        <f t="shared" ref="AU37:AU39" si="76">AG37*1000</f>
        <v>172.84986017774054</v>
      </c>
      <c r="AV37" s="219">
        <f t="shared" ref="AV37:AV39" si="77">AH37*1000</f>
        <v>161.74847959430656</v>
      </c>
      <c r="AW37" s="219">
        <f t="shared" ref="AW37:AW39" si="78">AI37*1000</f>
        <v>176.8720859504007</v>
      </c>
      <c r="AX37" s="219">
        <f t="shared" ref="AX37:AX39" si="79">AJ37*1000</f>
        <v>223.77841482403943</v>
      </c>
      <c r="AY37" s="219">
        <f t="shared" ref="AY37:AY39" si="80">AK37*1000</f>
        <v>277.56449808345434</v>
      </c>
      <c r="AZ37" s="219">
        <f t="shared" ref="AZ37:AZ39" si="81">AL37*1000</f>
        <v>321.1460537670855</v>
      </c>
      <c r="BA37" s="220">
        <f t="shared" ref="BA37:BA39" si="82">AM37*1000</f>
        <v>375.55003308830356</v>
      </c>
      <c r="BB37" s="254">
        <f t="shared" ref="BB37:BB39" si="83">(Z37*1000)/365</f>
        <v>0.47356126076093297</v>
      </c>
      <c r="BC37" s="225">
        <f t="shared" ref="BC37:BC39" si="84">(AVERAGE(AA37:AB37)*1000)/365</f>
        <v>0.46386378841740733</v>
      </c>
      <c r="BD37" s="54">
        <f t="shared" ref="BD37:BD39" si="85">(AVERAGE(AC37:AF37)*1000)/365</f>
        <v>0.82057465737183755</v>
      </c>
      <c r="BE37" s="254">
        <f t="shared" ref="BE37:BE39" si="86">AG37*1000</f>
        <v>172.84986017774054</v>
      </c>
      <c r="BF37" s="225">
        <f t="shared" ref="BF37:BF39" si="87">AVERAGE(AH37:AI37)*1000</f>
        <v>169.31028277235364</v>
      </c>
      <c r="BG37" s="276">
        <f t="shared" ref="BG37:BG39" si="88">AVERAGE(AJ37:AM37)*1000</f>
        <v>299.50974994072072</v>
      </c>
      <c r="BH37" s="476"/>
      <c r="BI37" s="476"/>
      <c r="BJ37" s="476"/>
      <c r="BK37" s="476"/>
      <c r="BL37" s="781"/>
      <c r="BM37" s="474" t="s">
        <v>598</v>
      </c>
      <c r="BN37" s="477">
        <v>0.40200000000000002</v>
      </c>
      <c r="BO37" s="478">
        <v>360</v>
      </c>
      <c r="BP37" s="478">
        <v>360</v>
      </c>
      <c r="BQ37" s="478">
        <v>360</v>
      </c>
      <c r="BR37" s="364">
        <v>1.9310241192348314E-8</v>
      </c>
      <c r="BS37" s="524" t="s">
        <v>595</v>
      </c>
      <c r="BV37" s="783"/>
      <c r="BW37" s="622"/>
      <c r="BX37" s="475"/>
    </row>
    <row r="38" spans="1:76" ht="15.65" customHeight="1" thickBot="1">
      <c r="A38" s="757"/>
      <c r="B38" s="296" t="s">
        <v>596</v>
      </c>
      <c r="C38" s="757"/>
      <c r="D38" s="249">
        <f>Article_Inputs!I18</f>
        <v>480</v>
      </c>
      <c r="E38" s="250">
        <f>Article_Inputs!I15</f>
        <v>480</v>
      </c>
      <c r="F38" s="250">
        <f>Article_Inputs!I15</f>
        <v>480</v>
      </c>
      <c r="G38" s="250">
        <f>Article_Inputs!I12</f>
        <v>480</v>
      </c>
      <c r="H38" s="250">
        <f>Article_Inputs!I12</f>
        <v>480</v>
      </c>
      <c r="I38" s="250">
        <f>Article_Inputs!I12</f>
        <v>480</v>
      </c>
      <c r="J38" s="251">
        <f>Article_Inputs!I12</f>
        <v>480</v>
      </c>
      <c r="K38" s="252">
        <f>Article_Inputs!I5</f>
        <v>2.9999999999999997E-4</v>
      </c>
      <c r="L38" s="124">
        <f>L37</f>
        <v>365</v>
      </c>
      <c r="M38" s="124">
        <f>M37</f>
        <v>1</v>
      </c>
      <c r="N38" s="195">
        <f>'P-Chem'!$H$7*(10000/60)</f>
        <v>9.0356506501807751E-7</v>
      </c>
      <c r="O38" s="104">
        <f>Article_Data!$B$25</f>
        <v>1.34</v>
      </c>
      <c r="P38" s="195">
        <f t="shared" si="48"/>
        <v>0.40200000000000002</v>
      </c>
      <c r="Q38" s="257">
        <v>1</v>
      </c>
      <c r="R38" s="215" t="s">
        <v>595</v>
      </c>
      <c r="S38" s="217">
        <f>(INDEX('Dermal Calcs'!$B$46:$L$52,MATCH($R38,'Dermal Calcs'!$A$46:$A$52,0),MATCH(S$3,'Dermal Calcs'!$B$45:$L$45,0)))*(SQRT(2*$N38*D38))*$Q38*$P38</f>
        <v>7.3333984955296139E-2</v>
      </c>
      <c r="T38" s="217">
        <f>(INDEX('Dermal Calcs'!$B$46:$L$52,MATCH($R38,'Dermal Calcs'!$A$46:$A$52,0),MATCH(T$3,'Dermal Calcs'!$B$45:$L$45,0)))*(SQRT(2*$N38*E38))*$Q38*$P38</f>
        <v>6.8624068060648843E-2</v>
      </c>
      <c r="U38" s="217">
        <f>(INDEX('Dermal Calcs'!$B$46:$L$52,MATCH($R38,'Dermal Calcs'!$A$46:$A$52,0),MATCH(U$3,'Dermal Calcs'!$B$45:$L$45,0)))*(SQRT(2*$N38*F38))*$Q38*$P38</f>
        <v>7.5040470826882921E-2</v>
      </c>
      <c r="V38" s="217">
        <f>(INDEX('Dermal Calcs'!$B$46:$L$52,MATCH($R38,'Dermal Calcs'!$A$46:$A$52,0),MATCH(V$3,'Dermal Calcs'!$B$45:$L$45,0)))*(SQRT(2*$N38*G38))*$Q38*$P38</f>
        <v>9.4941140763152701E-2</v>
      </c>
      <c r="W38" s="217">
        <f>(INDEX('Dermal Calcs'!$B$46:$L$52,MATCH($R38,'Dermal Calcs'!$A$46:$A$52,0),MATCH(W$3,'Dermal Calcs'!$B$45:$L$45,0)))*(SQRT(2*$N38*H38))*$Q38*$P38</f>
        <v>0.11776064328687061</v>
      </c>
      <c r="X38" s="217">
        <f>(INDEX('Dermal Calcs'!$B$46:$L$52,MATCH($R38,'Dermal Calcs'!$A$46:$A$52,0),MATCH(X$3,'Dermal Calcs'!$B$45:$L$45,0)))*(SQRT(2*$N38*I38))*$Q38*$P38</f>
        <v>0.13625073142200345</v>
      </c>
      <c r="Y38" s="217">
        <f>(INDEX('Dermal Calcs'!$B$46:$L$52,MATCH($R38,'Dermal Calcs'!$A$46:$A$52,0),MATCH(Y$3,'Dermal Calcs'!$B$45:$L$45,0)))*(SQRT(2*$N38*J38))*$Q38*$P38</f>
        <v>0.15933238504294303</v>
      </c>
      <c r="Z38" s="217">
        <f t="shared" si="30"/>
        <v>7.3333984955296139E-2</v>
      </c>
      <c r="AA38" s="217">
        <f t="shared" si="31"/>
        <v>6.8624068060648843E-2</v>
      </c>
      <c r="AB38" s="217">
        <f t="shared" si="32"/>
        <v>7.5040470826882921E-2</v>
      </c>
      <c r="AC38" s="217">
        <f t="shared" si="33"/>
        <v>9.4941140763152701E-2</v>
      </c>
      <c r="AD38" s="217">
        <f t="shared" si="34"/>
        <v>0.11776064328687061</v>
      </c>
      <c r="AE38" s="217">
        <f t="shared" si="35"/>
        <v>0.13625073142200345</v>
      </c>
      <c r="AF38" s="217">
        <f t="shared" si="36"/>
        <v>0.15933238504294303</v>
      </c>
      <c r="AG38" s="217">
        <f t="shared" si="37"/>
        <v>7.3333984955296139E-2</v>
      </c>
      <c r="AH38" s="217">
        <f t="shared" si="38"/>
        <v>6.8624068060648843E-2</v>
      </c>
      <c r="AI38" s="217">
        <f t="shared" si="39"/>
        <v>7.5040470826882921E-2</v>
      </c>
      <c r="AJ38" s="217">
        <f t="shared" si="40"/>
        <v>9.4941140763152701E-2</v>
      </c>
      <c r="AK38" s="217">
        <f t="shared" si="41"/>
        <v>0.11776064328687061</v>
      </c>
      <c r="AL38" s="217">
        <f t="shared" si="42"/>
        <v>0.13625073142200345</v>
      </c>
      <c r="AM38" s="498">
        <f t="shared" si="43"/>
        <v>0.15933238504294303</v>
      </c>
      <c r="AN38" s="218">
        <f t="shared" si="69"/>
        <v>0.20091502727478397</v>
      </c>
      <c r="AO38" s="219">
        <f t="shared" si="70"/>
        <v>0.18801114537164065</v>
      </c>
      <c r="AP38" s="219">
        <f t="shared" si="71"/>
        <v>0.20559033103255595</v>
      </c>
      <c r="AQ38" s="219">
        <f t="shared" si="72"/>
        <v>0.26011271441959644</v>
      </c>
      <c r="AR38" s="219">
        <f t="shared" si="73"/>
        <v>0.32263189941608383</v>
      </c>
      <c r="AS38" s="219">
        <f t="shared" si="74"/>
        <v>0.37328967512877653</v>
      </c>
      <c r="AT38" s="220">
        <f t="shared" si="75"/>
        <v>0.43652708230943293</v>
      </c>
      <c r="AU38" s="219">
        <f t="shared" si="76"/>
        <v>73.333984955296145</v>
      </c>
      <c r="AV38" s="219">
        <f t="shared" si="77"/>
        <v>68.624068060648838</v>
      </c>
      <c r="AW38" s="219">
        <f t="shared" si="78"/>
        <v>75.040470826882924</v>
      </c>
      <c r="AX38" s="219">
        <f t="shared" si="79"/>
        <v>94.941140763152703</v>
      </c>
      <c r="AY38" s="219">
        <f t="shared" si="80"/>
        <v>117.7606432868706</v>
      </c>
      <c r="AZ38" s="219">
        <f t="shared" si="81"/>
        <v>136.25073142200344</v>
      </c>
      <c r="BA38" s="220">
        <f t="shared" si="82"/>
        <v>159.33238504294303</v>
      </c>
      <c r="BB38" s="254">
        <f t="shared" si="83"/>
        <v>0.20091502727478397</v>
      </c>
      <c r="BC38" s="225">
        <f t="shared" si="84"/>
        <v>0.19680073820209834</v>
      </c>
      <c r="BD38" s="54">
        <f t="shared" si="85"/>
        <v>0.34814034281847245</v>
      </c>
      <c r="BE38" s="254">
        <f t="shared" si="86"/>
        <v>73.333984955296145</v>
      </c>
      <c r="BF38" s="225">
        <f t="shared" si="87"/>
        <v>71.832269443765895</v>
      </c>
      <c r="BG38" s="276">
        <f t="shared" si="88"/>
        <v>127.07122512874244</v>
      </c>
      <c r="BH38" s="476"/>
      <c r="BI38" s="476"/>
      <c r="BJ38" s="476"/>
      <c r="BK38" s="476"/>
      <c r="BL38" s="788"/>
      <c r="BM38" s="405" t="s">
        <v>390</v>
      </c>
      <c r="BN38" s="516">
        <v>0.13400000000000001</v>
      </c>
      <c r="BO38" s="517">
        <v>240</v>
      </c>
      <c r="BP38" s="517">
        <v>240</v>
      </c>
      <c r="BQ38" s="517">
        <v>240</v>
      </c>
      <c r="BR38" s="527">
        <v>1.9310241192348314E-8</v>
      </c>
      <c r="BS38" s="526" t="s">
        <v>595</v>
      </c>
      <c r="BV38" s="783"/>
      <c r="BW38" s="622"/>
      <c r="BX38" s="475"/>
    </row>
    <row r="39" spans="1:76" ht="14.5" thickBot="1">
      <c r="A39" s="761"/>
      <c r="B39" s="301" t="s">
        <v>390</v>
      </c>
      <c r="C39" s="760"/>
      <c r="D39" s="505">
        <f>Article_Inputs!I19</f>
        <v>240</v>
      </c>
      <c r="E39" s="70">
        <f>Article_Inputs!I16</f>
        <v>240</v>
      </c>
      <c r="F39" s="70">
        <f>Article_Inputs!I16</f>
        <v>240</v>
      </c>
      <c r="G39" s="70">
        <f>Article_Inputs!I13</f>
        <v>240</v>
      </c>
      <c r="H39" s="70">
        <f>Article_Inputs!I13</f>
        <v>240</v>
      </c>
      <c r="I39" s="70">
        <f>Article_Inputs!I13</f>
        <v>240</v>
      </c>
      <c r="J39" s="504">
        <f>Article_Inputs!I13</f>
        <v>240</v>
      </c>
      <c r="K39" s="258">
        <f>Article_Inputs!I6</f>
        <v>1E-4</v>
      </c>
      <c r="L39" s="259">
        <f>L37</f>
        <v>365</v>
      </c>
      <c r="M39" s="259">
        <f>M37</f>
        <v>1</v>
      </c>
      <c r="N39" s="260">
        <f>'P-Chem'!$H$7*(10000/60)</f>
        <v>9.0356506501807751E-7</v>
      </c>
      <c r="O39" s="167">
        <f>Article_Data!$B$25</f>
        <v>1.34</v>
      </c>
      <c r="P39" s="260">
        <f t="shared" si="48"/>
        <v>0.13400000000000001</v>
      </c>
      <c r="Q39" s="261">
        <v>1</v>
      </c>
      <c r="R39" s="262" t="s">
        <v>595</v>
      </c>
      <c r="S39" s="502">
        <f>(INDEX('Dermal Calcs'!$B$46:$L$52,MATCH($R39,'Dermal Calcs'!$A$46:$A$52,0),MATCH(S$3,'Dermal Calcs'!$B$45:$L$45,0)))*(SQRT(2*$N39*D39))*$Q39*$P39</f>
        <v>1.7284986017774052E-2</v>
      </c>
      <c r="T39" s="502">
        <f>(INDEX('Dermal Calcs'!$B$46:$L$52,MATCH($R39,'Dermal Calcs'!$A$46:$A$52,0),MATCH(T$3,'Dermal Calcs'!$B$45:$L$45,0)))*(SQRT(2*$N39*E39))*$Q39*$P39</f>
        <v>1.6174847959430656E-2</v>
      </c>
      <c r="U39" s="503">
        <f>(INDEX('Dermal Calcs'!$B$46:$L$52,MATCH($R39,'Dermal Calcs'!$A$46:$A$52,0),MATCH(U$3,'Dermal Calcs'!$B$45:$L$45,0)))*(SQRT(2*$N39*F39))*$Q39*$P39</f>
        <v>1.7687208595040072E-2</v>
      </c>
      <c r="V39" s="502">
        <f>(INDEX('Dermal Calcs'!$B$46:$L$52,MATCH($R39,'Dermal Calcs'!$A$46:$A$52,0),MATCH(V$3,'Dermal Calcs'!$B$45:$L$45,0)))*(SQRT(2*$N39*G39))*$Q39*$P39</f>
        <v>2.2377841482403942E-2</v>
      </c>
      <c r="W39" s="502">
        <f>(INDEX('Dermal Calcs'!$B$46:$L$52,MATCH($R39,'Dermal Calcs'!$A$46:$A$52,0),MATCH(W$3,'Dermal Calcs'!$B$45:$L$45,0)))*(SQRT(2*$N39*H39))*$Q39*$P39</f>
        <v>2.7756449808345435E-2</v>
      </c>
      <c r="X39" s="502">
        <f>(INDEX('Dermal Calcs'!$B$46:$L$52,MATCH($R39,'Dermal Calcs'!$A$46:$A$52,0),MATCH(X$3,'Dermal Calcs'!$B$45:$L$45,0)))*(SQRT(2*$N39*I39))*$Q39*$P39</f>
        <v>3.2114605376708551E-2</v>
      </c>
      <c r="Y39" s="503">
        <f>(INDEX('Dermal Calcs'!$B$46:$L$52,MATCH($R39,'Dermal Calcs'!$A$46:$A$52,0),MATCH(Y$3,'Dermal Calcs'!$B$45:$L$45,0)))*(SQRT(2*$N39*J39))*$Q39*$P39</f>
        <v>3.7555003308830354E-2</v>
      </c>
      <c r="Z39" s="502">
        <f t="shared" si="30"/>
        <v>1.7284986017774052E-2</v>
      </c>
      <c r="AA39" s="502">
        <f t="shared" si="31"/>
        <v>1.6174847959430656E-2</v>
      </c>
      <c r="AB39" s="502">
        <f t="shared" si="32"/>
        <v>1.7687208595040072E-2</v>
      </c>
      <c r="AC39" s="502">
        <f t="shared" si="33"/>
        <v>2.2377841482403942E-2</v>
      </c>
      <c r="AD39" s="502">
        <f t="shared" si="34"/>
        <v>2.7756449808345435E-2</v>
      </c>
      <c r="AE39" s="502">
        <f t="shared" si="35"/>
        <v>3.2114605376708551E-2</v>
      </c>
      <c r="AF39" s="502">
        <f t="shared" si="36"/>
        <v>3.7555003308830354E-2</v>
      </c>
      <c r="AG39" s="502">
        <f t="shared" si="37"/>
        <v>1.7284986017774052E-2</v>
      </c>
      <c r="AH39" s="502">
        <f t="shared" si="38"/>
        <v>1.6174847959430656E-2</v>
      </c>
      <c r="AI39" s="502">
        <f t="shared" si="39"/>
        <v>1.7687208595040072E-2</v>
      </c>
      <c r="AJ39" s="502">
        <f t="shared" si="40"/>
        <v>2.2377841482403942E-2</v>
      </c>
      <c r="AK39" s="502">
        <f t="shared" si="41"/>
        <v>2.7756449808345435E-2</v>
      </c>
      <c r="AL39" s="502">
        <f t="shared" si="42"/>
        <v>3.2114605376708551E-2</v>
      </c>
      <c r="AM39" s="503">
        <f t="shared" si="43"/>
        <v>3.7555003308830354E-2</v>
      </c>
      <c r="AN39" s="218">
        <f t="shared" si="69"/>
        <v>4.7356126076093297E-2</v>
      </c>
      <c r="AO39" s="219">
        <f t="shared" si="70"/>
        <v>4.4314651943645637E-2</v>
      </c>
      <c r="AP39" s="219">
        <f t="shared" si="71"/>
        <v>4.8458105739835812E-2</v>
      </c>
      <c r="AQ39" s="219">
        <f t="shared" si="72"/>
        <v>6.1309154746312169E-2</v>
      </c>
      <c r="AR39" s="219">
        <f t="shared" si="73"/>
        <v>7.6045067968069674E-2</v>
      </c>
      <c r="AS39" s="219">
        <f t="shared" si="74"/>
        <v>8.798522021016042E-2</v>
      </c>
      <c r="AT39" s="220">
        <f t="shared" si="75"/>
        <v>0.10289042002419274</v>
      </c>
      <c r="AU39" s="219">
        <f t="shared" si="76"/>
        <v>17.284986017774052</v>
      </c>
      <c r="AV39" s="219">
        <f t="shared" si="77"/>
        <v>16.174847959430657</v>
      </c>
      <c r="AW39" s="219">
        <f t="shared" si="78"/>
        <v>17.687208595040072</v>
      </c>
      <c r="AX39" s="219">
        <f t="shared" si="79"/>
        <v>22.377841482403941</v>
      </c>
      <c r="AY39" s="219">
        <f t="shared" si="80"/>
        <v>27.756449808345433</v>
      </c>
      <c r="AZ39" s="219">
        <f t="shared" si="81"/>
        <v>32.114605376708553</v>
      </c>
      <c r="BA39" s="220">
        <f t="shared" si="82"/>
        <v>37.555003308830351</v>
      </c>
      <c r="BB39" s="254">
        <f t="shared" si="83"/>
        <v>4.7356126076093297E-2</v>
      </c>
      <c r="BC39" s="225">
        <f t="shared" si="84"/>
        <v>4.6386378841740718E-2</v>
      </c>
      <c r="BD39" s="54">
        <f t="shared" si="85"/>
        <v>8.2057465737183768E-2</v>
      </c>
      <c r="BE39" s="254">
        <f t="shared" si="86"/>
        <v>17.284986017774052</v>
      </c>
      <c r="BF39" s="225">
        <f t="shared" si="87"/>
        <v>16.931028277235363</v>
      </c>
      <c r="BG39" s="276">
        <f t="shared" si="88"/>
        <v>29.950974994072073</v>
      </c>
      <c r="BH39" s="476"/>
      <c r="BI39" s="476"/>
      <c r="BJ39" s="476"/>
      <c r="BK39" s="476"/>
      <c r="BL39"/>
    </row>
    <row r="40" spans="1:76">
      <c r="D40" s="506"/>
      <c r="BM40" s="474"/>
    </row>
    <row r="41" spans="1:76" ht="17.5">
      <c r="A41" s="198" t="s">
        <v>614</v>
      </c>
      <c r="B41" s="110"/>
      <c r="C41" s="59"/>
      <c r="D41" s="110"/>
      <c r="E41" s="110"/>
      <c r="F41" s="110"/>
      <c r="G41" s="110"/>
      <c r="H41" s="110"/>
      <c r="I41" s="110"/>
      <c r="J41" s="110"/>
      <c r="K41" s="110"/>
      <c r="L41" s="110"/>
      <c r="BM41" s="474"/>
    </row>
    <row r="42" spans="1:76">
      <c r="A42" s="110"/>
      <c r="B42" s="110"/>
      <c r="C42" s="59"/>
      <c r="D42" s="110"/>
      <c r="E42" s="110"/>
      <c r="F42" s="110"/>
      <c r="G42" s="110"/>
      <c r="H42" s="110"/>
      <c r="I42" s="110"/>
      <c r="J42" s="110"/>
      <c r="K42" s="110"/>
      <c r="L42" s="110"/>
      <c r="S42" s="48">
        <v>2.2468012535797501</v>
      </c>
      <c r="T42" s="48">
        <v>3.1774568047693541</v>
      </c>
      <c r="W42" s="255"/>
      <c r="BM42" s="474"/>
    </row>
    <row r="43" spans="1:76">
      <c r="A43" s="746" t="s">
        <v>615</v>
      </c>
      <c r="B43" s="747"/>
      <c r="C43" s="747"/>
      <c r="D43" s="747"/>
      <c r="E43" s="747"/>
      <c r="F43" s="747"/>
      <c r="G43" s="747"/>
      <c r="H43" s="747"/>
      <c r="I43" s="747"/>
      <c r="J43" s="747"/>
      <c r="K43" s="747"/>
      <c r="L43" s="748"/>
      <c r="T43" s="48">
        <f>(T42-S42)/S42</f>
        <v>0.41421356237309503</v>
      </c>
    </row>
    <row r="44" spans="1:76">
      <c r="A44" s="749" t="s">
        <v>589</v>
      </c>
      <c r="B44" s="741" t="s">
        <v>616</v>
      </c>
      <c r="C44" s="751"/>
      <c r="D44" s="751"/>
      <c r="E44" s="751"/>
      <c r="F44" s="751"/>
      <c r="G44" s="751"/>
      <c r="H44" s="751"/>
      <c r="I44" s="751"/>
      <c r="J44" s="751"/>
      <c r="K44" s="751"/>
      <c r="L44" s="742"/>
    </row>
    <row r="45" spans="1:76" ht="56">
      <c r="A45" s="750"/>
      <c r="B45" s="284" t="s">
        <v>577</v>
      </c>
      <c r="C45" s="284" t="s">
        <v>578</v>
      </c>
      <c r="D45" s="284" t="s">
        <v>579</v>
      </c>
      <c r="E45" s="284" t="s">
        <v>580</v>
      </c>
      <c r="F45" s="284" t="s">
        <v>581</v>
      </c>
      <c r="G45" s="284"/>
      <c r="H45" s="284"/>
      <c r="I45" s="284"/>
      <c r="J45" s="284" t="s">
        <v>582</v>
      </c>
      <c r="K45" s="284"/>
      <c r="L45" s="284" t="s">
        <v>583</v>
      </c>
      <c r="V45" s="197"/>
    </row>
    <row r="46" spans="1:76">
      <c r="A46" s="285" t="s">
        <v>608</v>
      </c>
      <c r="B46" s="148">
        <v>245.8872238302861</v>
      </c>
      <c r="C46" s="148">
        <v>256.98324022346372</v>
      </c>
      <c r="D46" s="148">
        <v>279.92957746478874</v>
      </c>
      <c r="E46" s="148">
        <v>339.62264150943395</v>
      </c>
      <c r="F46" s="148">
        <v>408.60215053763437</v>
      </c>
      <c r="G46" s="148"/>
      <c r="H46" s="148"/>
      <c r="I46" s="148"/>
      <c r="J46" s="148">
        <v>452.38095238095241</v>
      </c>
      <c r="K46" s="148"/>
      <c r="L46" s="148">
        <v>509.57446808510639</v>
      </c>
      <c r="R46" s="78" t="str">
        <f>A7</f>
        <v>Auto Care</v>
      </c>
      <c r="S46" s="210" t="s">
        <v>388</v>
      </c>
      <c r="T46" s="48">
        <v>12</v>
      </c>
      <c r="U46" s="48">
        <v>1</v>
      </c>
      <c r="V46" s="48">
        <v>3.2499999999999999E-3</v>
      </c>
    </row>
    <row r="47" spans="1:76" ht="28">
      <c r="A47" s="285" t="s">
        <v>609</v>
      </c>
      <c r="B47" s="148">
        <v>122.94361191514305</v>
      </c>
      <c r="C47" s="148">
        <v>128.49162011173186</v>
      </c>
      <c r="D47" s="148">
        <v>139.96478873239437</v>
      </c>
      <c r="E47" s="148">
        <v>169.81132075471697</v>
      </c>
      <c r="F47" s="148">
        <v>204.30107526881719</v>
      </c>
      <c r="G47" s="148"/>
      <c r="H47" s="148"/>
      <c r="I47" s="148"/>
      <c r="J47" s="148">
        <v>226.1904761904762</v>
      </c>
      <c r="K47" s="148"/>
      <c r="L47" s="148">
        <v>254.78723404255319</v>
      </c>
      <c r="S47" s="210" t="s">
        <v>596</v>
      </c>
      <c r="T47" s="48">
        <v>12</v>
      </c>
      <c r="U47" s="48">
        <v>1</v>
      </c>
      <c r="V47" s="48">
        <v>3.2499999999999999E-3</v>
      </c>
    </row>
    <row r="48" spans="1:76" ht="28.5" thickBot="1">
      <c r="A48" s="285" t="s">
        <v>610</v>
      </c>
      <c r="B48" s="148">
        <v>15.753352507969074</v>
      </c>
      <c r="C48" s="148">
        <v>14.909217877094973</v>
      </c>
      <c r="D48" s="148">
        <v>16.37323943661972</v>
      </c>
      <c r="E48" s="148">
        <v>21.069182389937108</v>
      </c>
      <c r="F48" s="148">
        <v>27.419354838709676</v>
      </c>
      <c r="G48" s="148"/>
      <c r="H48" s="148"/>
      <c r="I48" s="148"/>
      <c r="J48" s="148">
        <v>35.019841269841265</v>
      </c>
      <c r="K48" s="148"/>
      <c r="L48" s="148">
        <v>81.941489361702125</v>
      </c>
      <c r="S48" s="226" t="s">
        <v>390</v>
      </c>
      <c r="T48" s="48">
        <v>12</v>
      </c>
      <c r="U48" s="48">
        <v>1</v>
      </c>
      <c r="V48" s="48">
        <v>3.2499999999999999E-3</v>
      </c>
    </row>
    <row r="49" spans="1:77" ht="28.5" thickTop="1">
      <c r="A49" s="285" t="s">
        <v>617</v>
      </c>
      <c r="B49" s="148">
        <v>12.387791741472176</v>
      </c>
      <c r="C49" s="148">
        <v>11.592178770949722</v>
      </c>
      <c r="D49" s="148">
        <v>12.67605633802817</v>
      </c>
      <c r="E49" s="148">
        <v>16.037735849056602</v>
      </c>
      <c r="F49" s="148">
        <v>19.892473118279568</v>
      </c>
      <c r="G49" s="148"/>
      <c r="H49" s="148"/>
      <c r="I49" s="148"/>
      <c r="J49" s="148">
        <v>23.015873015873012</v>
      </c>
      <c r="K49" s="148"/>
      <c r="L49" s="148">
        <v>26.914893617021278</v>
      </c>
      <c r="R49" s="78" t="str">
        <f>A4</f>
        <v>Caulking Compounds</v>
      </c>
      <c r="S49" s="239" t="s">
        <v>388</v>
      </c>
      <c r="T49" s="48">
        <v>3</v>
      </c>
      <c r="U49" s="48">
        <v>1</v>
      </c>
      <c r="V49" s="48">
        <v>1.5900000000000001E-2</v>
      </c>
    </row>
    <row r="50" spans="1:77" ht="28">
      <c r="A50" s="285" t="s">
        <v>595</v>
      </c>
      <c r="B50" s="148">
        <v>6.193895870736088</v>
      </c>
      <c r="C50" s="148">
        <v>5.7960893854748612</v>
      </c>
      <c r="D50" s="148">
        <v>6.3380281690140849</v>
      </c>
      <c r="E50" s="148">
        <v>8.0188679245283012</v>
      </c>
      <c r="F50" s="148">
        <v>9.9462365591397841</v>
      </c>
      <c r="G50" s="148"/>
      <c r="H50" s="148"/>
      <c r="I50" s="148"/>
      <c r="J50" s="148">
        <v>11.507936507936506</v>
      </c>
      <c r="K50" s="148"/>
      <c r="L50" s="148">
        <v>13.457446808510639</v>
      </c>
      <c r="S50" s="210" t="s">
        <v>596</v>
      </c>
      <c r="T50" s="48">
        <v>3</v>
      </c>
      <c r="U50" s="48">
        <v>1</v>
      </c>
      <c r="V50" s="48">
        <v>1.5900000000000001E-2</v>
      </c>
    </row>
    <row r="51" spans="1:77" ht="28.5" thickBot="1">
      <c r="A51" s="285" t="s">
        <v>597</v>
      </c>
      <c r="B51" s="148">
        <v>3.096947935368044</v>
      </c>
      <c r="C51" s="148">
        <v>2.8980446927374306</v>
      </c>
      <c r="D51" s="148">
        <v>3.1690140845070425</v>
      </c>
      <c r="E51" s="148">
        <v>4.0094339622641506</v>
      </c>
      <c r="F51" s="148">
        <v>4.9731182795698921</v>
      </c>
      <c r="G51" s="148"/>
      <c r="H51" s="148"/>
      <c r="I51" s="148"/>
      <c r="J51" s="148">
        <v>5.7539682539682531</v>
      </c>
      <c r="K51" s="148"/>
      <c r="L51" s="148">
        <v>6.7287234042553195</v>
      </c>
      <c r="S51" s="226" t="s">
        <v>390</v>
      </c>
      <c r="T51" s="48">
        <v>3</v>
      </c>
      <c r="U51" s="48">
        <v>1</v>
      </c>
      <c r="V51" s="48">
        <v>1.5900000000000001E-2</v>
      </c>
    </row>
    <row r="52" spans="1:77" ht="14.5" thickTop="1">
      <c r="A52" s="285" t="s">
        <v>599</v>
      </c>
      <c r="B52" s="148">
        <v>1.2387791741472176</v>
      </c>
      <c r="C52" s="148">
        <v>1.1592178770949724</v>
      </c>
      <c r="D52" s="148">
        <v>1.267605633802817</v>
      </c>
      <c r="E52" s="148">
        <v>1.6037735849056602</v>
      </c>
      <c r="F52" s="148">
        <v>1.989247311827957</v>
      </c>
      <c r="G52" s="148"/>
      <c r="H52" s="148"/>
      <c r="I52" s="148"/>
      <c r="J52" s="148">
        <v>2.3015873015873014</v>
      </c>
      <c r="K52" s="148"/>
      <c r="L52" s="148">
        <v>2.691489361702128</v>
      </c>
      <c r="R52" s="78" t="str">
        <f>A10</f>
        <v>Cleaning Products</v>
      </c>
      <c r="S52" s="239" t="s">
        <v>388</v>
      </c>
      <c r="T52" s="48">
        <f>L10</f>
        <v>104</v>
      </c>
      <c r="U52" s="48">
        <f>M10</f>
        <v>1</v>
      </c>
      <c r="V52" s="48">
        <f>N10</f>
        <v>3.2499999999999999E-3</v>
      </c>
    </row>
    <row r="53" spans="1:77">
      <c r="A53" s="94"/>
      <c r="B53" s="111"/>
      <c r="C53" s="111"/>
      <c r="D53" s="111"/>
      <c r="E53" s="111"/>
      <c r="F53" s="111"/>
      <c r="G53" s="111"/>
      <c r="H53" s="111"/>
      <c r="I53" s="111"/>
      <c r="M53"/>
      <c r="N53"/>
      <c r="O53"/>
      <c r="P53"/>
      <c r="Q53"/>
      <c r="S53" s="210" t="s">
        <v>596</v>
      </c>
    </row>
    <row r="54" spans="1:77" ht="14.5" thickBot="1">
      <c r="A54" s="752" t="s">
        <v>618</v>
      </c>
      <c r="B54" s="752"/>
      <c r="C54" s="752"/>
      <c r="D54" s="111"/>
      <c r="E54" s="752" t="s">
        <v>619</v>
      </c>
      <c r="F54" s="752"/>
      <c r="G54" s="752"/>
      <c r="H54" s="752"/>
      <c r="I54" s="752"/>
      <c r="J54" s="752"/>
      <c r="K54" s="286"/>
      <c r="L54" s="287"/>
      <c r="M54"/>
      <c r="N54"/>
      <c r="O54"/>
      <c r="P54"/>
      <c r="Q54"/>
      <c r="S54" s="226" t="s">
        <v>390</v>
      </c>
    </row>
    <row r="55" spans="1:77" ht="14.5" thickTop="1">
      <c r="A55" s="288" t="s">
        <v>620</v>
      </c>
      <c r="B55" s="741" t="s">
        <v>621</v>
      </c>
      <c r="C55" s="742"/>
      <c r="D55" s="111"/>
      <c r="E55" s="289"/>
      <c r="F55" s="289"/>
      <c r="G55" s="289"/>
      <c r="H55" s="289"/>
      <c r="I55" s="289"/>
      <c r="J55" s="287"/>
      <c r="K55" s="287"/>
      <c r="L55" s="287"/>
      <c r="M55"/>
      <c r="N55"/>
      <c r="O55"/>
      <c r="P55"/>
      <c r="Q55"/>
      <c r="R55" s="78" t="str">
        <f>A13</f>
        <v>Paint/Laquer (Large Project)</v>
      </c>
      <c r="S55" s="239" t="s">
        <v>388</v>
      </c>
    </row>
    <row r="56" spans="1:77" s="78" customFormat="1">
      <c r="A56" s="290" t="s">
        <v>845</v>
      </c>
      <c r="B56" s="60">
        <v>1</v>
      </c>
      <c r="C56" s="60"/>
      <c r="D56" s="111"/>
      <c r="E56" s="289"/>
      <c r="F56" s="289"/>
      <c r="G56" s="289"/>
      <c r="H56" s="289"/>
      <c r="I56" s="289"/>
      <c r="J56" s="287"/>
      <c r="K56" s="287"/>
      <c r="L56" s="287"/>
      <c r="M56"/>
      <c r="N56"/>
      <c r="O56"/>
      <c r="P56"/>
      <c r="Q56"/>
      <c r="S56" s="210" t="s">
        <v>596</v>
      </c>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363"/>
      <c r="BI56" s="363"/>
      <c r="BJ56" s="363"/>
      <c r="BK56" s="363"/>
      <c r="BL56" s="363"/>
      <c r="BM56" s="363"/>
      <c r="BN56" s="363"/>
      <c r="BO56" s="363"/>
      <c r="BP56" s="363"/>
      <c r="BQ56" s="364"/>
      <c r="BR56" s="364"/>
      <c r="BS56" s="364"/>
      <c r="BT56" s="364"/>
      <c r="BU56" s="364"/>
      <c r="BV56" s="364"/>
      <c r="BW56" s="364"/>
      <c r="BX56" s="364"/>
      <c r="BY56" s="364"/>
    </row>
    <row r="57" spans="1:77" s="78" customFormat="1" ht="14.5" thickBot="1">
      <c r="A57" s="290" t="s">
        <v>846</v>
      </c>
      <c r="B57" s="60">
        <v>1</v>
      </c>
      <c r="C57" s="60"/>
      <c r="D57" s="110"/>
      <c r="E57" s="291" t="s">
        <v>622</v>
      </c>
      <c r="F57" s="291" t="s">
        <v>623</v>
      </c>
      <c r="G57" s="291" t="s">
        <v>624</v>
      </c>
      <c r="H57" s="291" t="s">
        <v>625</v>
      </c>
      <c r="I57" s="292"/>
      <c r="J57" s="292"/>
      <c r="K57" s="292"/>
      <c r="L57" s="292"/>
      <c r="M57"/>
      <c r="N57"/>
      <c r="O57"/>
      <c r="P57"/>
      <c r="Q57"/>
      <c r="S57" s="226" t="s">
        <v>390</v>
      </c>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363"/>
      <c r="BI57" s="363"/>
      <c r="BJ57" s="363"/>
      <c r="BK57" s="363"/>
      <c r="BL57" s="363"/>
      <c r="BM57" s="363"/>
      <c r="BN57" s="363"/>
      <c r="BO57" s="363"/>
      <c r="BP57" s="363"/>
      <c r="BQ57" s="364"/>
      <c r="BR57" s="364"/>
      <c r="BS57" s="364"/>
      <c r="BT57" s="364"/>
      <c r="BU57" s="364"/>
      <c r="BV57" s="364"/>
      <c r="BW57" s="364"/>
      <c r="BX57" s="364"/>
      <c r="BY57" s="364"/>
    </row>
    <row r="58" spans="1:77" s="78" customFormat="1" ht="16.5" thickTop="1" thickBot="1">
      <c r="A58" s="290" t="s">
        <v>845</v>
      </c>
      <c r="B58" s="232">
        <v>1</v>
      </c>
      <c r="C58" s="232"/>
      <c r="D58" s="110"/>
      <c r="E58" s="55">
        <f>10^(0.7*'P-Chem'!B7-0.0722*('P-Chem'!B4^(2/3))-5.252)</f>
        <v>2.6475646259117896E-4</v>
      </c>
      <c r="F58" s="293">
        <f>E58/(1+(E58*'P-Chem'!B4^0.5)/2)</f>
        <v>2.6415422614879918E-4</v>
      </c>
      <c r="G58" s="293">
        <f>F58/(40.9*'P-Chem'!B8)</f>
        <v>5.4733377429198787E-7</v>
      </c>
      <c r="H58" s="293"/>
      <c r="I58" s="294"/>
      <c r="J58" s="294"/>
      <c r="K58" s="294"/>
      <c r="L58" s="294"/>
      <c r="M58"/>
      <c r="N58"/>
      <c r="O58"/>
      <c r="P58"/>
      <c r="Q58"/>
      <c r="R58" s="78" t="str">
        <f>A16</f>
        <v>Paint/Laquer (Small Project)</v>
      </c>
      <c r="S58" s="239" t="s">
        <v>388</v>
      </c>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363"/>
      <c r="BI58" s="363"/>
      <c r="BJ58" s="363"/>
      <c r="BK58" s="363"/>
      <c r="BL58" s="363"/>
      <c r="BM58" s="363"/>
      <c r="BN58" s="363"/>
      <c r="BO58" s="363"/>
      <c r="BP58" s="363"/>
      <c r="BQ58" s="364"/>
      <c r="BR58" s="364"/>
      <c r="BS58" s="364"/>
      <c r="BT58" s="364"/>
      <c r="BU58" s="364"/>
      <c r="BV58" s="364"/>
      <c r="BW58" s="364"/>
      <c r="BX58" s="364"/>
      <c r="BY58" s="364"/>
    </row>
    <row r="59" spans="1:77" ht="14.5" thickTop="1">
      <c r="M59"/>
      <c r="N59"/>
      <c r="O59"/>
      <c r="P59"/>
      <c r="Q59"/>
      <c r="S59" s="210" t="s">
        <v>596</v>
      </c>
    </row>
    <row r="60" spans="1:77" ht="14.5" thickBot="1">
      <c r="S60" s="226" t="s">
        <v>390</v>
      </c>
    </row>
    <row r="61" spans="1:77" ht="14.5" thickTop="1">
      <c r="R61" s="78" t="str">
        <f>A19</f>
        <v>Pet Care</v>
      </c>
      <c r="S61" s="239" t="s">
        <v>388</v>
      </c>
    </row>
    <row r="62" spans="1:77">
      <c r="S62" s="210" t="s">
        <v>596</v>
      </c>
    </row>
    <row r="63" spans="1:77" ht="14.5" thickBot="1">
      <c r="S63" s="226" t="s">
        <v>390</v>
      </c>
    </row>
    <row r="64" spans="1:77" ht="14.5" thickTop="1"/>
  </sheetData>
  <sheetProtection algorithmName="SHA-512" hashValue="iFCO3HraLeNfEl6qLqvKtK9m449U8NwSyikGDxoAD1oacPew0tIgLbF5aBocxQqU+AJBcnWcrXuzUakKsmEpgQ==" saltValue="bQSy+gRi9zPMBnCr+o5HRg==" spinCount="100000" sheet="1" objects="1" scenarios="1" formatCells="0" formatColumns="0" formatRows="0"/>
  <mergeCells count="71">
    <mergeCell ref="BW36:BW38"/>
    <mergeCell ref="BV29:BV32"/>
    <mergeCell ref="BW29:BW32"/>
    <mergeCell ref="BV33:BV35"/>
    <mergeCell ref="BW33:BW35"/>
    <mergeCell ref="BL27:BL29"/>
    <mergeCell ref="BL24:BL26"/>
    <mergeCell ref="BV36:BV38"/>
    <mergeCell ref="BL30:BL32"/>
    <mergeCell ref="BL33:BL35"/>
    <mergeCell ref="BP33:BP35"/>
    <mergeCell ref="BQ33:BQ35"/>
    <mergeCell ref="BL36:BL38"/>
    <mergeCell ref="BL4:BL6"/>
    <mergeCell ref="BL7:BL9"/>
    <mergeCell ref="BL10:BL12"/>
    <mergeCell ref="BL13:BL15"/>
    <mergeCell ref="BL16:BL18"/>
    <mergeCell ref="BL19:BL21"/>
    <mergeCell ref="D22:J22"/>
    <mergeCell ref="S22:Y22"/>
    <mergeCell ref="Z22:AF22"/>
    <mergeCell ref="AG22:AM22"/>
    <mergeCell ref="AN22:AT22"/>
    <mergeCell ref="AU22:BA22"/>
    <mergeCell ref="BB22:BD22"/>
    <mergeCell ref="BE22:BG22"/>
    <mergeCell ref="K22:R22"/>
    <mergeCell ref="A37:A39"/>
    <mergeCell ref="C37:C39"/>
    <mergeCell ref="A34:A36"/>
    <mergeCell ref="C34:C36"/>
    <mergeCell ref="A22:A23"/>
    <mergeCell ref="B22:B23"/>
    <mergeCell ref="C22:C23"/>
    <mergeCell ref="B55:C55"/>
    <mergeCell ref="D2:J2"/>
    <mergeCell ref="A43:L43"/>
    <mergeCell ref="A44:A45"/>
    <mergeCell ref="B44:L44"/>
    <mergeCell ref="A54:C54"/>
    <mergeCell ref="E54:J54"/>
    <mergeCell ref="A27:A29"/>
    <mergeCell ref="C27:C29"/>
    <mergeCell ref="A30:A33"/>
    <mergeCell ref="C30:C33"/>
    <mergeCell ref="A24:A26"/>
    <mergeCell ref="C24:C26"/>
    <mergeCell ref="A13:A15"/>
    <mergeCell ref="C13:C15"/>
    <mergeCell ref="A16:A18"/>
    <mergeCell ref="C16:C18"/>
    <mergeCell ref="A19:A21"/>
    <mergeCell ref="C19:C21"/>
    <mergeCell ref="A4:A6"/>
    <mergeCell ref="C4:C6"/>
    <mergeCell ref="A7:A9"/>
    <mergeCell ref="C7:C9"/>
    <mergeCell ref="A10:A12"/>
    <mergeCell ref="C10:C12"/>
    <mergeCell ref="BE2:BG2"/>
    <mergeCell ref="A2:A3"/>
    <mergeCell ref="B2:B3"/>
    <mergeCell ref="C2:C3"/>
    <mergeCell ref="S2:Y2"/>
    <mergeCell ref="Z2:AF2"/>
    <mergeCell ref="AG2:AM2"/>
    <mergeCell ref="AN2:AT2"/>
    <mergeCell ref="AU2:BA2"/>
    <mergeCell ref="BB2:BD2"/>
    <mergeCell ref="K2:R2"/>
  </mergeCells>
  <conditionalFormatting sqref="S4:BG21 S24:BG39">
    <cfRule type="cellIs" dxfId="1" priority="2" operator="equal">
      <formula>0</formula>
    </cfRule>
  </conditionalFormatting>
  <conditionalFormatting sqref="BY28:BZ28">
    <cfRule type="expression" dxfId="0" priority="1">
      <formula>_xlfn.ISFORMULA(BY28)</formula>
    </cfRule>
  </conditionalFormatting>
  <dataValidations count="1">
    <dataValidation type="list" allowBlank="1" showInputMessage="1" showErrorMessage="1" sqref="BS4:BS21 R24:R39 R4:R21 BS24:BS35 BS36:BS38" xr:uid="{D3563785-761F-4859-BE36-9AD611EB7D49}">
      <formula1>$A$46:$A$52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D077C-F682-4BBB-ABC8-A66FA40CC871}">
  <dimension ref="A1:N17"/>
  <sheetViews>
    <sheetView workbookViewId="0">
      <selection activeCell="L22" sqref="L22"/>
    </sheetView>
  </sheetViews>
  <sheetFormatPr defaultColWidth="9.08203125" defaultRowHeight="14"/>
  <cols>
    <col min="1" max="1" width="10.6640625" style="1" customWidth="1"/>
    <col min="2" max="3" width="9.08203125" style="1"/>
    <col min="4" max="4" width="9.58203125" style="1" customWidth="1"/>
    <col min="5" max="5" width="9.08203125" style="1"/>
    <col min="6" max="6" width="8.4140625" style="1" customWidth="1"/>
    <col min="7" max="7" width="12.33203125" style="1" customWidth="1"/>
    <col min="8" max="8" width="11.6640625" style="1" customWidth="1"/>
    <col min="9" max="10" width="9.08203125" style="1"/>
    <col min="11" max="11" width="79" style="1" customWidth="1"/>
    <col min="12" max="12" width="48.33203125" style="1" customWidth="1"/>
    <col min="13" max="13" width="54" style="1" customWidth="1"/>
    <col min="14" max="14" width="30.08203125" style="1" customWidth="1"/>
    <col min="15" max="16384" width="9.08203125" style="1"/>
  </cols>
  <sheetData>
    <row r="1" spans="1:14" ht="15" customHeight="1">
      <c r="A1" s="57"/>
      <c r="B1" s="57"/>
      <c r="C1" s="57"/>
      <c r="D1" s="57"/>
      <c r="E1" s="57"/>
      <c r="F1" s="57"/>
      <c r="G1" s="57"/>
      <c r="H1" s="57"/>
      <c r="I1" s="57"/>
      <c r="J1" s="57"/>
      <c r="K1" s="57"/>
      <c r="L1" s="57"/>
      <c r="M1" s="57"/>
      <c r="N1" s="57"/>
    </row>
    <row r="2" spans="1:14" ht="74.25" customHeight="1" thickBot="1">
      <c r="A2" s="11" t="s">
        <v>626</v>
      </c>
      <c r="B2" s="11" t="s">
        <v>378</v>
      </c>
      <c r="C2" s="11" t="s">
        <v>627</v>
      </c>
      <c r="D2" s="11" t="s">
        <v>375</v>
      </c>
      <c r="E2" s="11" t="s">
        <v>528</v>
      </c>
      <c r="F2" s="8" t="s">
        <v>628</v>
      </c>
      <c r="G2" s="8" t="s">
        <v>629</v>
      </c>
      <c r="H2" s="8" t="s">
        <v>630</v>
      </c>
      <c r="I2" s="8" t="s">
        <v>631</v>
      </c>
      <c r="J2" s="13" t="s">
        <v>632</v>
      </c>
      <c r="K2" s="5" t="s">
        <v>628</v>
      </c>
      <c r="L2" s="6" t="s">
        <v>629</v>
      </c>
      <c r="M2" s="7" t="s">
        <v>630</v>
      </c>
      <c r="N2" s="5" t="s">
        <v>631</v>
      </c>
    </row>
    <row r="3" spans="1:14" ht="77.25" customHeight="1">
      <c r="A3" s="789" t="s">
        <v>633</v>
      </c>
      <c r="B3" s="9" t="s">
        <v>388</v>
      </c>
      <c r="C3" s="9">
        <v>3</v>
      </c>
      <c r="D3" s="9" t="s">
        <v>634</v>
      </c>
      <c r="E3" s="9" t="s">
        <v>634</v>
      </c>
      <c r="F3" s="14">
        <f>28.349523125*(20/H4)</f>
        <v>188.99682083333335</v>
      </c>
      <c r="G3" s="14">
        <v>3</v>
      </c>
      <c r="H3" s="14">
        <v>28</v>
      </c>
      <c r="I3" s="14"/>
      <c r="J3" s="15"/>
      <c r="K3" s="16" t="s">
        <v>635</v>
      </c>
      <c r="L3" s="16" t="s">
        <v>636</v>
      </c>
      <c r="M3" s="16" t="s">
        <v>637</v>
      </c>
      <c r="N3" s="43" t="s">
        <v>638</v>
      </c>
    </row>
    <row r="4" spans="1:14" ht="28.5" customHeight="1">
      <c r="A4" s="790"/>
      <c r="B4" s="3" t="s">
        <v>389</v>
      </c>
      <c r="C4" s="3">
        <v>1.5</v>
      </c>
      <c r="D4" s="3" t="s">
        <v>634</v>
      </c>
      <c r="E4" s="3" t="s">
        <v>634</v>
      </c>
      <c r="F4" s="17">
        <f>28.349523125*(1/H4)</f>
        <v>9.4498410416666658</v>
      </c>
      <c r="G4" s="18">
        <v>1</v>
      </c>
      <c r="H4" s="18">
        <v>3</v>
      </c>
      <c r="I4" s="18"/>
      <c r="J4" s="57"/>
      <c r="K4" s="19"/>
      <c r="L4" s="19" t="s">
        <v>639</v>
      </c>
      <c r="M4" s="19"/>
      <c r="N4" s="44"/>
    </row>
    <row r="5" spans="1:14" ht="28.5" customHeight="1" thickBot="1">
      <c r="A5" s="791"/>
      <c r="B5" s="10" t="s">
        <v>390</v>
      </c>
      <c r="C5" s="50">
        <v>1</v>
      </c>
      <c r="D5" s="10" t="s">
        <v>634</v>
      </c>
      <c r="E5" s="10" t="s">
        <v>634</v>
      </c>
      <c r="F5" s="20">
        <f>28.349523125*(0.05/H4)</f>
        <v>0.47249205208333334</v>
      </c>
      <c r="G5" s="21">
        <f>H5/365</f>
        <v>2.7397260273972603E-3</v>
      </c>
      <c r="H5" s="21">
        <v>1</v>
      </c>
      <c r="I5" s="21"/>
      <c r="J5" s="22"/>
      <c r="K5" s="23"/>
      <c r="L5" s="23" t="s">
        <v>640</v>
      </c>
      <c r="M5" s="23"/>
      <c r="N5" s="45"/>
    </row>
    <row r="6" spans="1:14" ht="28.5" customHeight="1">
      <c r="A6" s="792" t="s">
        <v>218</v>
      </c>
      <c r="B6" s="2" t="s">
        <v>388</v>
      </c>
      <c r="C6" s="2">
        <v>10</v>
      </c>
      <c r="D6" s="2" t="s">
        <v>634</v>
      </c>
      <c r="E6" s="2" t="s">
        <v>634</v>
      </c>
      <c r="F6" s="17">
        <f>28.349523125*((MEDIAN(156,222,64,96)/H7))</f>
        <v>1428.8159654999999</v>
      </c>
      <c r="G6" s="17">
        <v>2</v>
      </c>
      <c r="H6" s="17">
        <f>MEDIAN(15,15,40,50)</f>
        <v>27.5</v>
      </c>
      <c r="I6" s="17" t="s">
        <v>267</v>
      </c>
      <c r="J6" s="57"/>
      <c r="K6" s="24" t="s">
        <v>635</v>
      </c>
      <c r="L6" s="16" t="s">
        <v>636</v>
      </c>
      <c r="M6" s="24" t="s">
        <v>641</v>
      </c>
      <c r="N6" s="46" t="s">
        <v>642</v>
      </c>
    </row>
    <row r="7" spans="1:14" ht="28.5" customHeight="1">
      <c r="A7" s="793"/>
      <c r="B7" s="3" t="s">
        <v>389</v>
      </c>
      <c r="C7" s="3">
        <v>2.5</v>
      </c>
      <c r="D7" s="3" t="s">
        <v>634</v>
      </c>
      <c r="E7" s="3" t="s">
        <v>634</v>
      </c>
      <c r="F7" s="17">
        <f>28.349523125*((MEDIAN(16,16,6,12)/H7))</f>
        <v>158.7573295</v>
      </c>
      <c r="G7" s="18">
        <v>1</v>
      </c>
      <c r="H7" s="18">
        <f>MEDIAN(2,2,3,4)</f>
        <v>2.5</v>
      </c>
      <c r="I7" s="17" t="s">
        <v>267</v>
      </c>
      <c r="J7" s="57"/>
      <c r="K7" s="19"/>
      <c r="L7" s="19" t="s">
        <v>639</v>
      </c>
      <c r="M7" s="19"/>
      <c r="N7" s="44"/>
    </row>
    <row r="8" spans="1:14" ht="28.5" customHeight="1" thickBot="1">
      <c r="A8" s="794"/>
      <c r="B8" s="12" t="s">
        <v>390</v>
      </c>
      <c r="C8" s="12">
        <v>0.1</v>
      </c>
      <c r="D8" s="12" t="s">
        <v>634</v>
      </c>
      <c r="E8" s="12" t="s">
        <v>634</v>
      </c>
      <c r="F8" s="25">
        <f>28.349523125*((MEDIAN(1.5,3,0.96,1.82)/H7))</f>
        <v>18.824083355000003</v>
      </c>
      <c r="G8" s="26">
        <f>H8/365</f>
        <v>2.7397260273972603E-3</v>
      </c>
      <c r="H8" s="26">
        <v>1</v>
      </c>
      <c r="I8" s="25" t="s">
        <v>267</v>
      </c>
      <c r="J8" s="57"/>
      <c r="K8" s="27"/>
      <c r="L8" s="27" t="s">
        <v>640</v>
      </c>
      <c r="M8" s="27"/>
      <c r="N8" s="47"/>
    </row>
    <row r="9" spans="1:14" ht="28.5" customHeight="1">
      <c r="A9" s="795" t="s">
        <v>220</v>
      </c>
      <c r="B9" s="9" t="s">
        <v>388</v>
      </c>
      <c r="C9" s="9">
        <v>5</v>
      </c>
      <c r="D9" s="9" t="s">
        <v>634</v>
      </c>
      <c r="E9" s="9" t="s">
        <v>634</v>
      </c>
      <c r="F9" s="14">
        <v>123</v>
      </c>
      <c r="G9" s="14">
        <v>4</v>
      </c>
      <c r="H9" s="14"/>
      <c r="I9" s="14"/>
      <c r="J9" s="15"/>
      <c r="K9" s="16" t="s">
        <v>643</v>
      </c>
      <c r="L9" s="16" t="s">
        <v>643</v>
      </c>
      <c r="M9" s="16" t="s">
        <v>644</v>
      </c>
      <c r="N9" s="43" t="s">
        <v>645</v>
      </c>
    </row>
    <row r="10" spans="1:14" ht="28.5" customHeight="1">
      <c r="A10" s="796"/>
      <c r="B10" s="3" t="s">
        <v>389</v>
      </c>
      <c r="C10" s="3">
        <v>3</v>
      </c>
      <c r="D10" s="3" t="s">
        <v>634</v>
      </c>
      <c r="E10" s="3" t="s">
        <v>634</v>
      </c>
      <c r="F10" s="18">
        <v>25</v>
      </c>
      <c r="G10" s="28">
        <v>0.35</v>
      </c>
      <c r="H10" s="18"/>
      <c r="I10" s="18"/>
      <c r="J10" s="57"/>
      <c r="K10" s="19"/>
      <c r="L10" s="19"/>
      <c r="M10" s="19"/>
      <c r="N10" s="44"/>
    </row>
    <row r="11" spans="1:14" ht="28.5" customHeight="1" thickBot="1">
      <c r="A11" s="797"/>
      <c r="B11" s="10" t="s">
        <v>390</v>
      </c>
      <c r="C11" s="10">
        <v>1</v>
      </c>
      <c r="D11" s="10" t="s">
        <v>634</v>
      </c>
      <c r="E11" s="10" t="s">
        <v>634</v>
      </c>
      <c r="F11" s="21">
        <v>1</v>
      </c>
      <c r="G11" s="29">
        <f>1/365</f>
        <v>2.7397260273972603E-3</v>
      </c>
      <c r="H11" s="21"/>
      <c r="I11" s="21"/>
      <c r="J11" s="22"/>
      <c r="K11" s="23"/>
      <c r="L11" s="23"/>
      <c r="M11" s="23"/>
      <c r="N11" s="45"/>
    </row>
    <row r="12" spans="1:14" ht="28.5" customHeight="1">
      <c r="A12" s="792" t="s">
        <v>646</v>
      </c>
      <c r="B12" s="2" t="s">
        <v>388</v>
      </c>
      <c r="C12" s="2">
        <v>25</v>
      </c>
      <c r="D12" s="2" t="s">
        <v>634</v>
      </c>
      <c r="E12" s="2" t="s">
        <v>634</v>
      </c>
      <c r="F12" s="17">
        <f>28.349523125*(1280/H13)</f>
        <v>18143.694800000001</v>
      </c>
      <c r="G12" s="17">
        <v>2</v>
      </c>
      <c r="H12" s="17">
        <v>12</v>
      </c>
      <c r="I12" s="17"/>
      <c r="J12" s="57"/>
      <c r="K12" s="24" t="s">
        <v>635</v>
      </c>
      <c r="L12" s="16" t="s">
        <v>636</v>
      </c>
      <c r="M12" s="24" t="s">
        <v>647</v>
      </c>
      <c r="N12" s="46" t="s">
        <v>648</v>
      </c>
    </row>
    <row r="13" spans="1:14" ht="28.5" customHeight="1">
      <c r="A13" s="793"/>
      <c r="B13" s="3" t="s">
        <v>389</v>
      </c>
      <c r="C13" s="3">
        <v>13.8</v>
      </c>
      <c r="D13" s="3" t="s">
        <v>634</v>
      </c>
      <c r="E13" s="3" t="s">
        <v>634</v>
      </c>
      <c r="F13" s="17">
        <f>28.349523125*(64/H13)</f>
        <v>907.18474000000003</v>
      </c>
      <c r="G13" s="18">
        <v>1</v>
      </c>
      <c r="H13" s="18">
        <v>2</v>
      </c>
      <c r="I13" s="18"/>
      <c r="J13" s="57"/>
      <c r="K13" s="19"/>
      <c r="L13" s="19" t="s">
        <v>639</v>
      </c>
      <c r="M13" s="19"/>
      <c r="N13" s="44"/>
    </row>
    <row r="14" spans="1:14" ht="28.5" customHeight="1" thickBot="1">
      <c r="A14" s="794"/>
      <c r="B14" s="12" t="s">
        <v>390</v>
      </c>
      <c r="C14" s="12">
        <v>7</v>
      </c>
      <c r="D14" s="12" t="s">
        <v>634</v>
      </c>
      <c r="E14" s="12" t="s">
        <v>634</v>
      </c>
      <c r="F14" s="25">
        <f>28.349523125*(4/H13)</f>
        <v>56.699046250000002</v>
      </c>
      <c r="G14" s="26">
        <f>H14/365</f>
        <v>2.7397260273972603E-3</v>
      </c>
      <c r="H14" s="26">
        <v>1</v>
      </c>
      <c r="I14" s="26"/>
      <c r="J14" s="57"/>
      <c r="K14" s="27"/>
      <c r="L14" s="27" t="s">
        <v>640</v>
      </c>
      <c r="M14" s="27"/>
      <c r="N14" s="47"/>
    </row>
    <row r="15" spans="1:14" ht="28.5" customHeight="1">
      <c r="A15" s="798" t="s">
        <v>372</v>
      </c>
      <c r="B15" s="9" t="s">
        <v>388</v>
      </c>
      <c r="C15" s="9">
        <v>5</v>
      </c>
      <c r="D15" s="9" t="s">
        <v>634</v>
      </c>
      <c r="E15" s="9" t="s">
        <v>634</v>
      </c>
      <c r="F15" s="14"/>
      <c r="G15" s="14"/>
      <c r="H15" s="14"/>
      <c r="I15" s="14"/>
      <c r="J15" s="15"/>
      <c r="K15" s="16"/>
      <c r="L15" s="16"/>
      <c r="M15" s="16"/>
      <c r="N15" s="43"/>
    </row>
    <row r="16" spans="1:14" ht="28.5" customHeight="1">
      <c r="A16" s="799"/>
      <c r="B16" s="3" t="s">
        <v>389</v>
      </c>
      <c r="C16" s="3">
        <v>3</v>
      </c>
      <c r="D16" s="3" t="s">
        <v>634</v>
      </c>
      <c r="E16" s="3" t="s">
        <v>634</v>
      </c>
      <c r="F16" s="18"/>
      <c r="G16" s="18"/>
      <c r="H16" s="18"/>
      <c r="I16" s="18"/>
      <c r="J16" s="57"/>
      <c r="K16" s="19"/>
      <c r="L16" s="19"/>
      <c r="M16" s="19"/>
      <c r="N16" s="44"/>
    </row>
    <row r="17" spans="1:14" ht="28.5" customHeight="1" thickBot="1">
      <c r="A17" s="800"/>
      <c r="B17" s="10" t="s">
        <v>390</v>
      </c>
      <c r="C17" s="10">
        <v>1</v>
      </c>
      <c r="D17" s="10" t="s">
        <v>634</v>
      </c>
      <c r="E17" s="10" t="s">
        <v>634</v>
      </c>
      <c r="F17" s="21"/>
      <c r="G17" s="21"/>
      <c r="H17" s="21"/>
      <c r="I17" s="21"/>
      <c r="J17" s="22"/>
      <c r="K17" s="23"/>
      <c r="L17" s="23"/>
      <c r="M17" s="23"/>
      <c r="N17" s="45"/>
    </row>
  </sheetData>
  <mergeCells count="5">
    <mergeCell ref="A3:A5"/>
    <mergeCell ref="A6:A8"/>
    <mergeCell ref="A9:A11"/>
    <mergeCell ref="A12:A14"/>
    <mergeCell ref="A15:A17"/>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5BF3-50BA-4E71-AF6A-B5F72DF140FC}">
  <dimension ref="A1:U22"/>
  <sheetViews>
    <sheetView workbookViewId="0">
      <selection activeCell="K25" sqref="K25"/>
    </sheetView>
  </sheetViews>
  <sheetFormatPr defaultColWidth="9.08203125" defaultRowHeight="14"/>
  <cols>
    <col min="1" max="1" width="22.4140625" style="35" customWidth="1"/>
    <col min="2" max="2" width="10.08203125" style="35" customWidth="1"/>
    <col min="3" max="3" width="9.58203125" style="35" bestFit="1" customWidth="1"/>
    <col min="4" max="4" width="9.9140625" style="35" customWidth="1"/>
    <col min="5" max="6" width="9.08203125" style="35"/>
    <col min="7" max="7" width="12.08203125" style="35" customWidth="1"/>
    <col min="8" max="8" width="15.33203125" style="35" customWidth="1"/>
    <col min="9" max="9" width="16.4140625" style="35" customWidth="1"/>
    <col min="10" max="10" width="11.6640625" style="35" customWidth="1"/>
    <col min="11" max="11" width="13.33203125" style="35" customWidth="1"/>
    <col min="12" max="12" width="9.08203125" style="35"/>
    <col min="13" max="13" width="47.33203125" style="35" customWidth="1"/>
    <col min="14" max="14" width="41" style="35" customWidth="1"/>
    <col min="15" max="15" width="30.33203125" style="35" customWidth="1"/>
    <col min="16" max="16" width="55.33203125" style="35" customWidth="1"/>
    <col min="17" max="17" width="32.9140625" style="35" customWidth="1"/>
    <col min="18" max="16384" width="9.08203125" style="35"/>
  </cols>
  <sheetData>
    <row r="1" spans="1:21" s="37" customFormat="1">
      <c r="C1" s="807" t="s">
        <v>649</v>
      </c>
      <c r="D1" s="807"/>
      <c r="E1" s="807"/>
      <c r="F1" s="807"/>
      <c r="G1" s="807"/>
      <c r="H1" s="807"/>
      <c r="I1" s="807"/>
      <c r="J1" s="807"/>
      <c r="K1" s="807"/>
      <c r="M1" s="807" t="s">
        <v>650</v>
      </c>
      <c r="N1" s="807"/>
      <c r="O1" s="807"/>
      <c r="P1" s="807"/>
      <c r="Q1" s="807"/>
    </row>
    <row r="2" spans="1:21" ht="72" customHeight="1" thickBot="1">
      <c r="A2" s="58" t="s">
        <v>521</v>
      </c>
      <c r="B2" s="58" t="s">
        <v>378</v>
      </c>
      <c r="C2" s="58" t="s">
        <v>627</v>
      </c>
      <c r="D2" s="58" t="s">
        <v>651</v>
      </c>
      <c r="E2" s="58" t="s">
        <v>528</v>
      </c>
      <c r="F2" s="58" t="s">
        <v>652</v>
      </c>
      <c r="G2" s="58" t="s">
        <v>653</v>
      </c>
      <c r="H2" s="58" t="s">
        <v>654</v>
      </c>
      <c r="I2" s="58" t="s">
        <v>655</v>
      </c>
      <c r="J2" s="58" t="s">
        <v>656</v>
      </c>
      <c r="K2" s="58" t="s">
        <v>631</v>
      </c>
      <c r="L2" s="38" t="s">
        <v>657</v>
      </c>
      <c r="M2" s="58" t="s">
        <v>653</v>
      </c>
      <c r="N2" s="58" t="s">
        <v>654</v>
      </c>
      <c r="O2" s="58" t="s">
        <v>655</v>
      </c>
      <c r="P2" s="58" t="s">
        <v>658</v>
      </c>
      <c r="Q2" s="58" t="s">
        <v>631</v>
      </c>
      <c r="R2" s="30"/>
      <c r="S2" s="30"/>
      <c r="T2" s="30"/>
      <c r="U2" s="40"/>
    </row>
    <row r="3" spans="1:21" ht="42.5" thickBot="1">
      <c r="A3" s="801" t="s">
        <v>522</v>
      </c>
      <c r="B3" s="2" t="s">
        <v>388</v>
      </c>
      <c r="C3" s="2">
        <v>0.05</v>
      </c>
      <c r="D3" s="2" t="s">
        <v>634</v>
      </c>
      <c r="E3" s="2" t="s">
        <v>634</v>
      </c>
      <c r="F3" s="2" t="s">
        <v>634</v>
      </c>
      <c r="G3" s="17">
        <f>24*60</f>
        <v>1440</v>
      </c>
      <c r="H3" s="17"/>
      <c r="I3" s="17"/>
      <c r="J3" s="30">
        <f>AVERAGE((0.827+0.682+0.314+0.137+0.136+0.107),(0.654+0.598+0.237+0.122+0.114+0.089))</f>
        <v>2.0085000000000002</v>
      </c>
      <c r="K3" s="36"/>
      <c r="L3" s="17"/>
      <c r="M3" s="17" t="s">
        <v>659</v>
      </c>
      <c r="N3" s="17"/>
      <c r="O3" s="17"/>
      <c r="P3" s="30" t="s">
        <v>660</v>
      </c>
      <c r="Q3" s="17"/>
      <c r="R3" s="17"/>
      <c r="S3" s="17"/>
      <c r="T3" s="17"/>
      <c r="U3" s="41"/>
    </row>
    <row r="4" spans="1:21" ht="28.5" thickBot="1">
      <c r="A4" s="802"/>
      <c r="B4" s="3" t="s">
        <v>389</v>
      </c>
      <c r="C4" s="3">
        <v>0.01</v>
      </c>
      <c r="D4" s="3" t="s">
        <v>634</v>
      </c>
      <c r="E4" s="3" t="s">
        <v>634</v>
      </c>
      <c r="F4" s="3" t="s">
        <v>634</v>
      </c>
      <c r="G4" s="18">
        <f>G3-G7</f>
        <v>930</v>
      </c>
      <c r="H4" s="17"/>
      <c r="I4" s="18"/>
      <c r="J4" s="30">
        <f>AVERAGE((0.827+0.682+0.314+0.137),(0.654+0.598+0.237+0.122))</f>
        <v>1.7854999999999999</v>
      </c>
      <c r="K4" s="36"/>
      <c r="L4" s="18"/>
      <c r="M4" s="18" t="s">
        <v>661</v>
      </c>
      <c r="N4" s="18"/>
      <c r="O4" s="18"/>
      <c r="P4" s="30" t="s">
        <v>662</v>
      </c>
      <c r="Q4" s="18"/>
      <c r="R4" s="18"/>
      <c r="S4" s="18"/>
      <c r="T4" s="18"/>
      <c r="U4" s="42"/>
    </row>
    <row r="5" spans="1:21" ht="28.5" thickBot="1">
      <c r="A5" s="803"/>
      <c r="B5" s="4" t="s">
        <v>390</v>
      </c>
      <c r="C5" s="4">
        <v>3.0000000000000001E-5</v>
      </c>
      <c r="D5" s="4" t="s">
        <v>634</v>
      </c>
      <c r="E5" s="4" t="s">
        <v>634</v>
      </c>
      <c r="F5" s="4" t="s">
        <v>634</v>
      </c>
      <c r="G5" s="30">
        <f>G3/3</f>
        <v>480</v>
      </c>
      <c r="H5" s="17"/>
      <c r="I5" s="30"/>
      <c r="J5" s="30">
        <f>AVERAGE((0.827+0.682),(0.654+0.598))</f>
        <v>1.3805000000000001</v>
      </c>
      <c r="K5" s="36"/>
      <c r="L5" s="30"/>
      <c r="M5" s="30" t="s">
        <v>663</v>
      </c>
      <c r="N5" s="30"/>
      <c r="O5" s="30"/>
      <c r="P5" s="30" t="s">
        <v>664</v>
      </c>
      <c r="Q5" s="30"/>
      <c r="R5" s="30"/>
      <c r="S5" s="30"/>
      <c r="T5" s="30"/>
      <c r="U5" s="40"/>
    </row>
    <row r="6" spans="1:21" ht="51.75" customHeight="1" thickBot="1">
      <c r="A6" s="801" t="s">
        <v>523</v>
      </c>
      <c r="B6" s="2" t="s">
        <v>388</v>
      </c>
      <c r="C6" s="2">
        <v>0.05</v>
      </c>
      <c r="D6" s="2" t="s">
        <v>634</v>
      </c>
      <c r="E6" s="2" t="s">
        <v>634</v>
      </c>
      <c r="F6" s="2"/>
      <c r="G6" s="36">
        <v>760</v>
      </c>
      <c r="H6" s="17"/>
      <c r="I6" s="17"/>
      <c r="J6" s="30">
        <f>AVERAGE((0.827+0.682+0.314+0.137+0.136+0.107),(0.654+0.598+0.237+0.122+0.114+0.089))</f>
        <v>2.0085000000000002</v>
      </c>
      <c r="K6" s="17" t="s">
        <v>532</v>
      </c>
      <c r="L6" s="17"/>
      <c r="M6" s="17" t="s">
        <v>665</v>
      </c>
      <c r="N6" s="17"/>
      <c r="O6" s="17"/>
      <c r="P6" s="17" t="s">
        <v>666</v>
      </c>
      <c r="Q6" s="17"/>
      <c r="R6" s="17"/>
      <c r="S6" s="17"/>
      <c r="T6" s="17"/>
      <c r="U6" s="41"/>
    </row>
    <row r="7" spans="1:21" ht="36" customHeight="1" thickBot="1">
      <c r="A7" s="802"/>
      <c r="B7" s="3" t="s">
        <v>389</v>
      </c>
      <c r="C7" s="3">
        <v>0.01</v>
      </c>
      <c r="D7" s="3" t="s">
        <v>634</v>
      </c>
      <c r="E7" s="3" t="s">
        <v>634</v>
      </c>
      <c r="F7" s="3"/>
      <c r="G7" s="18">
        <v>510</v>
      </c>
      <c r="H7" s="17"/>
      <c r="I7" s="18"/>
      <c r="J7" s="30">
        <f>AVERAGE((0.136+0.314+0.107+0.137),(0.114+0.237+0.089+0.122))</f>
        <v>0.628</v>
      </c>
      <c r="K7" s="17" t="s">
        <v>532</v>
      </c>
      <c r="L7" s="18"/>
      <c r="M7" s="18" t="s">
        <v>667</v>
      </c>
      <c r="N7" s="18"/>
      <c r="O7" s="18"/>
      <c r="P7" s="18" t="s">
        <v>668</v>
      </c>
      <c r="Q7" s="18"/>
      <c r="R7" s="18"/>
      <c r="S7" s="18"/>
      <c r="T7" s="18"/>
      <c r="U7" s="42"/>
    </row>
    <row r="8" spans="1:21" ht="28.5" thickBot="1">
      <c r="A8" s="803"/>
      <c r="B8" s="4" t="s">
        <v>390</v>
      </c>
      <c r="C8" s="4">
        <v>3.0000000000000001E-5</v>
      </c>
      <c r="D8" s="4" t="s">
        <v>634</v>
      </c>
      <c r="E8" s="4" t="s">
        <v>634</v>
      </c>
      <c r="F8" s="4"/>
      <c r="G8" s="30">
        <v>345</v>
      </c>
      <c r="H8" s="17"/>
      <c r="I8" s="30"/>
      <c r="J8" s="30">
        <f>AVERAGE((0.136+0.107),(0.114+0.089))</f>
        <v>0.223</v>
      </c>
      <c r="K8" s="17" t="s">
        <v>532</v>
      </c>
      <c r="L8" s="30"/>
      <c r="M8" s="30" t="s">
        <v>669</v>
      </c>
      <c r="N8" s="30"/>
      <c r="O8" s="30"/>
      <c r="P8" s="30" t="s">
        <v>670</v>
      </c>
      <c r="Q8" s="30"/>
      <c r="R8" s="30"/>
      <c r="S8" s="30"/>
      <c r="T8" s="30"/>
      <c r="U8" s="40"/>
    </row>
    <row r="9" spans="1:21" ht="18.899999999999999" customHeight="1">
      <c r="A9" s="801" t="s">
        <v>525</v>
      </c>
      <c r="B9" s="2" t="s">
        <v>388</v>
      </c>
      <c r="C9" s="2">
        <v>0.05</v>
      </c>
      <c r="D9" s="17"/>
      <c r="E9" s="17"/>
      <c r="F9" s="2" t="s">
        <v>634</v>
      </c>
      <c r="G9" s="31"/>
      <c r="H9" s="31"/>
      <c r="I9" s="31"/>
      <c r="J9" s="31"/>
      <c r="K9" s="31"/>
      <c r="L9" s="17"/>
      <c r="M9" s="17"/>
      <c r="N9" s="17"/>
      <c r="O9" s="17"/>
      <c r="P9" s="17"/>
      <c r="Q9" s="17"/>
      <c r="R9" s="17"/>
      <c r="S9" s="17"/>
      <c r="T9" s="17"/>
      <c r="U9" s="41"/>
    </row>
    <row r="10" spans="1:21" ht="18" customHeight="1">
      <c r="A10" s="802"/>
      <c r="B10" s="3" t="s">
        <v>389</v>
      </c>
      <c r="C10" s="3">
        <v>0.01</v>
      </c>
      <c r="D10" s="18"/>
      <c r="E10" s="18"/>
      <c r="F10" s="3" t="s">
        <v>634</v>
      </c>
      <c r="G10" s="32"/>
      <c r="H10" s="32"/>
      <c r="I10" s="32"/>
      <c r="J10" s="32"/>
      <c r="K10" s="32"/>
      <c r="L10" s="18"/>
      <c r="M10" s="18"/>
      <c r="N10" s="18"/>
      <c r="O10" s="18"/>
      <c r="P10" s="18"/>
      <c r="Q10" s="18"/>
      <c r="R10" s="18"/>
      <c r="S10" s="18"/>
      <c r="T10" s="18"/>
      <c r="U10" s="42"/>
    </row>
    <row r="11" spans="1:21" ht="18" customHeight="1" thickBot="1">
      <c r="A11" s="803"/>
      <c r="B11" s="4" t="s">
        <v>390</v>
      </c>
      <c r="C11" s="4">
        <v>6.3999999999999997E-6</v>
      </c>
      <c r="D11" s="30"/>
      <c r="E11" s="30"/>
      <c r="F11" s="4" t="s">
        <v>634</v>
      </c>
      <c r="G11" s="33"/>
      <c r="H11" s="33"/>
      <c r="I11" s="33"/>
      <c r="J11" s="33"/>
      <c r="K11" s="33"/>
      <c r="L11" s="30"/>
      <c r="M11" s="30"/>
      <c r="N11" s="30"/>
      <c r="O11" s="30"/>
      <c r="P11" s="30"/>
      <c r="Q11" s="30"/>
      <c r="R11" s="30"/>
      <c r="S11" s="30"/>
      <c r="T11" s="30"/>
      <c r="U11" s="40"/>
    </row>
    <row r="12" spans="1:21" ht="42">
      <c r="A12" s="801" t="s">
        <v>671</v>
      </c>
      <c r="B12" s="2" t="s">
        <v>388</v>
      </c>
      <c r="C12" s="2">
        <v>1</v>
      </c>
      <c r="D12" s="2" t="s">
        <v>634</v>
      </c>
      <c r="E12" s="2" t="s">
        <v>634</v>
      </c>
      <c r="F12" s="2" t="s">
        <v>634</v>
      </c>
      <c r="G12" s="18">
        <f>24*57</f>
        <v>1368</v>
      </c>
      <c r="H12" s="17"/>
      <c r="I12" s="17"/>
      <c r="J12" s="17"/>
      <c r="K12" s="17"/>
      <c r="L12" s="17"/>
      <c r="M12" s="18" t="s">
        <v>672</v>
      </c>
      <c r="N12" s="17" t="s">
        <v>673</v>
      </c>
      <c r="O12" s="17"/>
      <c r="P12" s="17"/>
      <c r="Q12" s="17"/>
      <c r="R12" s="17"/>
      <c r="S12" s="17"/>
      <c r="T12" s="17"/>
      <c r="U12" s="41"/>
    </row>
    <row r="13" spans="1:21" ht="28">
      <c r="A13" s="802"/>
      <c r="B13" s="3" t="s">
        <v>389</v>
      </c>
      <c r="C13" s="3">
        <v>0.1</v>
      </c>
      <c r="D13" s="3" t="s">
        <v>634</v>
      </c>
      <c r="E13" s="3" t="s">
        <v>634</v>
      </c>
      <c r="F13" s="3" t="s">
        <v>634</v>
      </c>
      <c r="G13" s="18">
        <f>28.4*24</f>
        <v>681.59999999999991</v>
      </c>
      <c r="H13" s="18"/>
      <c r="I13" s="18"/>
      <c r="J13" s="18"/>
      <c r="K13" s="18"/>
      <c r="L13" s="18"/>
      <c r="M13" s="18" t="s">
        <v>674</v>
      </c>
      <c r="N13" s="18"/>
      <c r="O13" s="18"/>
      <c r="P13" s="18"/>
      <c r="Q13" s="18"/>
      <c r="R13" s="18"/>
      <c r="S13" s="18"/>
      <c r="T13" s="18"/>
      <c r="U13" s="42"/>
    </row>
    <row r="14" spans="1:21" ht="28.5" thickBot="1">
      <c r="A14" s="803"/>
      <c r="B14" s="4" t="s">
        <v>390</v>
      </c>
      <c r="C14" s="4">
        <v>0.1</v>
      </c>
      <c r="D14" s="4" t="s">
        <v>634</v>
      </c>
      <c r="E14" s="4" t="s">
        <v>634</v>
      </c>
      <c r="F14" s="4" t="s">
        <v>634</v>
      </c>
      <c r="G14" s="30">
        <v>24</v>
      </c>
      <c r="H14" s="30"/>
      <c r="I14" s="30"/>
      <c r="J14" s="30"/>
      <c r="K14" s="30"/>
      <c r="L14" s="30"/>
      <c r="M14" s="18" t="s">
        <v>675</v>
      </c>
      <c r="N14" s="30"/>
      <c r="O14" s="30"/>
      <c r="P14" s="30"/>
      <c r="Q14" s="30"/>
      <c r="R14" s="30"/>
      <c r="S14" s="30"/>
      <c r="T14" s="30"/>
      <c r="U14" s="40"/>
    </row>
    <row r="15" spans="1:21" ht="18.649999999999999" customHeight="1">
      <c r="A15" s="804" t="s">
        <v>607</v>
      </c>
      <c r="B15" s="2" t="s">
        <v>388</v>
      </c>
      <c r="C15" s="2">
        <v>0.8</v>
      </c>
      <c r="D15" s="17"/>
      <c r="E15" s="2" t="s">
        <v>634</v>
      </c>
      <c r="F15" s="17"/>
      <c r="G15" s="31"/>
      <c r="H15" s="31"/>
      <c r="I15" s="31"/>
      <c r="J15" s="31"/>
      <c r="K15" s="31"/>
      <c r="L15" s="17"/>
      <c r="M15" s="17"/>
      <c r="N15" s="17"/>
      <c r="O15" s="17"/>
      <c r="P15" s="17"/>
      <c r="Q15" s="17"/>
      <c r="R15" s="17"/>
      <c r="S15" s="17"/>
      <c r="T15" s="17"/>
      <c r="U15" s="41"/>
    </row>
    <row r="16" spans="1:21" ht="20.149999999999999" customHeight="1">
      <c r="A16" s="805"/>
      <c r="B16" s="3" t="s">
        <v>389</v>
      </c>
      <c r="C16" s="3">
        <v>0.05</v>
      </c>
      <c r="D16" s="34"/>
      <c r="E16" s="3" t="s">
        <v>634</v>
      </c>
      <c r="F16" s="18"/>
      <c r="G16" s="32"/>
      <c r="H16" s="32"/>
      <c r="I16" s="32"/>
      <c r="J16" s="32"/>
      <c r="K16" s="32"/>
      <c r="L16" s="18"/>
      <c r="M16" s="18"/>
      <c r="N16" s="18"/>
      <c r="O16" s="18"/>
      <c r="P16" s="18"/>
      <c r="Q16" s="18"/>
      <c r="R16" s="18"/>
      <c r="S16" s="18"/>
      <c r="T16" s="18"/>
      <c r="U16" s="42"/>
    </row>
    <row r="17" spans="1:21" ht="20.149999999999999" customHeight="1">
      <c r="A17" s="806"/>
      <c r="B17" s="3" t="s">
        <v>390</v>
      </c>
      <c r="C17" s="3">
        <v>0.01</v>
      </c>
      <c r="D17" s="18"/>
      <c r="E17" s="3" t="s">
        <v>634</v>
      </c>
      <c r="F17" s="18"/>
      <c r="G17" s="32"/>
      <c r="H17" s="32"/>
      <c r="I17" s="32"/>
      <c r="J17" s="32"/>
      <c r="K17" s="32"/>
      <c r="L17" s="18"/>
      <c r="M17" s="18"/>
      <c r="N17" s="18"/>
      <c r="O17" s="18"/>
      <c r="P17" s="18"/>
      <c r="Q17" s="18"/>
      <c r="R17" s="18"/>
      <c r="S17" s="18"/>
      <c r="T17" s="18"/>
      <c r="U17" s="42"/>
    </row>
    <row r="20" spans="1:21">
      <c r="B20" s="39"/>
    </row>
    <row r="22" spans="1:21">
      <c r="D22" s="35" t="s">
        <v>676</v>
      </c>
    </row>
  </sheetData>
  <mergeCells count="7">
    <mergeCell ref="A12:A14"/>
    <mergeCell ref="A15:A17"/>
    <mergeCell ref="C1:K1"/>
    <mergeCell ref="M1:Q1"/>
    <mergeCell ref="A3:A5"/>
    <mergeCell ref="A6:A8"/>
    <mergeCell ref="A9:A11"/>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Value>1869</Value>
      <Value>1868</Value>
      <Value>558</Value>
      <Value>137</Value>
      <Value>1207</Value>
    </TaxCatchAll>
    <lcf76f155ced4ddcb4097134ff3c332f xmlns="ead8da0f-3542-4e50-96c8-f1f698624e86">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D4</TermName>
          <TermId xmlns="http://schemas.microsoft.com/office/infopath/2007/PartnerControls">e42bb572-aeba-4dad-a3e2-dfc318fa019a</TermId>
        </TermInfo>
        <TermInfo xmlns="http://schemas.microsoft.com/office/infopath/2007/PartnerControls">
          <TermName xmlns="http://schemas.microsoft.com/office/infopath/2007/PartnerControls">analysis</TermName>
          <TermId xmlns="http://schemas.microsoft.com/office/infopath/2007/PartnerControls">2be0c89f-8711-4bca-a0fa-9e59814be8be</TermId>
        </TermInfo>
        <TermInfo xmlns="http://schemas.microsoft.com/office/infopath/2007/PartnerControls">
          <TermName xmlns="http://schemas.microsoft.com/office/infopath/2007/PartnerControls">Human Health</TermName>
          <TermId xmlns="http://schemas.microsoft.com/office/infopath/2007/PartnerControls">24c777ae-77a4-4cf0-abb4-2137f04323a1</TermId>
        </TermInfo>
        <TermInfo xmlns="http://schemas.microsoft.com/office/infopath/2007/PartnerControls">
          <TermName xmlns="http://schemas.microsoft.com/office/infopath/2007/PartnerControls">consumer exposure</TermName>
          <TermId xmlns="http://schemas.microsoft.com/office/infopath/2007/PartnerControls">c4236f11-4fb2-4664-b6b0-2aff6702c2a0</TermId>
        </TermInfo>
        <TermInfo xmlns="http://schemas.microsoft.com/office/infopath/2007/PartnerControls">
          <TermName xmlns="http://schemas.microsoft.com/office/infopath/2007/PartnerControls">octamethylcyclotetrasiloxane</TermName>
          <TermId xmlns="http://schemas.microsoft.com/office/infopath/2007/PartnerControls">035a888b-bf1e-4eac-a525-063599ca8691</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2025-03-05T00:00:17+00:00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D723352F79007E408EFF44D6142FFCE2" ma:contentTypeVersion="21" ma:contentTypeDescription="Create a new document." ma:contentTypeScope="" ma:versionID="e95dd583e1418bbab84cc60b808c79a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fecc2597-e8fd-4279-ac06-bd7c891938be" xmlns:ns6="ead8da0f-3542-4e50-96c8-f1f698624e86" targetNamespace="http://schemas.microsoft.com/office/2006/metadata/properties" ma:root="true" ma:fieldsID="2f7c14c724f6fd5b0410ef8d6affcf61" ns1:_="" ns2:_="" ns3:_="" ns4:_="" ns5:_="" ns6:_="">
    <xsd:import namespace="http://schemas.microsoft.com/sharepoint/v3"/>
    <xsd:import namespace="4ffa91fb-a0ff-4ac5-b2db-65c790d184a4"/>
    <xsd:import namespace="http://schemas.microsoft.com/sharepoint.v3"/>
    <xsd:import namespace="http://schemas.microsoft.com/sharepoint/v3/fields"/>
    <xsd:import namespace="fecc2597-e8fd-4279-ac06-bd7c891938be"/>
    <xsd:import namespace="ead8da0f-3542-4e50-96c8-f1f698624e8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AutoTags" minOccurs="0"/>
                <xsd:element ref="ns6:MediaServiceOCR" minOccurs="0"/>
                <xsd:element ref="ns6:MediaServiceGenerationTime" minOccurs="0"/>
                <xsd:element ref="ns6:MediaServiceEventHashCode" minOccurs="0"/>
                <xsd:element ref="ns1:_ip_UnifiedCompliancePolicyProperties" minOccurs="0"/>
                <xsd:element ref="ns1:_ip_UnifiedCompliancePolicyUIAction" minOccurs="0"/>
                <xsd:element ref="ns6:lcf76f155ced4ddcb4097134ff3c332f" minOccurs="0"/>
                <xsd:element ref="ns6:MediaServiceObjectDetectorVersions" minOccurs="0"/>
                <xsd:element ref="ns6:MediaServiceSearchProperties" minOccurs="0"/>
                <xsd:element ref="ns6:MediaServiceDateTaken"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60cad11-562a-4490-8456-b2fd6f157897}" ma:internalName="TaxCatchAllLabel" ma:readOnly="true" ma:showField="CatchAllDataLabel"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60cad11-562a-4490-8456-b2fd6f157897}" ma:internalName="TaxCatchAll" ma:showField="CatchAllData"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cc2597-e8fd-4279-ac06-bd7c891938be"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d8da0f-3542-4e50-96c8-f1f698624e86"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DateTaken" ma:index="43" nillable="true" ma:displayName="MediaServiceDateTaken" ma:description="" ma:hidden="true" ma:indexed="true" ma:internalName="MediaServiceDateTaken" ma:readOnly="true">
      <xsd:simpleType>
        <xsd:restriction base="dms:Text"/>
      </xsd:simpleType>
    </xsd:element>
    <xsd:element name="MediaServiceLocation" ma:index="44" nillable="true" ma:displayName="Location" ma:description="" ma:indexed="true" ma:internalName="MediaServiceLocation" ma:readOnly="true">
      <xsd:simpleType>
        <xsd:restriction base="dms:Text"/>
      </xsd:simpleType>
    </xsd:element>
    <xsd:element name="MediaLengthInSeconds" ma:index="4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9B8AC8-20F6-4681-B71C-F0AAF9E27D40}">
  <ds:schemaRefs>
    <ds:schemaRef ds:uri="http://purl.org/dc/terms/"/>
    <ds:schemaRef ds:uri="http://schemas.microsoft.com/sharepoint.v3"/>
    <ds:schemaRef ds:uri="http://purl.org/dc/elements/1.1/"/>
    <ds:schemaRef ds:uri="http://schemas.microsoft.com/sharepoint/v3/fields"/>
    <ds:schemaRef ds:uri="ead8da0f-3542-4e50-96c8-f1f698624e86"/>
    <ds:schemaRef ds:uri="http://schemas.microsoft.com/office/infopath/2007/PartnerControls"/>
    <ds:schemaRef ds:uri="http://schemas.openxmlformats.org/package/2006/metadata/core-properties"/>
    <ds:schemaRef ds:uri="fecc2597-e8fd-4279-ac06-bd7c891938be"/>
    <ds:schemaRef ds:uri="4ffa91fb-a0ff-4ac5-b2db-65c790d184a4"/>
    <ds:schemaRef ds:uri="http://schemas.microsoft.com/sharepoint/v3"/>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EF0AB52-F2AE-4534-8016-99EB0C5A245A}">
  <ds:schemaRefs>
    <ds:schemaRef ds:uri="Microsoft.SharePoint.Taxonomy.ContentTypeSync"/>
  </ds:schemaRefs>
</ds:datastoreItem>
</file>

<file path=customXml/itemProps3.xml><?xml version="1.0" encoding="utf-8"?>
<ds:datastoreItem xmlns:ds="http://schemas.openxmlformats.org/officeDocument/2006/customXml" ds:itemID="{94BBB96D-4D9D-42CE-9AB0-0C37F0041E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fecc2597-e8fd-4279-ac06-bd7c891938be"/>
    <ds:schemaRef ds:uri="ead8da0f-3542-4e50-96c8-f1f698624e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792518F-CD44-4393-BCF8-2B536D0C8894}">
  <ds:schemaRefs>
    <ds:schemaRef ds:uri="http://schemas.microsoft.com/sharepoint/v3/contenttype/fo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Cover Page</vt:lpstr>
      <vt:lpstr>Read Me</vt:lpstr>
      <vt:lpstr>P-Chem</vt:lpstr>
      <vt:lpstr>Article_Data</vt:lpstr>
      <vt:lpstr>Product_Inputs</vt:lpstr>
      <vt:lpstr>Article_Inputs</vt:lpstr>
      <vt:lpstr>Dermal Calcs</vt:lpstr>
      <vt:lpstr>Products</vt:lpstr>
      <vt:lpstr>Articles</vt:lpstr>
      <vt:lpstr>Mouthing Calcs</vt:lpstr>
      <vt:lpstr>Product WF and Use</vt:lpstr>
      <vt:lpstr>CEM_Models</vt:lpstr>
      <vt:lpstr>CEM_ENV</vt:lpstr>
      <vt:lpstr>CEM_Input__Mouthing_Duration</vt:lpstr>
      <vt:lpstr>CEM_Input__Product_Density</vt:lpstr>
      <vt:lpstr>CEM_Models!tbl_Default_Product_Models_SVOC</vt:lpstr>
      <vt:lpstr>tbl_Lookup_Environment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Consumer Exposure Analysis for Octamethylcyclotetrasiloxane (D4)</dc:title>
  <dc:subject>Consumer Exposure Analysis for D4</dc:subject>
  <dc:creator>US EPA</dc:creator>
  <cp:keywords>octamethylcyclotetrasiloxane; D4; consumer exposure; analysis; human health</cp:keywords>
  <dc:description/>
  <cp:lastModifiedBy>Lindsay, Sarah</cp:lastModifiedBy>
  <cp:revision/>
  <dcterms:created xsi:type="dcterms:W3CDTF">2024-04-18T14:35:59Z</dcterms:created>
  <dcterms:modified xsi:type="dcterms:W3CDTF">2025-09-16T16:49:29Z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0x010100D723352F79007E408EFF44D6142FFCE2</vt:lpwstr>
  </property>
  <property fmtid="{D5CDD505-2E9C-101B-9397-08002B2CF9AE}" pid="3" name="MediaServiceImageTags">
    <vt:lpwstr/>
  </property>
  <property fmtid="{D5CDD505-2E9C-101B-9397-08002B2CF9AE}" pid="4" name="TaxKeyword">
    <vt:lpwstr>1868;#D4|e42bb572-aeba-4dad-a3e2-dfc318fa019a;#558;#analysis|2be0c89f-8711-4bca-a0fa-9e59814be8be;#137;#Human Health|24c777ae-77a4-4cf0-abb4-2137f04323a1;#1207;#consumer exposure|c4236f11-4fb2-4664-b6b0-2aff6702c2a0;#1869;#octamethylcyclotetrasiloxane|035a888b-bf1e-4eac-a525-063599ca8691</vt:lpwstr>
  </property>
  <property fmtid="{D5CDD505-2E9C-101B-9397-08002B2CF9AE}" pid="5" name="EPA Subject">
    <vt:lpwstr/>
  </property>
  <property fmtid="{D5CDD505-2E9C-101B-9397-08002B2CF9AE}" pid="6" name="Document Type">
    <vt:lpwstr/>
  </property>
  <property fmtid="{D5CDD505-2E9C-101B-9397-08002B2CF9AE}" pid="7" name="Document_x0020_Type">
    <vt:lpwstr/>
  </property>
  <property fmtid="{D5CDD505-2E9C-101B-9397-08002B2CF9AE}" pid="8" name="EPA_x0020_Subject">
    <vt:lpwstr/>
  </property>
</Properties>
</file>